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1-14 Uprava soupisu po DI 5 dle pripominek\"/>
    </mc:Choice>
  </mc:AlternateContent>
  <xr:revisionPtr revIDLastSave="0" documentId="13_ncr:1_{F8D9FBFA-AB1F-4170-8EE0-BAF883C8FFD5}" xr6:coauthVersionLast="47" xr6:coauthVersionMax="47" xr10:uidLastSave="{00000000-0000-0000-0000-000000000000}"/>
  <bookViews>
    <workbookView xWindow="-120" yWindow="-120" windowWidth="29040" windowHeight="17640" tabRatio="959" activeTab="3" xr2:uid="{00000000-000D-0000-FFFF-FFFF00000000}"/>
  </bookViews>
  <sheets>
    <sheet name="KL" sheetId="4" r:id="rId1"/>
    <sheet name="VRN" sheetId="74" r:id="rId2"/>
    <sheet name="Rekapitulace stavby" sheetId="75" r:id="rId3"/>
    <sheet name="01 - Novostavba" sheetId="76" r:id="rId4"/>
    <sheet name="01.1 - Novostavba - podlahy" sheetId="77" r:id="rId5"/>
    <sheet name="01.2 - Vyýpisy prvků - ta..." sheetId="78" r:id="rId6"/>
    <sheet name="01.3 - Gabionové stěny" sheetId="79" r:id="rId7"/>
    <sheet name="01.4 - Opěrná stěna schod..." sheetId="80" r:id="rId8"/>
    <sheet name="01.5 - Náklady souvisejíc..." sheetId="81" r:id="rId9"/>
    <sheet name="Seznam figur" sheetId="82" r:id="rId10"/>
    <sheet name="D.1.4.1. ZTI" sheetId="42" r:id="rId11"/>
    <sheet name="D.1.4.2. ODBĚR. PLYN. ZAŘÍZ." sheetId="43" r:id="rId12"/>
    <sheet name="D.1.4.3. VZDUCHOTECHNIKA" sheetId="69" r:id="rId13"/>
    <sheet name="D.1.4.4. VYTÁPĚNÍ" sheetId="59" r:id="rId14"/>
    <sheet name="D.1.4.5. CHLAZENÍ" sheetId="55" r:id="rId15"/>
    <sheet name="D.1.4.7. SILNOPROUD" sheetId="57" r:id="rId16"/>
    <sheet name="D.1.4.7.1 FOTOVOLTAIKA" sheetId="58" r:id="rId17"/>
    <sheet name="REKAPITULACE" sheetId="70" r:id="rId18"/>
    <sheet name="D.1.4.8. EL. KOMUNIKACE" sheetId="73" r:id="rId19"/>
    <sheet name="D.1.4.8. EL. KOMUNIKACE-MEDICAL" sheetId="72" r:id="rId20"/>
    <sheet name="REKAPITULACE - SÚ" sheetId="31" r:id="rId21"/>
    <sheet name="D.1.4.10.1. SADOVÉ ÚPRAVY" sheetId="32" r:id="rId22"/>
    <sheet name="D.1.4.10.1. MOBILIÁŘ" sheetId="33" r:id="rId23"/>
    <sheet name="D.1.4.10.1. OPLOCENÍ" sheetId="34" r:id="rId24"/>
    <sheet name="D.1.4.10.2. ZP. PLOCHY A KOMUN." sheetId="30" r:id="rId25"/>
    <sheet name="REKAPITULACE - DA" sheetId="65" r:id="rId26"/>
    <sheet name="D.1.4.10.3. DROBNÁ ARCH. - SKL." sheetId="66" r:id="rId27"/>
    <sheet name="D.1.4.10.3. DROBNÁ ARCH. - ZÁZ." sheetId="67" r:id="rId28"/>
    <sheet name="D.1.4.10.3. DROBNÁ ARCH. - KOL." sheetId="68" r:id="rId29"/>
    <sheet name="D.2.1. PŘÍPOJKA VODOVODU" sheetId="29" r:id="rId30"/>
    <sheet name="D.2.1.1. AREÁLOVÝ VODOVOD" sheetId="28" r:id="rId31"/>
    <sheet name="D.2.2. PŘÍPOJKA KANALIZACE" sheetId="27" r:id="rId32"/>
    <sheet name="REKAPITULACE - AREÁL KAN" sheetId="21" r:id="rId33"/>
    <sheet name="D.2.3. AREÁL SPLAŠKOVÁ KANAL." sheetId="22" r:id="rId34"/>
    <sheet name="D.2.3. AREÁL DEŠŤOVÁ KANAL." sheetId="23" r:id="rId35"/>
    <sheet name="D.2.3. AKUMULAČNÍ NÁDRŽ" sheetId="24" r:id="rId36"/>
    <sheet name="D.2.3. ČERPACÍ STANICE" sheetId="25" r:id="rId37"/>
    <sheet name="D.2.3. VSAKOVACÍ NÁDRŽE" sheetId="26" r:id="rId38"/>
    <sheet name="D.2.4. PŘELOŽKA STL PLYNOVODU" sheetId="20" r:id="rId39"/>
    <sheet name="D.2.5. PŘÍPOJKA NN" sheetId="19" r:id="rId40"/>
    <sheet name="D.2.6. PŘÍPOJKA EL. KOMUNIKACE" sheetId="18" r:id="rId41"/>
    <sheet name="D.2.7. AREÁL OSVĚTLENÍ - TR. A1" sheetId="17" r:id="rId42"/>
    <sheet name="REKAPITULACE - AREÁL NN" sheetId="10" r:id="rId43"/>
    <sheet name="D.2.8. AREÁL VEDENÍ NN-TR. NN1 " sheetId="11" r:id="rId44"/>
    <sheet name="D.2.8. AREÁL VEDENÍ NN-TR. NN2" sheetId="12" r:id="rId45"/>
    <sheet name="D.2.8. AREÁL VEDENÍ NN-TR. NN3" sheetId="13" r:id="rId46"/>
    <sheet name="D.2.8. AREÁL VEDENÍ NN-TR. NN4" sheetId="14" r:id="rId47"/>
    <sheet name="D.2.8. AREÁL VEDENÍ NN-TR.  NN5" sheetId="15" r:id="rId48"/>
    <sheet name="D.2.8. AREÁL VEDENÍ NN-TR.  NN6" sheetId="16" r:id="rId49"/>
    <sheet name="KOLEJNICOVÝ SYSTÉM" sheetId="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______obl11" localSheetId="24">#REF!</definedName>
    <definedName name="_____________________obl11" localSheetId="12">#REF!</definedName>
    <definedName name="_____________________obl11" localSheetId="18">#REF!</definedName>
    <definedName name="_____________________obl11" localSheetId="29">#REF!</definedName>
    <definedName name="_____________________obl11" localSheetId="17">#REF!</definedName>
    <definedName name="_____________________obl11" localSheetId="25">#REF!</definedName>
    <definedName name="_____________________obl11">#REF!</definedName>
    <definedName name="_____________________obl12" localSheetId="24">#REF!</definedName>
    <definedName name="_____________________obl12" localSheetId="12">#REF!</definedName>
    <definedName name="_____________________obl12" localSheetId="18">#REF!</definedName>
    <definedName name="_____________________obl12" localSheetId="29">#REF!</definedName>
    <definedName name="_____________________obl12" localSheetId="17">#REF!</definedName>
    <definedName name="_____________________obl12" localSheetId="25">#REF!</definedName>
    <definedName name="_____________________obl12">#REF!</definedName>
    <definedName name="_____________________obl13" localSheetId="24">#REF!</definedName>
    <definedName name="_____________________obl13" localSheetId="12">#REF!</definedName>
    <definedName name="_____________________obl13" localSheetId="18">#REF!</definedName>
    <definedName name="_____________________obl13" localSheetId="29">#REF!</definedName>
    <definedName name="_____________________obl13" localSheetId="17">#REF!</definedName>
    <definedName name="_____________________obl13" localSheetId="25">#REF!</definedName>
    <definedName name="_____________________obl13">#REF!</definedName>
    <definedName name="_____________________obl14" localSheetId="24">#REF!</definedName>
    <definedName name="_____________________obl14" localSheetId="18">#REF!</definedName>
    <definedName name="_____________________obl14" localSheetId="29">#REF!</definedName>
    <definedName name="_____________________obl14">#REF!</definedName>
    <definedName name="_____________________obl15" localSheetId="24">#REF!</definedName>
    <definedName name="_____________________obl15" localSheetId="18">#REF!</definedName>
    <definedName name="_____________________obl15" localSheetId="29">#REF!</definedName>
    <definedName name="_____________________obl15">#REF!</definedName>
    <definedName name="_____________________obl16" localSheetId="24">#REF!</definedName>
    <definedName name="_____________________obl16" localSheetId="18">#REF!</definedName>
    <definedName name="_____________________obl16" localSheetId="29">#REF!</definedName>
    <definedName name="_____________________obl16">#REF!</definedName>
    <definedName name="_____________________obl17" localSheetId="24">#REF!</definedName>
    <definedName name="_____________________obl17" localSheetId="18">#REF!</definedName>
    <definedName name="_____________________obl17" localSheetId="29">#REF!</definedName>
    <definedName name="_____________________obl17">#REF!</definedName>
    <definedName name="_____________________obl1710" localSheetId="24">#REF!</definedName>
    <definedName name="_____________________obl1710" localSheetId="18">#REF!</definedName>
    <definedName name="_____________________obl1710" localSheetId="29">#REF!</definedName>
    <definedName name="_____________________obl1710">#REF!</definedName>
    <definedName name="_____________________obl1711" localSheetId="24">#REF!</definedName>
    <definedName name="_____________________obl1711" localSheetId="18">#REF!</definedName>
    <definedName name="_____________________obl1711" localSheetId="29">#REF!</definedName>
    <definedName name="_____________________obl1711">#REF!</definedName>
    <definedName name="_____________________obl1712" localSheetId="24">#REF!</definedName>
    <definedName name="_____________________obl1712" localSheetId="18">#REF!</definedName>
    <definedName name="_____________________obl1712" localSheetId="29">#REF!</definedName>
    <definedName name="_____________________obl1712">#REF!</definedName>
    <definedName name="_____________________obl1713" localSheetId="24">#REF!</definedName>
    <definedName name="_____________________obl1713" localSheetId="18">#REF!</definedName>
    <definedName name="_____________________obl1713" localSheetId="29">#REF!</definedName>
    <definedName name="_____________________obl1713">#REF!</definedName>
    <definedName name="_____________________obl1714" localSheetId="24">#REF!</definedName>
    <definedName name="_____________________obl1714" localSheetId="18">#REF!</definedName>
    <definedName name="_____________________obl1714" localSheetId="29">#REF!</definedName>
    <definedName name="_____________________obl1714">#REF!</definedName>
    <definedName name="_____________________obl1715" localSheetId="24">#REF!</definedName>
    <definedName name="_____________________obl1715" localSheetId="18">#REF!</definedName>
    <definedName name="_____________________obl1715" localSheetId="29">#REF!</definedName>
    <definedName name="_____________________obl1715">#REF!</definedName>
    <definedName name="_____________________obl1716" localSheetId="24">#REF!</definedName>
    <definedName name="_____________________obl1716" localSheetId="18">#REF!</definedName>
    <definedName name="_____________________obl1716" localSheetId="29">#REF!</definedName>
    <definedName name="_____________________obl1716">#REF!</definedName>
    <definedName name="_____________________obl1717" localSheetId="24">#REF!</definedName>
    <definedName name="_____________________obl1717" localSheetId="18">#REF!</definedName>
    <definedName name="_____________________obl1717" localSheetId="29">#REF!</definedName>
    <definedName name="_____________________obl1717">#REF!</definedName>
    <definedName name="_____________________obl1718" localSheetId="24">#REF!</definedName>
    <definedName name="_____________________obl1718" localSheetId="18">#REF!</definedName>
    <definedName name="_____________________obl1718" localSheetId="29">#REF!</definedName>
    <definedName name="_____________________obl1718">#REF!</definedName>
    <definedName name="_____________________obl1719" localSheetId="24">#REF!</definedName>
    <definedName name="_____________________obl1719" localSheetId="18">#REF!</definedName>
    <definedName name="_____________________obl1719" localSheetId="29">#REF!</definedName>
    <definedName name="_____________________obl1719">#REF!</definedName>
    <definedName name="_____________________obl173" localSheetId="24">#REF!</definedName>
    <definedName name="_____________________obl173" localSheetId="18">#REF!</definedName>
    <definedName name="_____________________obl173" localSheetId="29">#REF!</definedName>
    <definedName name="_____________________obl173">#REF!</definedName>
    <definedName name="_____________________obl174" localSheetId="24">#REF!</definedName>
    <definedName name="_____________________obl174" localSheetId="18">#REF!</definedName>
    <definedName name="_____________________obl174" localSheetId="29">#REF!</definedName>
    <definedName name="_____________________obl174">#REF!</definedName>
    <definedName name="_____________________obl175" localSheetId="24">#REF!</definedName>
    <definedName name="_____________________obl175" localSheetId="18">#REF!</definedName>
    <definedName name="_____________________obl175" localSheetId="29">#REF!</definedName>
    <definedName name="_____________________obl175">#REF!</definedName>
    <definedName name="_____________________obl176" localSheetId="24">#REF!</definedName>
    <definedName name="_____________________obl176" localSheetId="18">#REF!</definedName>
    <definedName name="_____________________obl176" localSheetId="29">#REF!</definedName>
    <definedName name="_____________________obl176">#REF!</definedName>
    <definedName name="_____________________obl177" localSheetId="24">#REF!</definedName>
    <definedName name="_____________________obl177" localSheetId="18">#REF!</definedName>
    <definedName name="_____________________obl177" localSheetId="29">#REF!</definedName>
    <definedName name="_____________________obl177">#REF!</definedName>
    <definedName name="_____________________obl178" localSheetId="24">#REF!</definedName>
    <definedName name="_____________________obl178" localSheetId="18">#REF!</definedName>
    <definedName name="_____________________obl178" localSheetId="29">#REF!</definedName>
    <definedName name="_____________________obl178">#REF!</definedName>
    <definedName name="_____________________obl179" localSheetId="24">#REF!</definedName>
    <definedName name="_____________________obl179" localSheetId="18">#REF!</definedName>
    <definedName name="_____________________obl179" localSheetId="29">#REF!</definedName>
    <definedName name="_____________________obl179">#REF!</definedName>
    <definedName name="_____________________obl18" localSheetId="24">#REF!</definedName>
    <definedName name="_____________________obl18" localSheetId="18">#REF!</definedName>
    <definedName name="_____________________obl18" localSheetId="29">#REF!</definedName>
    <definedName name="_____________________obl18">#REF!</definedName>
    <definedName name="_____________________obl181" localSheetId="24">#REF!</definedName>
    <definedName name="_____________________obl181" localSheetId="18">#REF!</definedName>
    <definedName name="_____________________obl181" localSheetId="29">#REF!</definedName>
    <definedName name="_____________________obl181">#REF!</definedName>
    <definedName name="_____________________obl1816" localSheetId="24">#REF!</definedName>
    <definedName name="_____________________obl1816" localSheetId="18">#REF!</definedName>
    <definedName name="_____________________obl1816" localSheetId="29">#REF!</definedName>
    <definedName name="_____________________obl1816">#REF!</definedName>
    <definedName name="_____________________obl1820" localSheetId="24">#REF!</definedName>
    <definedName name="_____________________obl1820" localSheetId="18">#REF!</definedName>
    <definedName name="_____________________obl1820" localSheetId="29">#REF!</definedName>
    <definedName name="_____________________obl1820">#REF!</definedName>
    <definedName name="_____________________obl1821" localSheetId="24">#REF!</definedName>
    <definedName name="_____________________obl1821" localSheetId="18">#REF!</definedName>
    <definedName name="_____________________obl1821" localSheetId="29">#REF!</definedName>
    <definedName name="_____________________obl1821">#REF!</definedName>
    <definedName name="_____________________obl1822" localSheetId="24">#REF!</definedName>
    <definedName name="_____________________obl1822" localSheetId="18">#REF!</definedName>
    <definedName name="_____________________obl1822" localSheetId="29">#REF!</definedName>
    <definedName name="_____________________obl1822">#REF!</definedName>
    <definedName name="_____________________obl1823" localSheetId="24">#REF!</definedName>
    <definedName name="_____________________obl1823" localSheetId="18">#REF!</definedName>
    <definedName name="_____________________obl1823" localSheetId="29">#REF!</definedName>
    <definedName name="_____________________obl1823">#REF!</definedName>
    <definedName name="_____________________obl1824" localSheetId="24">#REF!</definedName>
    <definedName name="_____________________obl1824" localSheetId="18">#REF!</definedName>
    <definedName name="_____________________obl1824" localSheetId="29">#REF!</definedName>
    <definedName name="_____________________obl1824">#REF!</definedName>
    <definedName name="_____________________obl1825" localSheetId="24">#REF!</definedName>
    <definedName name="_____________________obl1825" localSheetId="18">#REF!</definedName>
    <definedName name="_____________________obl1825" localSheetId="29">#REF!</definedName>
    <definedName name="_____________________obl1825">#REF!</definedName>
    <definedName name="_____________________obl1826" localSheetId="24">#REF!</definedName>
    <definedName name="_____________________obl1826" localSheetId="18">#REF!</definedName>
    <definedName name="_____________________obl1826" localSheetId="29">#REF!</definedName>
    <definedName name="_____________________obl1826">#REF!</definedName>
    <definedName name="_____________________obl1827" localSheetId="24">#REF!</definedName>
    <definedName name="_____________________obl1827" localSheetId="18">#REF!</definedName>
    <definedName name="_____________________obl1827" localSheetId="29">#REF!</definedName>
    <definedName name="_____________________obl1827">#REF!</definedName>
    <definedName name="_____________________obl1828" localSheetId="24">#REF!</definedName>
    <definedName name="_____________________obl1828" localSheetId="18">#REF!</definedName>
    <definedName name="_____________________obl1828" localSheetId="29">#REF!</definedName>
    <definedName name="_____________________obl1828">#REF!</definedName>
    <definedName name="_____________________obl1829" localSheetId="24">#REF!</definedName>
    <definedName name="_____________________obl1829" localSheetId="18">#REF!</definedName>
    <definedName name="_____________________obl1829" localSheetId="29">#REF!</definedName>
    <definedName name="_____________________obl1829">#REF!</definedName>
    <definedName name="_____________________obl183" localSheetId="24">#REF!</definedName>
    <definedName name="_____________________obl183" localSheetId="18">#REF!</definedName>
    <definedName name="_____________________obl183" localSheetId="29">#REF!</definedName>
    <definedName name="_____________________obl183">#REF!</definedName>
    <definedName name="_____________________obl1831" localSheetId="24">#REF!</definedName>
    <definedName name="_____________________obl1831" localSheetId="18">#REF!</definedName>
    <definedName name="_____________________obl1831" localSheetId="29">#REF!</definedName>
    <definedName name="_____________________obl1831">#REF!</definedName>
    <definedName name="_____________________obl1832" localSheetId="24">#REF!</definedName>
    <definedName name="_____________________obl1832" localSheetId="18">#REF!</definedName>
    <definedName name="_____________________obl1832" localSheetId="29">#REF!</definedName>
    <definedName name="_____________________obl1832">#REF!</definedName>
    <definedName name="_____________________obl184" localSheetId="24">#REF!</definedName>
    <definedName name="_____________________obl184" localSheetId="18">#REF!</definedName>
    <definedName name="_____________________obl184" localSheetId="29">#REF!</definedName>
    <definedName name="_____________________obl184">#REF!</definedName>
    <definedName name="_____________________obl185" localSheetId="24">#REF!</definedName>
    <definedName name="_____________________obl185" localSheetId="18">#REF!</definedName>
    <definedName name="_____________________obl185" localSheetId="29">#REF!</definedName>
    <definedName name="_____________________obl185">#REF!</definedName>
    <definedName name="_____________________obl186" localSheetId="24">#REF!</definedName>
    <definedName name="_____________________obl186" localSheetId="18">#REF!</definedName>
    <definedName name="_____________________obl186" localSheetId="29">#REF!</definedName>
    <definedName name="_____________________obl186">#REF!</definedName>
    <definedName name="_____________________obl187" localSheetId="24">#REF!</definedName>
    <definedName name="_____________________obl187" localSheetId="18">#REF!</definedName>
    <definedName name="_____________________obl187" localSheetId="29">#REF!</definedName>
    <definedName name="_____________________obl187">#REF!</definedName>
    <definedName name="___________________obl11" localSheetId="10">#REF!</definedName>
    <definedName name="___________________obl11" localSheetId="24">#REF!</definedName>
    <definedName name="___________________obl11" localSheetId="11">#REF!</definedName>
    <definedName name="___________________obl11" localSheetId="13">#REF!</definedName>
    <definedName name="___________________obl11" localSheetId="18">#REF!</definedName>
    <definedName name="___________________obl11" localSheetId="29">#REF!</definedName>
    <definedName name="___________________obl11" localSheetId="30">#REF!</definedName>
    <definedName name="___________________obl11" localSheetId="31">#REF!</definedName>
    <definedName name="___________________obl11" localSheetId="35">#REF!</definedName>
    <definedName name="___________________obl11" localSheetId="36">#REF!</definedName>
    <definedName name="___________________obl11" localSheetId="37">#REF!</definedName>
    <definedName name="___________________obl11">#REF!</definedName>
    <definedName name="___________________obl12" localSheetId="10">#REF!</definedName>
    <definedName name="___________________obl12" localSheetId="24">#REF!</definedName>
    <definedName name="___________________obl12" localSheetId="11">#REF!</definedName>
    <definedName name="___________________obl12" localSheetId="13">#REF!</definedName>
    <definedName name="___________________obl12" localSheetId="18">#REF!</definedName>
    <definedName name="___________________obl12" localSheetId="29">#REF!</definedName>
    <definedName name="___________________obl12" localSheetId="30">#REF!</definedName>
    <definedName name="___________________obl12" localSheetId="31">#REF!</definedName>
    <definedName name="___________________obl12" localSheetId="35">#REF!</definedName>
    <definedName name="___________________obl12" localSheetId="36">#REF!</definedName>
    <definedName name="___________________obl12" localSheetId="37">#REF!</definedName>
    <definedName name="___________________obl12">#REF!</definedName>
    <definedName name="___________________obl13" localSheetId="10">#REF!</definedName>
    <definedName name="___________________obl13" localSheetId="24">#REF!</definedName>
    <definedName name="___________________obl13" localSheetId="11">#REF!</definedName>
    <definedName name="___________________obl13" localSheetId="13">#REF!</definedName>
    <definedName name="___________________obl13" localSheetId="18">#REF!</definedName>
    <definedName name="___________________obl13" localSheetId="29">#REF!</definedName>
    <definedName name="___________________obl13" localSheetId="30">#REF!</definedName>
    <definedName name="___________________obl13" localSheetId="31">#REF!</definedName>
    <definedName name="___________________obl13">#REF!</definedName>
    <definedName name="___________________obl14" localSheetId="10">#REF!</definedName>
    <definedName name="___________________obl14" localSheetId="24">#REF!</definedName>
    <definedName name="___________________obl14" localSheetId="11">#REF!</definedName>
    <definedName name="___________________obl14" localSheetId="13">#REF!</definedName>
    <definedName name="___________________obl14" localSheetId="18">#REF!</definedName>
    <definedName name="___________________obl14" localSheetId="29">#REF!</definedName>
    <definedName name="___________________obl14" localSheetId="30">#REF!</definedName>
    <definedName name="___________________obl14" localSheetId="31">#REF!</definedName>
    <definedName name="___________________obl14">#REF!</definedName>
    <definedName name="___________________obl15" localSheetId="10">#REF!</definedName>
    <definedName name="___________________obl15" localSheetId="24">#REF!</definedName>
    <definedName name="___________________obl15" localSheetId="11">#REF!</definedName>
    <definedName name="___________________obl15" localSheetId="13">#REF!</definedName>
    <definedName name="___________________obl15" localSheetId="18">#REF!</definedName>
    <definedName name="___________________obl15" localSheetId="29">#REF!</definedName>
    <definedName name="___________________obl15" localSheetId="30">#REF!</definedName>
    <definedName name="___________________obl15" localSheetId="31">#REF!</definedName>
    <definedName name="___________________obl15">#REF!</definedName>
    <definedName name="___________________obl16" localSheetId="10">#REF!</definedName>
    <definedName name="___________________obl16" localSheetId="24">#REF!</definedName>
    <definedName name="___________________obl16" localSheetId="11">#REF!</definedName>
    <definedName name="___________________obl16" localSheetId="13">#REF!</definedName>
    <definedName name="___________________obl16" localSheetId="18">#REF!</definedName>
    <definedName name="___________________obl16" localSheetId="29">#REF!</definedName>
    <definedName name="___________________obl16" localSheetId="30">#REF!</definedName>
    <definedName name="___________________obl16" localSheetId="31">#REF!</definedName>
    <definedName name="___________________obl16">#REF!</definedName>
    <definedName name="___________________obl17" localSheetId="10">#REF!</definedName>
    <definedName name="___________________obl17" localSheetId="24">#REF!</definedName>
    <definedName name="___________________obl17" localSheetId="11">#REF!</definedName>
    <definedName name="___________________obl17" localSheetId="13">#REF!</definedName>
    <definedName name="___________________obl17" localSheetId="18">#REF!</definedName>
    <definedName name="___________________obl17" localSheetId="29">#REF!</definedName>
    <definedName name="___________________obl17" localSheetId="30">#REF!</definedName>
    <definedName name="___________________obl17" localSheetId="31">#REF!</definedName>
    <definedName name="___________________obl17">#REF!</definedName>
    <definedName name="___________________obl1710" localSheetId="10">#REF!</definedName>
    <definedName name="___________________obl1710" localSheetId="24">#REF!</definedName>
    <definedName name="___________________obl1710" localSheetId="11">#REF!</definedName>
    <definedName name="___________________obl1710" localSheetId="13">#REF!</definedName>
    <definedName name="___________________obl1710" localSheetId="18">#REF!</definedName>
    <definedName name="___________________obl1710" localSheetId="29">#REF!</definedName>
    <definedName name="___________________obl1710" localSheetId="30">#REF!</definedName>
    <definedName name="___________________obl1710" localSheetId="31">#REF!</definedName>
    <definedName name="___________________obl1710">#REF!</definedName>
    <definedName name="___________________obl1711" localSheetId="10">#REF!</definedName>
    <definedName name="___________________obl1711" localSheetId="24">#REF!</definedName>
    <definedName name="___________________obl1711" localSheetId="11">#REF!</definedName>
    <definedName name="___________________obl1711" localSheetId="13">#REF!</definedName>
    <definedName name="___________________obl1711" localSheetId="18">#REF!</definedName>
    <definedName name="___________________obl1711" localSheetId="29">#REF!</definedName>
    <definedName name="___________________obl1711" localSheetId="30">#REF!</definedName>
    <definedName name="___________________obl1711" localSheetId="31">#REF!</definedName>
    <definedName name="___________________obl1711">#REF!</definedName>
    <definedName name="___________________obl1712" localSheetId="10">#REF!</definedName>
    <definedName name="___________________obl1712" localSheetId="24">#REF!</definedName>
    <definedName name="___________________obl1712" localSheetId="11">#REF!</definedName>
    <definedName name="___________________obl1712" localSheetId="13">#REF!</definedName>
    <definedName name="___________________obl1712" localSheetId="18">#REF!</definedName>
    <definedName name="___________________obl1712" localSheetId="29">#REF!</definedName>
    <definedName name="___________________obl1712" localSheetId="30">#REF!</definedName>
    <definedName name="___________________obl1712" localSheetId="31">#REF!</definedName>
    <definedName name="___________________obl1712">#REF!</definedName>
    <definedName name="___________________obl1713" localSheetId="10">#REF!</definedName>
    <definedName name="___________________obl1713" localSheetId="24">#REF!</definedName>
    <definedName name="___________________obl1713" localSheetId="11">#REF!</definedName>
    <definedName name="___________________obl1713" localSheetId="13">#REF!</definedName>
    <definedName name="___________________obl1713" localSheetId="18">#REF!</definedName>
    <definedName name="___________________obl1713" localSheetId="29">#REF!</definedName>
    <definedName name="___________________obl1713" localSheetId="30">#REF!</definedName>
    <definedName name="___________________obl1713" localSheetId="31">#REF!</definedName>
    <definedName name="___________________obl1713">#REF!</definedName>
    <definedName name="___________________obl1714" localSheetId="10">#REF!</definedName>
    <definedName name="___________________obl1714" localSheetId="24">#REF!</definedName>
    <definedName name="___________________obl1714" localSheetId="11">#REF!</definedName>
    <definedName name="___________________obl1714" localSheetId="13">#REF!</definedName>
    <definedName name="___________________obl1714" localSheetId="18">#REF!</definedName>
    <definedName name="___________________obl1714" localSheetId="29">#REF!</definedName>
    <definedName name="___________________obl1714" localSheetId="30">#REF!</definedName>
    <definedName name="___________________obl1714" localSheetId="31">#REF!</definedName>
    <definedName name="___________________obl1714">#REF!</definedName>
    <definedName name="___________________obl1715" localSheetId="10">#REF!</definedName>
    <definedName name="___________________obl1715" localSheetId="24">#REF!</definedName>
    <definedName name="___________________obl1715" localSheetId="11">#REF!</definedName>
    <definedName name="___________________obl1715" localSheetId="13">#REF!</definedName>
    <definedName name="___________________obl1715" localSheetId="18">#REF!</definedName>
    <definedName name="___________________obl1715" localSheetId="29">#REF!</definedName>
    <definedName name="___________________obl1715" localSheetId="30">#REF!</definedName>
    <definedName name="___________________obl1715" localSheetId="31">#REF!</definedName>
    <definedName name="___________________obl1715">#REF!</definedName>
    <definedName name="___________________obl1716" localSheetId="10">#REF!</definedName>
    <definedName name="___________________obl1716" localSheetId="24">#REF!</definedName>
    <definedName name="___________________obl1716" localSheetId="11">#REF!</definedName>
    <definedName name="___________________obl1716" localSheetId="13">#REF!</definedName>
    <definedName name="___________________obl1716" localSheetId="18">#REF!</definedName>
    <definedName name="___________________obl1716" localSheetId="29">#REF!</definedName>
    <definedName name="___________________obl1716" localSheetId="30">#REF!</definedName>
    <definedName name="___________________obl1716" localSheetId="31">#REF!</definedName>
    <definedName name="___________________obl1716">#REF!</definedName>
    <definedName name="___________________obl1717" localSheetId="10">#REF!</definedName>
    <definedName name="___________________obl1717" localSheetId="24">#REF!</definedName>
    <definedName name="___________________obl1717" localSheetId="11">#REF!</definedName>
    <definedName name="___________________obl1717" localSheetId="13">#REF!</definedName>
    <definedName name="___________________obl1717" localSheetId="18">#REF!</definedName>
    <definedName name="___________________obl1717" localSheetId="29">#REF!</definedName>
    <definedName name="___________________obl1717" localSheetId="30">#REF!</definedName>
    <definedName name="___________________obl1717" localSheetId="31">#REF!</definedName>
    <definedName name="___________________obl1717">#REF!</definedName>
    <definedName name="___________________obl1718" localSheetId="10">#REF!</definedName>
    <definedName name="___________________obl1718" localSheetId="24">#REF!</definedName>
    <definedName name="___________________obl1718" localSheetId="11">#REF!</definedName>
    <definedName name="___________________obl1718" localSheetId="13">#REF!</definedName>
    <definedName name="___________________obl1718" localSheetId="18">#REF!</definedName>
    <definedName name="___________________obl1718" localSheetId="29">#REF!</definedName>
    <definedName name="___________________obl1718" localSheetId="30">#REF!</definedName>
    <definedName name="___________________obl1718" localSheetId="31">#REF!</definedName>
    <definedName name="___________________obl1718">#REF!</definedName>
    <definedName name="___________________obl1719" localSheetId="10">#REF!</definedName>
    <definedName name="___________________obl1719" localSheetId="24">#REF!</definedName>
    <definedName name="___________________obl1719" localSheetId="11">#REF!</definedName>
    <definedName name="___________________obl1719" localSheetId="13">#REF!</definedName>
    <definedName name="___________________obl1719" localSheetId="18">#REF!</definedName>
    <definedName name="___________________obl1719" localSheetId="29">#REF!</definedName>
    <definedName name="___________________obl1719" localSheetId="30">#REF!</definedName>
    <definedName name="___________________obl1719" localSheetId="31">#REF!</definedName>
    <definedName name="___________________obl1719">#REF!</definedName>
    <definedName name="___________________obl173" localSheetId="10">#REF!</definedName>
    <definedName name="___________________obl173" localSheetId="24">#REF!</definedName>
    <definedName name="___________________obl173" localSheetId="11">#REF!</definedName>
    <definedName name="___________________obl173" localSheetId="13">#REF!</definedName>
    <definedName name="___________________obl173" localSheetId="18">#REF!</definedName>
    <definedName name="___________________obl173" localSheetId="29">#REF!</definedName>
    <definedName name="___________________obl173" localSheetId="30">#REF!</definedName>
    <definedName name="___________________obl173" localSheetId="31">#REF!</definedName>
    <definedName name="___________________obl173">#REF!</definedName>
    <definedName name="___________________obl174" localSheetId="10">#REF!</definedName>
    <definedName name="___________________obl174" localSheetId="24">#REF!</definedName>
    <definedName name="___________________obl174" localSheetId="11">#REF!</definedName>
    <definedName name="___________________obl174" localSheetId="13">#REF!</definedName>
    <definedName name="___________________obl174" localSheetId="18">#REF!</definedName>
    <definedName name="___________________obl174" localSheetId="29">#REF!</definedName>
    <definedName name="___________________obl174" localSheetId="30">#REF!</definedName>
    <definedName name="___________________obl174" localSheetId="31">#REF!</definedName>
    <definedName name="___________________obl174">#REF!</definedName>
    <definedName name="___________________obl175" localSheetId="10">#REF!</definedName>
    <definedName name="___________________obl175" localSheetId="24">#REF!</definedName>
    <definedName name="___________________obl175" localSheetId="11">#REF!</definedName>
    <definedName name="___________________obl175" localSheetId="13">#REF!</definedName>
    <definedName name="___________________obl175" localSheetId="18">#REF!</definedName>
    <definedName name="___________________obl175" localSheetId="29">#REF!</definedName>
    <definedName name="___________________obl175" localSheetId="30">#REF!</definedName>
    <definedName name="___________________obl175" localSheetId="31">#REF!</definedName>
    <definedName name="___________________obl175">#REF!</definedName>
    <definedName name="___________________obl176" localSheetId="10">#REF!</definedName>
    <definedName name="___________________obl176" localSheetId="24">#REF!</definedName>
    <definedName name="___________________obl176" localSheetId="11">#REF!</definedName>
    <definedName name="___________________obl176" localSheetId="13">#REF!</definedName>
    <definedName name="___________________obl176" localSheetId="18">#REF!</definedName>
    <definedName name="___________________obl176" localSheetId="29">#REF!</definedName>
    <definedName name="___________________obl176" localSheetId="30">#REF!</definedName>
    <definedName name="___________________obl176" localSheetId="31">#REF!</definedName>
    <definedName name="___________________obl176">#REF!</definedName>
    <definedName name="___________________obl177" localSheetId="10">#REF!</definedName>
    <definedName name="___________________obl177" localSheetId="24">#REF!</definedName>
    <definedName name="___________________obl177" localSheetId="11">#REF!</definedName>
    <definedName name="___________________obl177" localSheetId="13">#REF!</definedName>
    <definedName name="___________________obl177" localSheetId="18">#REF!</definedName>
    <definedName name="___________________obl177" localSheetId="29">#REF!</definedName>
    <definedName name="___________________obl177" localSheetId="30">#REF!</definedName>
    <definedName name="___________________obl177" localSheetId="31">#REF!</definedName>
    <definedName name="___________________obl177">#REF!</definedName>
    <definedName name="___________________obl178" localSheetId="10">#REF!</definedName>
    <definedName name="___________________obl178" localSheetId="24">#REF!</definedName>
    <definedName name="___________________obl178" localSheetId="11">#REF!</definedName>
    <definedName name="___________________obl178" localSheetId="13">#REF!</definedName>
    <definedName name="___________________obl178" localSheetId="18">#REF!</definedName>
    <definedName name="___________________obl178" localSheetId="29">#REF!</definedName>
    <definedName name="___________________obl178" localSheetId="30">#REF!</definedName>
    <definedName name="___________________obl178" localSheetId="31">#REF!</definedName>
    <definedName name="___________________obl178">#REF!</definedName>
    <definedName name="___________________obl179" localSheetId="10">#REF!</definedName>
    <definedName name="___________________obl179" localSheetId="24">#REF!</definedName>
    <definedName name="___________________obl179" localSheetId="11">#REF!</definedName>
    <definedName name="___________________obl179" localSheetId="13">#REF!</definedName>
    <definedName name="___________________obl179" localSheetId="18">#REF!</definedName>
    <definedName name="___________________obl179" localSheetId="29">#REF!</definedName>
    <definedName name="___________________obl179" localSheetId="30">#REF!</definedName>
    <definedName name="___________________obl179" localSheetId="31">#REF!</definedName>
    <definedName name="___________________obl179">#REF!</definedName>
    <definedName name="___________________obl18" localSheetId="10">#REF!</definedName>
    <definedName name="___________________obl18" localSheetId="24">#REF!</definedName>
    <definedName name="___________________obl18" localSheetId="11">#REF!</definedName>
    <definedName name="___________________obl18" localSheetId="13">#REF!</definedName>
    <definedName name="___________________obl18" localSheetId="18">#REF!</definedName>
    <definedName name="___________________obl18" localSheetId="29">#REF!</definedName>
    <definedName name="___________________obl18" localSheetId="30">#REF!</definedName>
    <definedName name="___________________obl18" localSheetId="31">#REF!</definedName>
    <definedName name="___________________obl18">#REF!</definedName>
    <definedName name="___________________obl181" localSheetId="10">#REF!</definedName>
    <definedName name="___________________obl181" localSheetId="24">#REF!</definedName>
    <definedName name="___________________obl181" localSheetId="11">#REF!</definedName>
    <definedName name="___________________obl181" localSheetId="13">#REF!</definedName>
    <definedName name="___________________obl181" localSheetId="18">#REF!</definedName>
    <definedName name="___________________obl181" localSheetId="29">#REF!</definedName>
    <definedName name="___________________obl181" localSheetId="30">#REF!</definedName>
    <definedName name="___________________obl181" localSheetId="31">#REF!</definedName>
    <definedName name="___________________obl181">#REF!</definedName>
    <definedName name="___________________obl1816" localSheetId="10">#REF!</definedName>
    <definedName name="___________________obl1816" localSheetId="24">#REF!</definedName>
    <definedName name="___________________obl1816" localSheetId="11">#REF!</definedName>
    <definedName name="___________________obl1816" localSheetId="13">#REF!</definedName>
    <definedName name="___________________obl1816" localSheetId="18">#REF!</definedName>
    <definedName name="___________________obl1816" localSheetId="29">#REF!</definedName>
    <definedName name="___________________obl1816" localSheetId="30">#REF!</definedName>
    <definedName name="___________________obl1816" localSheetId="31">#REF!</definedName>
    <definedName name="___________________obl1816">#REF!</definedName>
    <definedName name="___________________obl1820" localSheetId="10">#REF!</definedName>
    <definedName name="___________________obl1820" localSheetId="24">#REF!</definedName>
    <definedName name="___________________obl1820" localSheetId="11">#REF!</definedName>
    <definedName name="___________________obl1820" localSheetId="13">#REF!</definedName>
    <definedName name="___________________obl1820" localSheetId="18">#REF!</definedName>
    <definedName name="___________________obl1820" localSheetId="29">#REF!</definedName>
    <definedName name="___________________obl1820" localSheetId="30">#REF!</definedName>
    <definedName name="___________________obl1820" localSheetId="31">#REF!</definedName>
    <definedName name="___________________obl1820">#REF!</definedName>
    <definedName name="___________________obl1821" localSheetId="10">#REF!</definedName>
    <definedName name="___________________obl1821" localSheetId="24">#REF!</definedName>
    <definedName name="___________________obl1821" localSheetId="11">#REF!</definedName>
    <definedName name="___________________obl1821" localSheetId="13">#REF!</definedName>
    <definedName name="___________________obl1821" localSheetId="18">#REF!</definedName>
    <definedName name="___________________obl1821" localSheetId="29">#REF!</definedName>
    <definedName name="___________________obl1821" localSheetId="30">#REF!</definedName>
    <definedName name="___________________obl1821" localSheetId="31">#REF!</definedName>
    <definedName name="___________________obl1821">#REF!</definedName>
    <definedName name="___________________obl1822" localSheetId="10">#REF!</definedName>
    <definedName name="___________________obl1822" localSheetId="24">#REF!</definedName>
    <definedName name="___________________obl1822" localSheetId="11">#REF!</definedName>
    <definedName name="___________________obl1822" localSheetId="13">#REF!</definedName>
    <definedName name="___________________obl1822" localSheetId="18">#REF!</definedName>
    <definedName name="___________________obl1822" localSheetId="29">#REF!</definedName>
    <definedName name="___________________obl1822" localSheetId="30">#REF!</definedName>
    <definedName name="___________________obl1822" localSheetId="31">#REF!</definedName>
    <definedName name="___________________obl1822">#REF!</definedName>
    <definedName name="___________________obl1823" localSheetId="10">#REF!</definedName>
    <definedName name="___________________obl1823" localSheetId="24">#REF!</definedName>
    <definedName name="___________________obl1823" localSheetId="11">#REF!</definedName>
    <definedName name="___________________obl1823" localSheetId="13">#REF!</definedName>
    <definedName name="___________________obl1823" localSheetId="18">#REF!</definedName>
    <definedName name="___________________obl1823" localSheetId="29">#REF!</definedName>
    <definedName name="___________________obl1823" localSheetId="30">#REF!</definedName>
    <definedName name="___________________obl1823" localSheetId="31">#REF!</definedName>
    <definedName name="___________________obl1823">#REF!</definedName>
    <definedName name="___________________obl1824" localSheetId="10">#REF!</definedName>
    <definedName name="___________________obl1824" localSheetId="24">#REF!</definedName>
    <definedName name="___________________obl1824" localSheetId="11">#REF!</definedName>
    <definedName name="___________________obl1824" localSheetId="13">#REF!</definedName>
    <definedName name="___________________obl1824" localSheetId="18">#REF!</definedName>
    <definedName name="___________________obl1824" localSheetId="29">#REF!</definedName>
    <definedName name="___________________obl1824" localSheetId="30">#REF!</definedName>
    <definedName name="___________________obl1824" localSheetId="31">#REF!</definedName>
    <definedName name="___________________obl1824">#REF!</definedName>
    <definedName name="___________________obl1825" localSheetId="10">#REF!</definedName>
    <definedName name="___________________obl1825" localSheetId="24">#REF!</definedName>
    <definedName name="___________________obl1825" localSheetId="11">#REF!</definedName>
    <definedName name="___________________obl1825" localSheetId="13">#REF!</definedName>
    <definedName name="___________________obl1825" localSheetId="18">#REF!</definedName>
    <definedName name="___________________obl1825" localSheetId="29">#REF!</definedName>
    <definedName name="___________________obl1825" localSheetId="30">#REF!</definedName>
    <definedName name="___________________obl1825" localSheetId="31">#REF!</definedName>
    <definedName name="___________________obl1825">#REF!</definedName>
    <definedName name="___________________obl1826" localSheetId="10">#REF!</definedName>
    <definedName name="___________________obl1826" localSheetId="24">#REF!</definedName>
    <definedName name="___________________obl1826" localSheetId="11">#REF!</definedName>
    <definedName name="___________________obl1826" localSheetId="13">#REF!</definedName>
    <definedName name="___________________obl1826" localSheetId="18">#REF!</definedName>
    <definedName name="___________________obl1826" localSheetId="29">#REF!</definedName>
    <definedName name="___________________obl1826" localSheetId="30">#REF!</definedName>
    <definedName name="___________________obl1826" localSheetId="31">#REF!</definedName>
    <definedName name="___________________obl1826">#REF!</definedName>
    <definedName name="___________________obl1827" localSheetId="10">#REF!</definedName>
    <definedName name="___________________obl1827" localSheetId="24">#REF!</definedName>
    <definedName name="___________________obl1827" localSheetId="11">#REF!</definedName>
    <definedName name="___________________obl1827" localSheetId="13">#REF!</definedName>
    <definedName name="___________________obl1827" localSheetId="18">#REF!</definedName>
    <definedName name="___________________obl1827" localSheetId="29">#REF!</definedName>
    <definedName name="___________________obl1827" localSheetId="30">#REF!</definedName>
    <definedName name="___________________obl1827" localSheetId="31">#REF!</definedName>
    <definedName name="___________________obl1827">#REF!</definedName>
    <definedName name="___________________obl1828" localSheetId="10">#REF!</definedName>
    <definedName name="___________________obl1828" localSheetId="24">#REF!</definedName>
    <definedName name="___________________obl1828" localSheetId="11">#REF!</definedName>
    <definedName name="___________________obl1828" localSheetId="13">#REF!</definedName>
    <definedName name="___________________obl1828" localSheetId="18">#REF!</definedName>
    <definedName name="___________________obl1828" localSheetId="29">#REF!</definedName>
    <definedName name="___________________obl1828" localSheetId="30">#REF!</definedName>
    <definedName name="___________________obl1828" localSheetId="31">#REF!</definedName>
    <definedName name="___________________obl1828">#REF!</definedName>
    <definedName name="___________________obl1829" localSheetId="10">#REF!</definedName>
    <definedName name="___________________obl1829" localSheetId="24">#REF!</definedName>
    <definedName name="___________________obl1829" localSheetId="11">#REF!</definedName>
    <definedName name="___________________obl1829" localSheetId="13">#REF!</definedName>
    <definedName name="___________________obl1829" localSheetId="18">#REF!</definedName>
    <definedName name="___________________obl1829" localSheetId="29">#REF!</definedName>
    <definedName name="___________________obl1829" localSheetId="30">#REF!</definedName>
    <definedName name="___________________obl1829" localSheetId="31">#REF!</definedName>
    <definedName name="___________________obl1829">#REF!</definedName>
    <definedName name="___________________obl183" localSheetId="10">#REF!</definedName>
    <definedName name="___________________obl183" localSheetId="24">#REF!</definedName>
    <definedName name="___________________obl183" localSheetId="11">#REF!</definedName>
    <definedName name="___________________obl183" localSheetId="13">#REF!</definedName>
    <definedName name="___________________obl183" localSheetId="18">#REF!</definedName>
    <definedName name="___________________obl183" localSheetId="29">#REF!</definedName>
    <definedName name="___________________obl183" localSheetId="30">#REF!</definedName>
    <definedName name="___________________obl183" localSheetId="31">#REF!</definedName>
    <definedName name="___________________obl183">#REF!</definedName>
    <definedName name="___________________obl1831" localSheetId="10">#REF!</definedName>
    <definedName name="___________________obl1831" localSheetId="24">#REF!</definedName>
    <definedName name="___________________obl1831" localSheetId="11">#REF!</definedName>
    <definedName name="___________________obl1831" localSheetId="13">#REF!</definedName>
    <definedName name="___________________obl1831" localSheetId="18">#REF!</definedName>
    <definedName name="___________________obl1831" localSheetId="29">#REF!</definedName>
    <definedName name="___________________obl1831" localSheetId="30">#REF!</definedName>
    <definedName name="___________________obl1831" localSheetId="31">#REF!</definedName>
    <definedName name="___________________obl1831">#REF!</definedName>
    <definedName name="___________________obl1832" localSheetId="10">#REF!</definedName>
    <definedName name="___________________obl1832" localSheetId="24">#REF!</definedName>
    <definedName name="___________________obl1832" localSheetId="11">#REF!</definedName>
    <definedName name="___________________obl1832" localSheetId="13">#REF!</definedName>
    <definedName name="___________________obl1832" localSheetId="18">#REF!</definedName>
    <definedName name="___________________obl1832" localSheetId="29">#REF!</definedName>
    <definedName name="___________________obl1832" localSheetId="30">#REF!</definedName>
    <definedName name="___________________obl1832" localSheetId="31">#REF!</definedName>
    <definedName name="___________________obl1832">#REF!</definedName>
    <definedName name="___________________obl184" localSheetId="10">#REF!</definedName>
    <definedName name="___________________obl184" localSheetId="24">#REF!</definedName>
    <definedName name="___________________obl184" localSheetId="11">#REF!</definedName>
    <definedName name="___________________obl184" localSheetId="13">#REF!</definedName>
    <definedName name="___________________obl184" localSheetId="18">#REF!</definedName>
    <definedName name="___________________obl184" localSheetId="29">#REF!</definedName>
    <definedName name="___________________obl184" localSheetId="30">#REF!</definedName>
    <definedName name="___________________obl184" localSheetId="31">#REF!</definedName>
    <definedName name="___________________obl184">#REF!</definedName>
    <definedName name="___________________obl185" localSheetId="10">#REF!</definedName>
    <definedName name="___________________obl185" localSheetId="24">#REF!</definedName>
    <definedName name="___________________obl185" localSheetId="11">#REF!</definedName>
    <definedName name="___________________obl185" localSheetId="13">#REF!</definedName>
    <definedName name="___________________obl185" localSheetId="18">#REF!</definedName>
    <definedName name="___________________obl185" localSheetId="29">#REF!</definedName>
    <definedName name="___________________obl185" localSheetId="30">#REF!</definedName>
    <definedName name="___________________obl185" localSheetId="31">#REF!</definedName>
    <definedName name="___________________obl185">#REF!</definedName>
    <definedName name="___________________obl186" localSheetId="10">#REF!</definedName>
    <definedName name="___________________obl186" localSheetId="24">#REF!</definedName>
    <definedName name="___________________obl186" localSheetId="11">#REF!</definedName>
    <definedName name="___________________obl186" localSheetId="13">#REF!</definedName>
    <definedName name="___________________obl186" localSheetId="18">#REF!</definedName>
    <definedName name="___________________obl186" localSheetId="29">#REF!</definedName>
    <definedName name="___________________obl186" localSheetId="30">#REF!</definedName>
    <definedName name="___________________obl186" localSheetId="31">#REF!</definedName>
    <definedName name="___________________obl186">#REF!</definedName>
    <definedName name="___________________obl187" localSheetId="10">#REF!</definedName>
    <definedName name="___________________obl187" localSheetId="24">#REF!</definedName>
    <definedName name="___________________obl187" localSheetId="11">#REF!</definedName>
    <definedName name="___________________obl187" localSheetId="13">#REF!</definedName>
    <definedName name="___________________obl187" localSheetId="18">#REF!</definedName>
    <definedName name="___________________obl187" localSheetId="29">#REF!</definedName>
    <definedName name="___________________obl187" localSheetId="30">#REF!</definedName>
    <definedName name="___________________obl187" localSheetId="31">#REF!</definedName>
    <definedName name="___________________obl187">#REF!</definedName>
    <definedName name="__________________obl11" localSheetId="10">#REF!</definedName>
    <definedName name="__________________obl11" localSheetId="23">#REF!</definedName>
    <definedName name="__________________obl11" localSheetId="24">#REF!</definedName>
    <definedName name="__________________obl11" localSheetId="11">#REF!</definedName>
    <definedName name="__________________obl11" localSheetId="13">#REF!</definedName>
    <definedName name="__________________obl11" localSheetId="29">#REF!</definedName>
    <definedName name="__________________obl11" localSheetId="30">#REF!</definedName>
    <definedName name="__________________obl11" localSheetId="31">#REF!</definedName>
    <definedName name="__________________obl11">#REF!</definedName>
    <definedName name="__________________obl12" localSheetId="10">#REF!</definedName>
    <definedName name="__________________obl12" localSheetId="23">#REF!</definedName>
    <definedName name="__________________obl12" localSheetId="24">#REF!</definedName>
    <definedName name="__________________obl12" localSheetId="11">#REF!</definedName>
    <definedName name="__________________obl12" localSheetId="13">#REF!</definedName>
    <definedName name="__________________obl12" localSheetId="29">#REF!</definedName>
    <definedName name="__________________obl12" localSheetId="30">#REF!</definedName>
    <definedName name="__________________obl12" localSheetId="31">#REF!</definedName>
    <definedName name="__________________obl12">#REF!</definedName>
    <definedName name="__________________obl13" localSheetId="10">#REF!</definedName>
    <definedName name="__________________obl13" localSheetId="23">#REF!</definedName>
    <definedName name="__________________obl13" localSheetId="24">#REF!</definedName>
    <definedName name="__________________obl13" localSheetId="11">#REF!</definedName>
    <definedName name="__________________obl13" localSheetId="13">#REF!</definedName>
    <definedName name="__________________obl13" localSheetId="29">#REF!</definedName>
    <definedName name="__________________obl13" localSheetId="30">#REF!</definedName>
    <definedName name="__________________obl13" localSheetId="31">#REF!</definedName>
    <definedName name="__________________obl13">#REF!</definedName>
    <definedName name="__________________obl14" localSheetId="10">#REF!</definedName>
    <definedName name="__________________obl14" localSheetId="23">#REF!</definedName>
    <definedName name="__________________obl14" localSheetId="24">#REF!</definedName>
    <definedName name="__________________obl14" localSheetId="11">#REF!</definedName>
    <definedName name="__________________obl14" localSheetId="13">#REF!</definedName>
    <definedName name="__________________obl14" localSheetId="29">#REF!</definedName>
    <definedName name="__________________obl14" localSheetId="30">#REF!</definedName>
    <definedName name="__________________obl14" localSheetId="31">#REF!</definedName>
    <definedName name="__________________obl14">#REF!</definedName>
    <definedName name="__________________obl15" localSheetId="10">#REF!</definedName>
    <definedName name="__________________obl15" localSheetId="23">#REF!</definedName>
    <definedName name="__________________obl15" localSheetId="24">#REF!</definedName>
    <definedName name="__________________obl15" localSheetId="11">#REF!</definedName>
    <definedName name="__________________obl15" localSheetId="13">#REF!</definedName>
    <definedName name="__________________obl15" localSheetId="29">#REF!</definedName>
    <definedName name="__________________obl15" localSheetId="30">#REF!</definedName>
    <definedName name="__________________obl15" localSheetId="31">#REF!</definedName>
    <definedName name="__________________obl15">#REF!</definedName>
    <definedName name="__________________obl16" localSheetId="10">#REF!</definedName>
    <definedName name="__________________obl16" localSheetId="23">#REF!</definedName>
    <definedName name="__________________obl16" localSheetId="24">#REF!</definedName>
    <definedName name="__________________obl16" localSheetId="11">#REF!</definedName>
    <definedName name="__________________obl16" localSheetId="13">#REF!</definedName>
    <definedName name="__________________obl16" localSheetId="29">#REF!</definedName>
    <definedName name="__________________obl16" localSheetId="30">#REF!</definedName>
    <definedName name="__________________obl16" localSheetId="31">#REF!</definedName>
    <definedName name="__________________obl16">#REF!</definedName>
    <definedName name="__________________obl17" localSheetId="10">#REF!</definedName>
    <definedName name="__________________obl17" localSheetId="23">#REF!</definedName>
    <definedName name="__________________obl17" localSheetId="24">#REF!</definedName>
    <definedName name="__________________obl17" localSheetId="11">#REF!</definedName>
    <definedName name="__________________obl17" localSheetId="13">#REF!</definedName>
    <definedName name="__________________obl17" localSheetId="29">#REF!</definedName>
    <definedName name="__________________obl17" localSheetId="30">#REF!</definedName>
    <definedName name="__________________obl17" localSheetId="31">#REF!</definedName>
    <definedName name="__________________obl17">#REF!</definedName>
    <definedName name="__________________obl1710" localSheetId="10">#REF!</definedName>
    <definedName name="__________________obl1710" localSheetId="23">#REF!</definedName>
    <definedName name="__________________obl1710" localSheetId="24">#REF!</definedName>
    <definedName name="__________________obl1710" localSheetId="11">#REF!</definedName>
    <definedName name="__________________obl1710" localSheetId="13">#REF!</definedName>
    <definedName name="__________________obl1710" localSheetId="29">#REF!</definedName>
    <definedName name="__________________obl1710" localSheetId="30">#REF!</definedName>
    <definedName name="__________________obl1710" localSheetId="31">#REF!</definedName>
    <definedName name="__________________obl1710">#REF!</definedName>
    <definedName name="__________________obl1711" localSheetId="10">#REF!</definedName>
    <definedName name="__________________obl1711" localSheetId="23">#REF!</definedName>
    <definedName name="__________________obl1711" localSheetId="24">#REF!</definedName>
    <definedName name="__________________obl1711" localSheetId="11">#REF!</definedName>
    <definedName name="__________________obl1711" localSheetId="13">#REF!</definedName>
    <definedName name="__________________obl1711" localSheetId="29">#REF!</definedName>
    <definedName name="__________________obl1711" localSheetId="30">#REF!</definedName>
    <definedName name="__________________obl1711" localSheetId="31">#REF!</definedName>
    <definedName name="__________________obl1711">#REF!</definedName>
    <definedName name="__________________obl1712" localSheetId="10">#REF!</definedName>
    <definedName name="__________________obl1712" localSheetId="23">#REF!</definedName>
    <definedName name="__________________obl1712" localSheetId="24">#REF!</definedName>
    <definedName name="__________________obl1712" localSheetId="11">#REF!</definedName>
    <definedName name="__________________obl1712" localSheetId="13">#REF!</definedName>
    <definedName name="__________________obl1712" localSheetId="29">#REF!</definedName>
    <definedName name="__________________obl1712" localSheetId="30">#REF!</definedName>
    <definedName name="__________________obl1712" localSheetId="31">#REF!</definedName>
    <definedName name="__________________obl1712">#REF!</definedName>
    <definedName name="__________________obl1713" localSheetId="10">#REF!</definedName>
    <definedName name="__________________obl1713" localSheetId="23">#REF!</definedName>
    <definedName name="__________________obl1713" localSheetId="24">#REF!</definedName>
    <definedName name="__________________obl1713" localSheetId="11">#REF!</definedName>
    <definedName name="__________________obl1713" localSheetId="13">#REF!</definedName>
    <definedName name="__________________obl1713" localSheetId="29">#REF!</definedName>
    <definedName name="__________________obl1713" localSheetId="30">#REF!</definedName>
    <definedName name="__________________obl1713" localSheetId="31">#REF!</definedName>
    <definedName name="__________________obl1713">#REF!</definedName>
    <definedName name="__________________obl1714" localSheetId="10">#REF!</definedName>
    <definedName name="__________________obl1714" localSheetId="23">#REF!</definedName>
    <definedName name="__________________obl1714" localSheetId="24">#REF!</definedName>
    <definedName name="__________________obl1714" localSheetId="11">#REF!</definedName>
    <definedName name="__________________obl1714" localSheetId="13">#REF!</definedName>
    <definedName name="__________________obl1714" localSheetId="29">#REF!</definedName>
    <definedName name="__________________obl1714" localSheetId="30">#REF!</definedName>
    <definedName name="__________________obl1714" localSheetId="31">#REF!</definedName>
    <definedName name="__________________obl1714">#REF!</definedName>
    <definedName name="__________________obl1715" localSheetId="10">#REF!</definedName>
    <definedName name="__________________obl1715" localSheetId="23">#REF!</definedName>
    <definedName name="__________________obl1715" localSheetId="24">#REF!</definedName>
    <definedName name="__________________obl1715" localSheetId="11">#REF!</definedName>
    <definedName name="__________________obl1715" localSheetId="13">#REF!</definedName>
    <definedName name="__________________obl1715" localSheetId="29">#REF!</definedName>
    <definedName name="__________________obl1715" localSheetId="30">#REF!</definedName>
    <definedName name="__________________obl1715" localSheetId="31">#REF!</definedName>
    <definedName name="__________________obl1715">#REF!</definedName>
    <definedName name="__________________obl1716" localSheetId="10">#REF!</definedName>
    <definedName name="__________________obl1716" localSheetId="23">#REF!</definedName>
    <definedName name="__________________obl1716" localSheetId="24">#REF!</definedName>
    <definedName name="__________________obl1716" localSheetId="11">#REF!</definedName>
    <definedName name="__________________obl1716" localSheetId="13">#REF!</definedName>
    <definedName name="__________________obl1716" localSheetId="29">#REF!</definedName>
    <definedName name="__________________obl1716" localSheetId="30">#REF!</definedName>
    <definedName name="__________________obl1716" localSheetId="31">#REF!</definedName>
    <definedName name="__________________obl1716">#REF!</definedName>
    <definedName name="__________________obl1717" localSheetId="10">#REF!</definedName>
    <definedName name="__________________obl1717" localSheetId="23">#REF!</definedName>
    <definedName name="__________________obl1717" localSheetId="24">#REF!</definedName>
    <definedName name="__________________obl1717" localSheetId="11">#REF!</definedName>
    <definedName name="__________________obl1717" localSheetId="13">#REF!</definedName>
    <definedName name="__________________obl1717" localSheetId="29">#REF!</definedName>
    <definedName name="__________________obl1717" localSheetId="30">#REF!</definedName>
    <definedName name="__________________obl1717" localSheetId="31">#REF!</definedName>
    <definedName name="__________________obl1717">#REF!</definedName>
    <definedName name="__________________obl1718" localSheetId="10">#REF!</definedName>
    <definedName name="__________________obl1718" localSheetId="23">#REF!</definedName>
    <definedName name="__________________obl1718" localSheetId="24">#REF!</definedName>
    <definedName name="__________________obl1718" localSheetId="11">#REF!</definedName>
    <definedName name="__________________obl1718" localSheetId="13">#REF!</definedName>
    <definedName name="__________________obl1718" localSheetId="29">#REF!</definedName>
    <definedName name="__________________obl1718" localSheetId="30">#REF!</definedName>
    <definedName name="__________________obl1718" localSheetId="31">#REF!</definedName>
    <definedName name="__________________obl1718">#REF!</definedName>
    <definedName name="__________________obl1719" localSheetId="10">#REF!</definedName>
    <definedName name="__________________obl1719" localSheetId="23">#REF!</definedName>
    <definedName name="__________________obl1719" localSheetId="24">#REF!</definedName>
    <definedName name="__________________obl1719" localSheetId="11">#REF!</definedName>
    <definedName name="__________________obl1719" localSheetId="13">#REF!</definedName>
    <definedName name="__________________obl1719" localSheetId="29">#REF!</definedName>
    <definedName name="__________________obl1719" localSheetId="30">#REF!</definedName>
    <definedName name="__________________obl1719" localSheetId="31">#REF!</definedName>
    <definedName name="__________________obl1719">#REF!</definedName>
    <definedName name="__________________obl173" localSheetId="10">#REF!</definedName>
    <definedName name="__________________obl173" localSheetId="23">#REF!</definedName>
    <definedName name="__________________obl173" localSheetId="24">#REF!</definedName>
    <definedName name="__________________obl173" localSheetId="11">#REF!</definedName>
    <definedName name="__________________obl173" localSheetId="13">#REF!</definedName>
    <definedName name="__________________obl173" localSheetId="29">#REF!</definedName>
    <definedName name="__________________obl173" localSheetId="30">#REF!</definedName>
    <definedName name="__________________obl173" localSheetId="31">#REF!</definedName>
    <definedName name="__________________obl173">#REF!</definedName>
    <definedName name="__________________obl174" localSheetId="10">#REF!</definedName>
    <definedName name="__________________obl174" localSheetId="23">#REF!</definedName>
    <definedName name="__________________obl174" localSheetId="24">#REF!</definedName>
    <definedName name="__________________obl174" localSheetId="11">#REF!</definedName>
    <definedName name="__________________obl174" localSheetId="13">#REF!</definedName>
    <definedName name="__________________obl174" localSheetId="29">#REF!</definedName>
    <definedName name="__________________obl174" localSheetId="30">#REF!</definedName>
    <definedName name="__________________obl174" localSheetId="31">#REF!</definedName>
    <definedName name="__________________obl174">#REF!</definedName>
    <definedName name="__________________obl175" localSheetId="10">#REF!</definedName>
    <definedName name="__________________obl175" localSheetId="23">#REF!</definedName>
    <definedName name="__________________obl175" localSheetId="24">#REF!</definedName>
    <definedName name="__________________obl175" localSheetId="11">#REF!</definedName>
    <definedName name="__________________obl175" localSheetId="13">#REF!</definedName>
    <definedName name="__________________obl175" localSheetId="29">#REF!</definedName>
    <definedName name="__________________obl175" localSheetId="30">#REF!</definedName>
    <definedName name="__________________obl175" localSheetId="31">#REF!</definedName>
    <definedName name="__________________obl175">#REF!</definedName>
    <definedName name="__________________obl176" localSheetId="10">#REF!</definedName>
    <definedName name="__________________obl176" localSheetId="23">#REF!</definedName>
    <definedName name="__________________obl176" localSheetId="24">#REF!</definedName>
    <definedName name="__________________obl176" localSheetId="11">#REF!</definedName>
    <definedName name="__________________obl176" localSheetId="13">#REF!</definedName>
    <definedName name="__________________obl176" localSheetId="29">#REF!</definedName>
    <definedName name="__________________obl176" localSheetId="30">#REF!</definedName>
    <definedName name="__________________obl176" localSheetId="31">#REF!</definedName>
    <definedName name="__________________obl176">#REF!</definedName>
    <definedName name="__________________obl177" localSheetId="10">#REF!</definedName>
    <definedName name="__________________obl177" localSheetId="23">#REF!</definedName>
    <definedName name="__________________obl177" localSheetId="24">#REF!</definedName>
    <definedName name="__________________obl177" localSheetId="11">#REF!</definedName>
    <definedName name="__________________obl177" localSheetId="13">#REF!</definedName>
    <definedName name="__________________obl177" localSheetId="29">#REF!</definedName>
    <definedName name="__________________obl177" localSheetId="30">#REF!</definedName>
    <definedName name="__________________obl177" localSheetId="31">#REF!</definedName>
    <definedName name="__________________obl177">#REF!</definedName>
    <definedName name="__________________obl178" localSheetId="10">#REF!</definedName>
    <definedName name="__________________obl178" localSheetId="23">#REF!</definedName>
    <definedName name="__________________obl178" localSheetId="24">#REF!</definedName>
    <definedName name="__________________obl178" localSheetId="11">#REF!</definedName>
    <definedName name="__________________obl178" localSheetId="13">#REF!</definedName>
    <definedName name="__________________obl178" localSheetId="29">#REF!</definedName>
    <definedName name="__________________obl178" localSheetId="30">#REF!</definedName>
    <definedName name="__________________obl178" localSheetId="31">#REF!</definedName>
    <definedName name="__________________obl178">#REF!</definedName>
    <definedName name="__________________obl179" localSheetId="10">#REF!</definedName>
    <definedName name="__________________obl179" localSheetId="23">#REF!</definedName>
    <definedName name="__________________obl179" localSheetId="24">#REF!</definedName>
    <definedName name="__________________obl179" localSheetId="11">#REF!</definedName>
    <definedName name="__________________obl179" localSheetId="13">#REF!</definedName>
    <definedName name="__________________obl179" localSheetId="29">#REF!</definedName>
    <definedName name="__________________obl179" localSheetId="30">#REF!</definedName>
    <definedName name="__________________obl179" localSheetId="31">#REF!</definedName>
    <definedName name="__________________obl179">#REF!</definedName>
    <definedName name="__________________obl18" localSheetId="10">#REF!</definedName>
    <definedName name="__________________obl18" localSheetId="23">#REF!</definedName>
    <definedName name="__________________obl18" localSheetId="24">#REF!</definedName>
    <definedName name="__________________obl18" localSheetId="11">#REF!</definedName>
    <definedName name="__________________obl18" localSheetId="13">#REF!</definedName>
    <definedName name="__________________obl18" localSheetId="29">#REF!</definedName>
    <definedName name="__________________obl18" localSheetId="30">#REF!</definedName>
    <definedName name="__________________obl18" localSheetId="31">#REF!</definedName>
    <definedName name="__________________obl18">#REF!</definedName>
    <definedName name="__________________obl181" localSheetId="10">#REF!</definedName>
    <definedName name="__________________obl181" localSheetId="23">#REF!</definedName>
    <definedName name="__________________obl181" localSheetId="24">#REF!</definedName>
    <definedName name="__________________obl181" localSheetId="11">#REF!</definedName>
    <definedName name="__________________obl181" localSheetId="13">#REF!</definedName>
    <definedName name="__________________obl181" localSheetId="29">#REF!</definedName>
    <definedName name="__________________obl181" localSheetId="30">#REF!</definedName>
    <definedName name="__________________obl181" localSheetId="31">#REF!</definedName>
    <definedName name="__________________obl181">#REF!</definedName>
    <definedName name="__________________obl1816" localSheetId="10">#REF!</definedName>
    <definedName name="__________________obl1816" localSheetId="23">#REF!</definedName>
    <definedName name="__________________obl1816" localSheetId="24">#REF!</definedName>
    <definedName name="__________________obl1816" localSheetId="11">#REF!</definedName>
    <definedName name="__________________obl1816" localSheetId="13">#REF!</definedName>
    <definedName name="__________________obl1816" localSheetId="29">#REF!</definedName>
    <definedName name="__________________obl1816" localSheetId="30">#REF!</definedName>
    <definedName name="__________________obl1816" localSheetId="31">#REF!</definedName>
    <definedName name="__________________obl1816">#REF!</definedName>
    <definedName name="__________________obl1820" localSheetId="10">#REF!</definedName>
    <definedName name="__________________obl1820" localSheetId="23">#REF!</definedName>
    <definedName name="__________________obl1820" localSheetId="24">#REF!</definedName>
    <definedName name="__________________obl1820" localSheetId="11">#REF!</definedName>
    <definedName name="__________________obl1820" localSheetId="13">#REF!</definedName>
    <definedName name="__________________obl1820" localSheetId="29">#REF!</definedName>
    <definedName name="__________________obl1820" localSheetId="30">#REF!</definedName>
    <definedName name="__________________obl1820" localSheetId="31">#REF!</definedName>
    <definedName name="__________________obl1820">#REF!</definedName>
    <definedName name="__________________obl1821" localSheetId="10">#REF!</definedName>
    <definedName name="__________________obl1821" localSheetId="23">#REF!</definedName>
    <definedName name="__________________obl1821" localSheetId="24">#REF!</definedName>
    <definedName name="__________________obl1821" localSheetId="11">#REF!</definedName>
    <definedName name="__________________obl1821" localSheetId="13">#REF!</definedName>
    <definedName name="__________________obl1821" localSheetId="29">#REF!</definedName>
    <definedName name="__________________obl1821" localSheetId="30">#REF!</definedName>
    <definedName name="__________________obl1821" localSheetId="31">#REF!</definedName>
    <definedName name="__________________obl1821">#REF!</definedName>
    <definedName name="__________________obl1822" localSheetId="10">#REF!</definedName>
    <definedName name="__________________obl1822" localSheetId="23">#REF!</definedName>
    <definedName name="__________________obl1822" localSheetId="24">#REF!</definedName>
    <definedName name="__________________obl1822" localSheetId="11">#REF!</definedName>
    <definedName name="__________________obl1822" localSheetId="13">#REF!</definedName>
    <definedName name="__________________obl1822" localSheetId="29">#REF!</definedName>
    <definedName name="__________________obl1822" localSheetId="30">#REF!</definedName>
    <definedName name="__________________obl1822" localSheetId="31">#REF!</definedName>
    <definedName name="__________________obl1822">#REF!</definedName>
    <definedName name="__________________obl1823" localSheetId="10">#REF!</definedName>
    <definedName name="__________________obl1823" localSheetId="23">#REF!</definedName>
    <definedName name="__________________obl1823" localSheetId="24">#REF!</definedName>
    <definedName name="__________________obl1823" localSheetId="11">#REF!</definedName>
    <definedName name="__________________obl1823" localSheetId="13">#REF!</definedName>
    <definedName name="__________________obl1823" localSheetId="29">#REF!</definedName>
    <definedName name="__________________obl1823" localSheetId="30">#REF!</definedName>
    <definedName name="__________________obl1823" localSheetId="31">#REF!</definedName>
    <definedName name="__________________obl1823">#REF!</definedName>
    <definedName name="__________________obl1824" localSheetId="10">#REF!</definedName>
    <definedName name="__________________obl1824" localSheetId="23">#REF!</definedName>
    <definedName name="__________________obl1824" localSheetId="24">#REF!</definedName>
    <definedName name="__________________obl1824" localSheetId="11">#REF!</definedName>
    <definedName name="__________________obl1824" localSheetId="13">#REF!</definedName>
    <definedName name="__________________obl1824" localSheetId="29">#REF!</definedName>
    <definedName name="__________________obl1824" localSheetId="30">#REF!</definedName>
    <definedName name="__________________obl1824" localSheetId="31">#REF!</definedName>
    <definedName name="__________________obl1824">#REF!</definedName>
    <definedName name="__________________obl1825" localSheetId="10">#REF!</definedName>
    <definedName name="__________________obl1825" localSheetId="23">#REF!</definedName>
    <definedName name="__________________obl1825" localSheetId="24">#REF!</definedName>
    <definedName name="__________________obl1825" localSheetId="11">#REF!</definedName>
    <definedName name="__________________obl1825" localSheetId="13">#REF!</definedName>
    <definedName name="__________________obl1825" localSheetId="29">#REF!</definedName>
    <definedName name="__________________obl1825" localSheetId="30">#REF!</definedName>
    <definedName name="__________________obl1825" localSheetId="31">#REF!</definedName>
    <definedName name="__________________obl1825">#REF!</definedName>
    <definedName name="__________________obl1826" localSheetId="10">#REF!</definedName>
    <definedName name="__________________obl1826" localSheetId="23">#REF!</definedName>
    <definedName name="__________________obl1826" localSheetId="24">#REF!</definedName>
    <definedName name="__________________obl1826" localSheetId="11">#REF!</definedName>
    <definedName name="__________________obl1826" localSheetId="13">#REF!</definedName>
    <definedName name="__________________obl1826" localSheetId="29">#REF!</definedName>
    <definedName name="__________________obl1826" localSheetId="30">#REF!</definedName>
    <definedName name="__________________obl1826" localSheetId="31">#REF!</definedName>
    <definedName name="__________________obl1826">#REF!</definedName>
    <definedName name="__________________obl1827" localSheetId="10">#REF!</definedName>
    <definedName name="__________________obl1827" localSheetId="23">#REF!</definedName>
    <definedName name="__________________obl1827" localSheetId="24">#REF!</definedName>
    <definedName name="__________________obl1827" localSheetId="11">#REF!</definedName>
    <definedName name="__________________obl1827" localSheetId="13">#REF!</definedName>
    <definedName name="__________________obl1827" localSheetId="29">#REF!</definedName>
    <definedName name="__________________obl1827" localSheetId="30">#REF!</definedName>
    <definedName name="__________________obl1827" localSheetId="31">#REF!</definedName>
    <definedName name="__________________obl1827">#REF!</definedName>
    <definedName name="__________________obl1828" localSheetId="10">#REF!</definedName>
    <definedName name="__________________obl1828" localSheetId="23">#REF!</definedName>
    <definedName name="__________________obl1828" localSheetId="24">#REF!</definedName>
    <definedName name="__________________obl1828" localSheetId="11">#REF!</definedName>
    <definedName name="__________________obl1828" localSheetId="13">#REF!</definedName>
    <definedName name="__________________obl1828" localSheetId="29">#REF!</definedName>
    <definedName name="__________________obl1828" localSheetId="30">#REF!</definedName>
    <definedName name="__________________obl1828" localSheetId="31">#REF!</definedName>
    <definedName name="__________________obl1828">#REF!</definedName>
    <definedName name="__________________obl1829" localSheetId="10">#REF!</definedName>
    <definedName name="__________________obl1829" localSheetId="23">#REF!</definedName>
    <definedName name="__________________obl1829" localSheetId="24">#REF!</definedName>
    <definedName name="__________________obl1829" localSheetId="11">#REF!</definedName>
    <definedName name="__________________obl1829" localSheetId="13">#REF!</definedName>
    <definedName name="__________________obl1829" localSheetId="29">#REF!</definedName>
    <definedName name="__________________obl1829" localSheetId="30">#REF!</definedName>
    <definedName name="__________________obl1829" localSheetId="31">#REF!</definedName>
    <definedName name="__________________obl1829">#REF!</definedName>
    <definedName name="__________________obl183" localSheetId="10">#REF!</definedName>
    <definedName name="__________________obl183" localSheetId="23">#REF!</definedName>
    <definedName name="__________________obl183" localSheetId="24">#REF!</definedName>
    <definedName name="__________________obl183" localSheetId="11">#REF!</definedName>
    <definedName name="__________________obl183" localSheetId="13">#REF!</definedName>
    <definedName name="__________________obl183" localSheetId="29">#REF!</definedName>
    <definedName name="__________________obl183" localSheetId="30">#REF!</definedName>
    <definedName name="__________________obl183" localSheetId="31">#REF!</definedName>
    <definedName name="__________________obl183">#REF!</definedName>
    <definedName name="__________________obl1831" localSheetId="10">#REF!</definedName>
    <definedName name="__________________obl1831" localSheetId="23">#REF!</definedName>
    <definedName name="__________________obl1831" localSheetId="24">#REF!</definedName>
    <definedName name="__________________obl1831" localSheetId="11">#REF!</definedName>
    <definedName name="__________________obl1831" localSheetId="13">#REF!</definedName>
    <definedName name="__________________obl1831" localSheetId="29">#REF!</definedName>
    <definedName name="__________________obl1831" localSheetId="30">#REF!</definedName>
    <definedName name="__________________obl1831" localSheetId="31">#REF!</definedName>
    <definedName name="__________________obl1831">#REF!</definedName>
    <definedName name="__________________obl1832" localSheetId="10">#REF!</definedName>
    <definedName name="__________________obl1832" localSheetId="23">#REF!</definedName>
    <definedName name="__________________obl1832" localSheetId="24">#REF!</definedName>
    <definedName name="__________________obl1832" localSheetId="11">#REF!</definedName>
    <definedName name="__________________obl1832" localSheetId="13">#REF!</definedName>
    <definedName name="__________________obl1832" localSheetId="29">#REF!</definedName>
    <definedName name="__________________obl1832" localSheetId="30">#REF!</definedName>
    <definedName name="__________________obl1832" localSheetId="31">#REF!</definedName>
    <definedName name="__________________obl1832">#REF!</definedName>
    <definedName name="__________________obl184" localSheetId="10">#REF!</definedName>
    <definedName name="__________________obl184" localSheetId="23">#REF!</definedName>
    <definedName name="__________________obl184" localSheetId="24">#REF!</definedName>
    <definedName name="__________________obl184" localSheetId="11">#REF!</definedName>
    <definedName name="__________________obl184" localSheetId="13">#REF!</definedName>
    <definedName name="__________________obl184" localSheetId="29">#REF!</definedName>
    <definedName name="__________________obl184" localSheetId="30">#REF!</definedName>
    <definedName name="__________________obl184" localSheetId="31">#REF!</definedName>
    <definedName name="__________________obl184">#REF!</definedName>
    <definedName name="__________________obl185" localSheetId="10">#REF!</definedName>
    <definedName name="__________________obl185" localSheetId="23">#REF!</definedName>
    <definedName name="__________________obl185" localSheetId="24">#REF!</definedName>
    <definedName name="__________________obl185" localSheetId="11">#REF!</definedName>
    <definedName name="__________________obl185" localSheetId="13">#REF!</definedName>
    <definedName name="__________________obl185" localSheetId="29">#REF!</definedName>
    <definedName name="__________________obl185" localSheetId="30">#REF!</definedName>
    <definedName name="__________________obl185" localSheetId="31">#REF!</definedName>
    <definedName name="__________________obl185">#REF!</definedName>
    <definedName name="__________________obl186" localSheetId="10">#REF!</definedName>
    <definedName name="__________________obl186" localSheetId="23">#REF!</definedName>
    <definedName name="__________________obl186" localSheetId="24">#REF!</definedName>
    <definedName name="__________________obl186" localSheetId="11">#REF!</definedName>
    <definedName name="__________________obl186" localSheetId="13">#REF!</definedName>
    <definedName name="__________________obl186" localSheetId="29">#REF!</definedName>
    <definedName name="__________________obl186" localSheetId="30">#REF!</definedName>
    <definedName name="__________________obl186" localSheetId="31">#REF!</definedName>
    <definedName name="__________________obl186">#REF!</definedName>
    <definedName name="__________________obl187" localSheetId="10">#REF!</definedName>
    <definedName name="__________________obl187" localSheetId="23">#REF!</definedName>
    <definedName name="__________________obl187" localSheetId="24">#REF!</definedName>
    <definedName name="__________________obl187" localSheetId="11">#REF!</definedName>
    <definedName name="__________________obl187" localSheetId="13">#REF!</definedName>
    <definedName name="__________________obl187" localSheetId="29">#REF!</definedName>
    <definedName name="__________________obl187" localSheetId="30">#REF!</definedName>
    <definedName name="__________________obl187" localSheetId="31">#REF!</definedName>
    <definedName name="__________________obl187">#REF!</definedName>
    <definedName name="_________________obl11" localSheetId="24">#REF!</definedName>
    <definedName name="_________________obl11" localSheetId="18">#REF!</definedName>
    <definedName name="_________________obl11" localSheetId="29">#REF!</definedName>
    <definedName name="_________________obl11">#REF!</definedName>
    <definedName name="_________________obl12" localSheetId="24">#REF!</definedName>
    <definedName name="_________________obl12" localSheetId="18">#REF!</definedName>
    <definedName name="_________________obl12" localSheetId="29">#REF!</definedName>
    <definedName name="_________________obl12">#REF!</definedName>
    <definedName name="_________________obl13" localSheetId="24">#REF!</definedName>
    <definedName name="_________________obl13" localSheetId="18">#REF!</definedName>
    <definedName name="_________________obl13" localSheetId="29">#REF!</definedName>
    <definedName name="_________________obl13">#REF!</definedName>
    <definedName name="_________________obl14" localSheetId="24">#REF!</definedName>
    <definedName name="_________________obl14" localSheetId="18">#REF!</definedName>
    <definedName name="_________________obl14" localSheetId="29">#REF!</definedName>
    <definedName name="_________________obl14">#REF!</definedName>
    <definedName name="_________________obl15" localSheetId="24">#REF!</definedName>
    <definedName name="_________________obl15" localSheetId="18">#REF!</definedName>
    <definedName name="_________________obl15" localSheetId="29">#REF!</definedName>
    <definedName name="_________________obl15">#REF!</definedName>
    <definedName name="_________________obl16" localSheetId="24">#REF!</definedName>
    <definedName name="_________________obl16" localSheetId="18">#REF!</definedName>
    <definedName name="_________________obl16" localSheetId="29">#REF!</definedName>
    <definedName name="_________________obl16">#REF!</definedName>
    <definedName name="_________________obl17" localSheetId="24">#REF!</definedName>
    <definedName name="_________________obl17" localSheetId="18">#REF!</definedName>
    <definedName name="_________________obl17" localSheetId="29">#REF!</definedName>
    <definedName name="_________________obl17">#REF!</definedName>
    <definedName name="_________________obl1710" localSheetId="24">#REF!</definedName>
    <definedName name="_________________obl1710" localSheetId="18">#REF!</definedName>
    <definedName name="_________________obl1710" localSheetId="29">#REF!</definedName>
    <definedName name="_________________obl1710">#REF!</definedName>
    <definedName name="_________________obl1711" localSheetId="24">#REF!</definedName>
    <definedName name="_________________obl1711" localSheetId="18">#REF!</definedName>
    <definedName name="_________________obl1711" localSheetId="29">#REF!</definedName>
    <definedName name="_________________obl1711">#REF!</definedName>
    <definedName name="_________________obl1712" localSheetId="24">#REF!</definedName>
    <definedName name="_________________obl1712" localSheetId="18">#REF!</definedName>
    <definedName name="_________________obl1712" localSheetId="29">#REF!</definedName>
    <definedName name="_________________obl1712">#REF!</definedName>
    <definedName name="_________________obl1713" localSheetId="24">#REF!</definedName>
    <definedName name="_________________obl1713" localSheetId="18">#REF!</definedName>
    <definedName name="_________________obl1713" localSheetId="29">#REF!</definedName>
    <definedName name="_________________obl1713">#REF!</definedName>
    <definedName name="_________________obl1714" localSheetId="24">#REF!</definedName>
    <definedName name="_________________obl1714" localSheetId="18">#REF!</definedName>
    <definedName name="_________________obl1714" localSheetId="29">#REF!</definedName>
    <definedName name="_________________obl1714">#REF!</definedName>
    <definedName name="_________________obl1715" localSheetId="24">#REF!</definedName>
    <definedName name="_________________obl1715" localSheetId="18">#REF!</definedName>
    <definedName name="_________________obl1715" localSheetId="29">#REF!</definedName>
    <definedName name="_________________obl1715">#REF!</definedName>
    <definedName name="_________________obl1716" localSheetId="24">#REF!</definedName>
    <definedName name="_________________obl1716" localSheetId="18">#REF!</definedName>
    <definedName name="_________________obl1716" localSheetId="29">#REF!</definedName>
    <definedName name="_________________obl1716">#REF!</definedName>
    <definedName name="_________________obl1717" localSheetId="24">#REF!</definedName>
    <definedName name="_________________obl1717" localSheetId="18">#REF!</definedName>
    <definedName name="_________________obl1717" localSheetId="29">#REF!</definedName>
    <definedName name="_________________obl1717">#REF!</definedName>
    <definedName name="_________________obl1718" localSheetId="24">#REF!</definedName>
    <definedName name="_________________obl1718" localSheetId="18">#REF!</definedName>
    <definedName name="_________________obl1718" localSheetId="29">#REF!</definedName>
    <definedName name="_________________obl1718">#REF!</definedName>
    <definedName name="_________________obl1719" localSheetId="24">#REF!</definedName>
    <definedName name="_________________obl1719" localSheetId="18">#REF!</definedName>
    <definedName name="_________________obl1719" localSheetId="29">#REF!</definedName>
    <definedName name="_________________obl1719">#REF!</definedName>
    <definedName name="_________________obl173" localSheetId="24">#REF!</definedName>
    <definedName name="_________________obl173" localSheetId="18">#REF!</definedName>
    <definedName name="_________________obl173" localSheetId="29">#REF!</definedName>
    <definedName name="_________________obl173">#REF!</definedName>
    <definedName name="_________________obl174" localSheetId="24">#REF!</definedName>
    <definedName name="_________________obl174" localSheetId="18">#REF!</definedName>
    <definedName name="_________________obl174" localSheetId="29">#REF!</definedName>
    <definedName name="_________________obl174">#REF!</definedName>
    <definedName name="_________________obl175" localSheetId="24">#REF!</definedName>
    <definedName name="_________________obl175" localSheetId="18">#REF!</definedName>
    <definedName name="_________________obl175" localSheetId="29">#REF!</definedName>
    <definedName name="_________________obl175">#REF!</definedName>
    <definedName name="_________________obl176" localSheetId="24">#REF!</definedName>
    <definedName name="_________________obl176" localSheetId="18">#REF!</definedName>
    <definedName name="_________________obl176" localSheetId="29">#REF!</definedName>
    <definedName name="_________________obl176">#REF!</definedName>
    <definedName name="_________________obl177" localSheetId="24">#REF!</definedName>
    <definedName name="_________________obl177" localSheetId="18">#REF!</definedName>
    <definedName name="_________________obl177" localSheetId="29">#REF!</definedName>
    <definedName name="_________________obl177">#REF!</definedName>
    <definedName name="_________________obl178" localSheetId="24">#REF!</definedName>
    <definedName name="_________________obl178" localSheetId="18">#REF!</definedName>
    <definedName name="_________________obl178" localSheetId="29">#REF!</definedName>
    <definedName name="_________________obl178">#REF!</definedName>
    <definedName name="_________________obl179" localSheetId="24">#REF!</definedName>
    <definedName name="_________________obl179" localSheetId="18">#REF!</definedName>
    <definedName name="_________________obl179" localSheetId="29">#REF!</definedName>
    <definedName name="_________________obl179">#REF!</definedName>
    <definedName name="_________________obl18" localSheetId="24">#REF!</definedName>
    <definedName name="_________________obl18" localSheetId="18">#REF!</definedName>
    <definedName name="_________________obl18" localSheetId="29">#REF!</definedName>
    <definedName name="_________________obl18">#REF!</definedName>
    <definedName name="_________________obl181" localSheetId="24">#REF!</definedName>
    <definedName name="_________________obl181" localSheetId="18">#REF!</definedName>
    <definedName name="_________________obl181" localSheetId="29">#REF!</definedName>
    <definedName name="_________________obl181">#REF!</definedName>
    <definedName name="_________________obl1816" localSheetId="24">#REF!</definedName>
    <definedName name="_________________obl1816" localSheetId="18">#REF!</definedName>
    <definedName name="_________________obl1816" localSheetId="29">#REF!</definedName>
    <definedName name="_________________obl1816">#REF!</definedName>
    <definedName name="_________________obl1820" localSheetId="24">#REF!</definedName>
    <definedName name="_________________obl1820" localSheetId="18">#REF!</definedName>
    <definedName name="_________________obl1820" localSheetId="29">#REF!</definedName>
    <definedName name="_________________obl1820">#REF!</definedName>
    <definedName name="_________________obl1821" localSheetId="24">#REF!</definedName>
    <definedName name="_________________obl1821" localSheetId="18">#REF!</definedName>
    <definedName name="_________________obl1821" localSheetId="29">#REF!</definedName>
    <definedName name="_________________obl1821">#REF!</definedName>
    <definedName name="_________________obl1822" localSheetId="24">#REF!</definedName>
    <definedName name="_________________obl1822" localSheetId="18">#REF!</definedName>
    <definedName name="_________________obl1822" localSheetId="29">#REF!</definedName>
    <definedName name="_________________obl1822">#REF!</definedName>
    <definedName name="_________________obl1823" localSheetId="24">#REF!</definedName>
    <definedName name="_________________obl1823" localSheetId="18">#REF!</definedName>
    <definedName name="_________________obl1823" localSheetId="29">#REF!</definedName>
    <definedName name="_________________obl1823">#REF!</definedName>
    <definedName name="_________________obl1824" localSheetId="24">#REF!</definedName>
    <definedName name="_________________obl1824" localSheetId="18">#REF!</definedName>
    <definedName name="_________________obl1824" localSheetId="29">#REF!</definedName>
    <definedName name="_________________obl1824">#REF!</definedName>
    <definedName name="_________________obl1825" localSheetId="24">#REF!</definedName>
    <definedName name="_________________obl1825" localSheetId="18">#REF!</definedName>
    <definedName name="_________________obl1825" localSheetId="29">#REF!</definedName>
    <definedName name="_________________obl1825">#REF!</definedName>
    <definedName name="_________________obl1826" localSheetId="24">#REF!</definedName>
    <definedName name="_________________obl1826" localSheetId="18">#REF!</definedName>
    <definedName name="_________________obl1826" localSheetId="29">#REF!</definedName>
    <definedName name="_________________obl1826">#REF!</definedName>
    <definedName name="_________________obl1827" localSheetId="24">#REF!</definedName>
    <definedName name="_________________obl1827" localSheetId="18">#REF!</definedName>
    <definedName name="_________________obl1827" localSheetId="29">#REF!</definedName>
    <definedName name="_________________obl1827">#REF!</definedName>
    <definedName name="_________________obl1828" localSheetId="24">#REF!</definedName>
    <definedName name="_________________obl1828" localSheetId="18">#REF!</definedName>
    <definedName name="_________________obl1828" localSheetId="29">#REF!</definedName>
    <definedName name="_________________obl1828">#REF!</definedName>
    <definedName name="_________________obl1829" localSheetId="24">#REF!</definedName>
    <definedName name="_________________obl1829" localSheetId="18">#REF!</definedName>
    <definedName name="_________________obl1829" localSheetId="29">#REF!</definedName>
    <definedName name="_________________obl1829">#REF!</definedName>
    <definedName name="_________________obl183" localSheetId="24">#REF!</definedName>
    <definedName name="_________________obl183" localSheetId="18">#REF!</definedName>
    <definedName name="_________________obl183" localSheetId="29">#REF!</definedName>
    <definedName name="_________________obl183">#REF!</definedName>
    <definedName name="_________________obl1831" localSheetId="24">#REF!</definedName>
    <definedName name="_________________obl1831" localSheetId="18">#REF!</definedName>
    <definedName name="_________________obl1831" localSheetId="29">#REF!</definedName>
    <definedName name="_________________obl1831">#REF!</definedName>
    <definedName name="_________________obl1832" localSheetId="24">#REF!</definedName>
    <definedName name="_________________obl1832" localSheetId="18">#REF!</definedName>
    <definedName name="_________________obl1832" localSheetId="29">#REF!</definedName>
    <definedName name="_________________obl1832">#REF!</definedName>
    <definedName name="_________________obl184" localSheetId="24">#REF!</definedName>
    <definedName name="_________________obl184" localSheetId="18">#REF!</definedName>
    <definedName name="_________________obl184" localSheetId="29">#REF!</definedName>
    <definedName name="_________________obl184">#REF!</definedName>
    <definedName name="_________________obl185" localSheetId="24">#REF!</definedName>
    <definedName name="_________________obl185" localSheetId="18">#REF!</definedName>
    <definedName name="_________________obl185" localSheetId="29">#REF!</definedName>
    <definedName name="_________________obl185">#REF!</definedName>
    <definedName name="_________________obl186" localSheetId="24">#REF!</definedName>
    <definedName name="_________________obl186" localSheetId="18">#REF!</definedName>
    <definedName name="_________________obl186" localSheetId="29">#REF!</definedName>
    <definedName name="_________________obl186">#REF!</definedName>
    <definedName name="_________________obl187" localSheetId="24">#REF!</definedName>
    <definedName name="_________________obl187" localSheetId="18">#REF!</definedName>
    <definedName name="_________________obl187" localSheetId="29">#REF!</definedName>
    <definedName name="_________________obl187">#REF!</definedName>
    <definedName name="________________obl11" localSheetId="10">#REF!</definedName>
    <definedName name="________________obl11" localSheetId="23">#REF!</definedName>
    <definedName name="________________obl11" localSheetId="24">#REF!</definedName>
    <definedName name="________________obl11" localSheetId="11">#REF!</definedName>
    <definedName name="________________obl11" localSheetId="13">#REF!</definedName>
    <definedName name="________________obl11" localSheetId="29">#REF!</definedName>
    <definedName name="________________obl11" localSheetId="30">#REF!</definedName>
    <definedName name="________________obl11" localSheetId="31">#REF!</definedName>
    <definedName name="________________obl11">#REF!</definedName>
    <definedName name="________________obl12" localSheetId="10">#REF!</definedName>
    <definedName name="________________obl12" localSheetId="23">#REF!</definedName>
    <definedName name="________________obl12" localSheetId="24">#REF!</definedName>
    <definedName name="________________obl12" localSheetId="11">#REF!</definedName>
    <definedName name="________________obl12" localSheetId="13">#REF!</definedName>
    <definedName name="________________obl12" localSheetId="29">#REF!</definedName>
    <definedName name="________________obl12" localSheetId="30">#REF!</definedName>
    <definedName name="________________obl12" localSheetId="31">#REF!</definedName>
    <definedName name="________________obl12">#REF!</definedName>
    <definedName name="________________obl13" localSheetId="10">#REF!</definedName>
    <definedName name="________________obl13" localSheetId="23">#REF!</definedName>
    <definedName name="________________obl13" localSheetId="24">#REF!</definedName>
    <definedName name="________________obl13" localSheetId="11">#REF!</definedName>
    <definedName name="________________obl13" localSheetId="13">#REF!</definedName>
    <definedName name="________________obl13" localSheetId="29">#REF!</definedName>
    <definedName name="________________obl13" localSheetId="30">#REF!</definedName>
    <definedName name="________________obl13" localSheetId="31">#REF!</definedName>
    <definedName name="________________obl13">#REF!</definedName>
    <definedName name="________________obl14" localSheetId="10">#REF!</definedName>
    <definedName name="________________obl14" localSheetId="23">#REF!</definedName>
    <definedName name="________________obl14" localSheetId="24">#REF!</definedName>
    <definedName name="________________obl14" localSheetId="11">#REF!</definedName>
    <definedName name="________________obl14" localSheetId="13">#REF!</definedName>
    <definedName name="________________obl14" localSheetId="29">#REF!</definedName>
    <definedName name="________________obl14" localSheetId="30">#REF!</definedName>
    <definedName name="________________obl14" localSheetId="31">#REF!</definedName>
    <definedName name="________________obl14">#REF!</definedName>
    <definedName name="________________obl15" localSheetId="10">#REF!</definedName>
    <definedName name="________________obl15" localSheetId="23">#REF!</definedName>
    <definedName name="________________obl15" localSheetId="24">#REF!</definedName>
    <definedName name="________________obl15" localSheetId="11">#REF!</definedName>
    <definedName name="________________obl15" localSheetId="13">#REF!</definedName>
    <definedName name="________________obl15" localSheetId="29">#REF!</definedName>
    <definedName name="________________obl15" localSheetId="30">#REF!</definedName>
    <definedName name="________________obl15" localSheetId="31">#REF!</definedName>
    <definedName name="________________obl15">#REF!</definedName>
    <definedName name="________________obl16" localSheetId="10">#REF!</definedName>
    <definedName name="________________obl16" localSheetId="23">#REF!</definedName>
    <definedName name="________________obl16" localSheetId="24">#REF!</definedName>
    <definedName name="________________obl16" localSheetId="11">#REF!</definedName>
    <definedName name="________________obl16" localSheetId="13">#REF!</definedName>
    <definedName name="________________obl16" localSheetId="29">#REF!</definedName>
    <definedName name="________________obl16" localSheetId="30">#REF!</definedName>
    <definedName name="________________obl16" localSheetId="31">#REF!</definedName>
    <definedName name="________________obl16">#REF!</definedName>
    <definedName name="________________obl17" localSheetId="10">#REF!</definedName>
    <definedName name="________________obl17" localSheetId="23">#REF!</definedName>
    <definedName name="________________obl17" localSheetId="24">#REF!</definedName>
    <definedName name="________________obl17" localSheetId="11">#REF!</definedName>
    <definedName name="________________obl17" localSheetId="13">#REF!</definedName>
    <definedName name="________________obl17" localSheetId="29">#REF!</definedName>
    <definedName name="________________obl17" localSheetId="30">#REF!</definedName>
    <definedName name="________________obl17" localSheetId="31">#REF!</definedName>
    <definedName name="________________obl17">#REF!</definedName>
    <definedName name="________________obl1710" localSheetId="10">#REF!</definedName>
    <definedName name="________________obl1710" localSheetId="23">#REF!</definedName>
    <definedName name="________________obl1710" localSheetId="24">#REF!</definedName>
    <definedName name="________________obl1710" localSheetId="11">#REF!</definedName>
    <definedName name="________________obl1710" localSheetId="13">#REF!</definedName>
    <definedName name="________________obl1710" localSheetId="29">#REF!</definedName>
    <definedName name="________________obl1710" localSheetId="30">#REF!</definedName>
    <definedName name="________________obl1710" localSheetId="31">#REF!</definedName>
    <definedName name="________________obl1710">#REF!</definedName>
    <definedName name="________________obl1711" localSheetId="10">#REF!</definedName>
    <definedName name="________________obl1711" localSheetId="23">#REF!</definedName>
    <definedName name="________________obl1711" localSheetId="24">#REF!</definedName>
    <definedName name="________________obl1711" localSheetId="11">#REF!</definedName>
    <definedName name="________________obl1711" localSheetId="13">#REF!</definedName>
    <definedName name="________________obl1711" localSheetId="29">#REF!</definedName>
    <definedName name="________________obl1711" localSheetId="30">#REF!</definedName>
    <definedName name="________________obl1711" localSheetId="31">#REF!</definedName>
    <definedName name="________________obl1711">#REF!</definedName>
    <definedName name="________________obl1712" localSheetId="10">#REF!</definedName>
    <definedName name="________________obl1712" localSheetId="23">#REF!</definedName>
    <definedName name="________________obl1712" localSheetId="24">#REF!</definedName>
    <definedName name="________________obl1712" localSheetId="11">#REF!</definedName>
    <definedName name="________________obl1712" localSheetId="13">#REF!</definedName>
    <definedName name="________________obl1712" localSheetId="29">#REF!</definedName>
    <definedName name="________________obl1712" localSheetId="30">#REF!</definedName>
    <definedName name="________________obl1712" localSheetId="31">#REF!</definedName>
    <definedName name="________________obl1712">#REF!</definedName>
    <definedName name="________________obl1713" localSheetId="10">#REF!</definedName>
    <definedName name="________________obl1713" localSheetId="23">#REF!</definedName>
    <definedName name="________________obl1713" localSheetId="24">#REF!</definedName>
    <definedName name="________________obl1713" localSheetId="11">#REF!</definedName>
    <definedName name="________________obl1713" localSheetId="13">#REF!</definedName>
    <definedName name="________________obl1713" localSheetId="29">#REF!</definedName>
    <definedName name="________________obl1713" localSheetId="30">#REF!</definedName>
    <definedName name="________________obl1713" localSheetId="31">#REF!</definedName>
    <definedName name="________________obl1713">#REF!</definedName>
    <definedName name="________________obl1714" localSheetId="10">#REF!</definedName>
    <definedName name="________________obl1714" localSheetId="23">#REF!</definedName>
    <definedName name="________________obl1714" localSheetId="24">#REF!</definedName>
    <definedName name="________________obl1714" localSheetId="11">#REF!</definedName>
    <definedName name="________________obl1714" localSheetId="13">#REF!</definedName>
    <definedName name="________________obl1714" localSheetId="29">#REF!</definedName>
    <definedName name="________________obl1714" localSheetId="30">#REF!</definedName>
    <definedName name="________________obl1714" localSheetId="31">#REF!</definedName>
    <definedName name="________________obl1714">#REF!</definedName>
    <definedName name="________________obl1715" localSheetId="10">#REF!</definedName>
    <definedName name="________________obl1715" localSheetId="23">#REF!</definedName>
    <definedName name="________________obl1715" localSheetId="24">#REF!</definedName>
    <definedName name="________________obl1715" localSheetId="11">#REF!</definedName>
    <definedName name="________________obl1715" localSheetId="13">#REF!</definedName>
    <definedName name="________________obl1715" localSheetId="29">#REF!</definedName>
    <definedName name="________________obl1715" localSheetId="30">#REF!</definedName>
    <definedName name="________________obl1715" localSheetId="31">#REF!</definedName>
    <definedName name="________________obl1715">#REF!</definedName>
    <definedName name="________________obl1716" localSheetId="10">#REF!</definedName>
    <definedName name="________________obl1716" localSheetId="23">#REF!</definedName>
    <definedName name="________________obl1716" localSheetId="24">#REF!</definedName>
    <definedName name="________________obl1716" localSheetId="11">#REF!</definedName>
    <definedName name="________________obl1716" localSheetId="13">#REF!</definedName>
    <definedName name="________________obl1716" localSheetId="29">#REF!</definedName>
    <definedName name="________________obl1716" localSheetId="30">#REF!</definedName>
    <definedName name="________________obl1716" localSheetId="31">#REF!</definedName>
    <definedName name="________________obl1716">#REF!</definedName>
    <definedName name="________________obl1717" localSheetId="10">#REF!</definedName>
    <definedName name="________________obl1717" localSheetId="23">#REF!</definedName>
    <definedName name="________________obl1717" localSheetId="24">#REF!</definedName>
    <definedName name="________________obl1717" localSheetId="11">#REF!</definedName>
    <definedName name="________________obl1717" localSheetId="13">#REF!</definedName>
    <definedName name="________________obl1717" localSheetId="29">#REF!</definedName>
    <definedName name="________________obl1717" localSheetId="30">#REF!</definedName>
    <definedName name="________________obl1717" localSheetId="31">#REF!</definedName>
    <definedName name="________________obl1717">#REF!</definedName>
    <definedName name="________________obl1718" localSheetId="10">#REF!</definedName>
    <definedName name="________________obl1718" localSheetId="23">#REF!</definedName>
    <definedName name="________________obl1718" localSheetId="24">#REF!</definedName>
    <definedName name="________________obl1718" localSheetId="11">#REF!</definedName>
    <definedName name="________________obl1718" localSheetId="13">#REF!</definedName>
    <definedName name="________________obl1718" localSheetId="29">#REF!</definedName>
    <definedName name="________________obl1718" localSheetId="30">#REF!</definedName>
    <definedName name="________________obl1718" localSheetId="31">#REF!</definedName>
    <definedName name="________________obl1718">#REF!</definedName>
    <definedName name="________________obl1719" localSheetId="10">#REF!</definedName>
    <definedName name="________________obl1719" localSheetId="23">#REF!</definedName>
    <definedName name="________________obl1719" localSheetId="24">#REF!</definedName>
    <definedName name="________________obl1719" localSheetId="11">#REF!</definedName>
    <definedName name="________________obl1719" localSheetId="13">#REF!</definedName>
    <definedName name="________________obl1719" localSheetId="29">#REF!</definedName>
    <definedName name="________________obl1719" localSheetId="30">#REF!</definedName>
    <definedName name="________________obl1719" localSheetId="31">#REF!</definedName>
    <definedName name="________________obl1719">#REF!</definedName>
    <definedName name="________________obl173" localSheetId="10">#REF!</definedName>
    <definedName name="________________obl173" localSheetId="23">#REF!</definedName>
    <definedName name="________________obl173" localSheetId="24">#REF!</definedName>
    <definedName name="________________obl173" localSheetId="11">#REF!</definedName>
    <definedName name="________________obl173" localSheetId="13">#REF!</definedName>
    <definedName name="________________obl173" localSheetId="29">#REF!</definedName>
    <definedName name="________________obl173" localSheetId="30">#REF!</definedName>
    <definedName name="________________obl173" localSheetId="31">#REF!</definedName>
    <definedName name="________________obl173">#REF!</definedName>
    <definedName name="________________obl174" localSheetId="10">#REF!</definedName>
    <definedName name="________________obl174" localSheetId="23">#REF!</definedName>
    <definedName name="________________obl174" localSheetId="24">#REF!</definedName>
    <definedName name="________________obl174" localSheetId="11">#REF!</definedName>
    <definedName name="________________obl174" localSheetId="13">#REF!</definedName>
    <definedName name="________________obl174" localSheetId="29">#REF!</definedName>
    <definedName name="________________obl174" localSheetId="30">#REF!</definedName>
    <definedName name="________________obl174" localSheetId="31">#REF!</definedName>
    <definedName name="________________obl174">#REF!</definedName>
    <definedName name="________________obl175" localSheetId="10">#REF!</definedName>
    <definedName name="________________obl175" localSheetId="23">#REF!</definedName>
    <definedName name="________________obl175" localSheetId="24">#REF!</definedName>
    <definedName name="________________obl175" localSheetId="11">#REF!</definedName>
    <definedName name="________________obl175" localSheetId="13">#REF!</definedName>
    <definedName name="________________obl175" localSheetId="29">#REF!</definedName>
    <definedName name="________________obl175" localSheetId="30">#REF!</definedName>
    <definedName name="________________obl175" localSheetId="31">#REF!</definedName>
    <definedName name="________________obl175">#REF!</definedName>
    <definedName name="________________obl176" localSheetId="10">#REF!</definedName>
    <definedName name="________________obl176" localSheetId="23">#REF!</definedName>
    <definedName name="________________obl176" localSheetId="24">#REF!</definedName>
    <definedName name="________________obl176" localSheetId="11">#REF!</definedName>
    <definedName name="________________obl176" localSheetId="13">#REF!</definedName>
    <definedName name="________________obl176" localSheetId="29">#REF!</definedName>
    <definedName name="________________obl176" localSheetId="30">#REF!</definedName>
    <definedName name="________________obl176" localSheetId="31">#REF!</definedName>
    <definedName name="________________obl176">#REF!</definedName>
    <definedName name="________________obl177" localSheetId="10">#REF!</definedName>
    <definedName name="________________obl177" localSheetId="23">#REF!</definedName>
    <definedName name="________________obl177" localSheetId="24">#REF!</definedName>
    <definedName name="________________obl177" localSheetId="11">#REF!</definedName>
    <definedName name="________________obl177" localSheetId="13">#REF!</definedName>
    <definedName name="________________obl177" localSheetId="29">#REF!</definedName>
    <definedName name="________________obl177" localSheetId="30">#REF!</definedName>
    <definedName name="________________obl177" localSheetId="31">#REF!</definedName>
    <definedName name="________________obl177">#REF!</definedName>
    <definedName name="________________obl178" localSheetId="10">#REF!</definedName>
    <definedName name="________________obl178" localSheetId="23">#REF!</definedName>
    <definedName name="________________obl178" localSheetId="24">#REF!</definedName>
    <definedName name="________________obl178" localSheetId="11">#REF!</definedName>
    <definedName name="________________obl178" localSheetId="13">#REF!</definedName>
    <definedName name="________________obl178" localSheetId="29">#REF!</definedName>
    <definedName name="________________obl178" localSheetId="30">#REF!</definedName>
    <definedName name="________________obl178" localSheetId="31">#REF!</definedName>
    <definedName name="________________obl178">#REF!</definedName>
    <definedName name="________________obl179" localSheetId="10">#REF!</definedName>
    <definedName name="________________obl179" localSheetId="23">#REF!</definedName>
    <definedName name="________________obl179" localSheetId="24">#REF!</definedName>
    <definedName name="________________obl179" localSheetId="11">#REF!</definedName>
    <definedName name="________________obl179" localSheetId="13">#REF!</definedName>
    <definedName name="________________obl179" localSheetId="29">#REF!</definedName>
    <definedName name="________________obl179" localSheetId="30">#REF!</definedName>
    <definedName name="________________obl179" localSheetId="31">#REF!</definedName>
    <definedName name="________________obl179">#REF!</definedName>
    <definedName name="________________obl18" localSheetId="10">#REF!</definedName>
    <definedName name="________________obl18" localSheetId="23">#REF!</definedName>
    <definedName name="________________obl18" localSheetId="24">#REF!</definedName>
    <definedName name="________________obl18" localSheetId="11">#REF!</definedName>
    <definedName name="________________obl18" localSheetId="13">#REF!</definedName>
    <definedName name="________________obl18" localSheetId="29">#REF!</definedName>
    <definedName name="________________obl18" localSheetId="30">#REF!</definedName>
    <definedName name="________________obl18" localSheetId="31">#REF!</definedName>
    <definedName name="________________obl18">#REF!</definedName>
    <definedName name="________________obl181" localSheetId="10">#REF!</definedName>
    <definedName name="________________obl181" localSheetId="23">#REF!</definedName>
    <definedName name="________________obl181" localSheetId="24">#REF!</definedName>
    <definedName name="________________obl181" localSheetId="11">#REF!</definedName>
    <definedName name="________________obl181" localSheetId="13">#REF!</definedName>
    <definedName name="________________obl181" localSheetId="29">#REF!</definedName>
    <definedName name="________________obl181" localSheetId="30">#REF!</definedName>
    <definedName name="________________obl181" localSheetId="31">#REF!</definedName>
    <definedName name="________________obl181">#REF!</definedName>
    <definedName name="________________obl1816" localSheetId="10">#REF!</definedName>
    <definedName name="________________obl1816" localSheetId="23">#REF!</definedName>
    <definedName name="________________obl1816" localSheetId="24">#REF!</definedName>
    <definedName name="________________obl1816" localSheetId="11">#REF!</definedName>
    <definedName name="________________obl1816" localSheetId="13">#REF!</definedName>
    <definedName name="________________obl1816" localSheetId="29">#REF!</definedName>
    <definedName name="________________obl1816" localSheetId="30">#REF!</definedName>
    <definedName name="________________obl1816" localSheetId="31">#REF!</definedName>
    <definedName name="________________obl1816">#REF!</definedName>
    <definedName name="________________obl1820" localSheetId="10">#REF!</definedName>
    <definedName name="________________obl1820" localSheetId="23">#REF!</definedName>
    <definedName name="________________obl1820" localSheetId="24">#REF!</definedName>
    <definedName name="________________obl1820" localSheetId="11">#REF!</definedName>
    <definedName name="________________obl1820" localSheetId="13">#REF!</definedName>
    <definedName name="________________obl1820" localSheetId="29">#REF!</definedName>
    <definedName name="________________obl1820" localSheetId="30">#REF!</definedName>
    <definedName name="________________obl1820" localSheetId="31">#REF!</definedName>
    <definedName name="________________obl1820">#REF!</definedName>
    <definedName name="________________obl1821" localSheetId="10">#REF!</definedName>
    <definedName name="________________obl1821" localSheetId="23">#REF!</definedName>
    <definedName name="________________obl1821" localSheetId="24">#REF!</definedName>
    <definedName name="________________obl1821" localSheetId="11">#REF!</definedName>
    <definedName name="________________obl1821" localSheetId="13">#REF!</definedName>
    <definedName name="________________obl1821" localSheetId="29">#REF!</definedName>
    <definedName name="________________obl1821" localSheetId="30">#REF!</definedName>
    <definedName name="________________obl1821" localSheetId="31">#REF!</definedName>
    <definedName name="________________obl1821">#REF!</definedName>
    <definedName name="________________obl1822" localSheetId="10">#REF!</definedName>
    <definedName name="________________obl1822" localSheetId="23">#REF!</definedName>
    <definedName name="________________obl1822" localSheetId="24">#REF!</definedName>
    <definedName name="________________obl1822" localSheetId="11">#REF!</definedName>
    <definedName name="________________obl1822" localSheetId="13">#REF!</definedName>
    <definedName name="________________obl1822" localSheetId="29">#REF!</definedName>
    <definedName name="________________obl1822" localSheetId="30">#REF!</definedName>
    <definedName name="________________obl1822" localSheetId="31">#REF!</definedName>
    <definedName name="________________obl1822">#REF!</definedName>
    <definedName name="________________obl1823" localSheetId="10">#REF!</definedName>
    <definedName name="________________obl1823" localSheetId="23">#REF!</definedName>
    <definedName name="________________obl1823" localSheetId="24">#REF!</definedName>
    <definedName name="________________obl1823" localSheetId="11">#REF!</definedName>
    <definedName name="________________obl1823" localSheetId="13">#REF!</definedName>
    <definedName name="________________obl1823" localSheetId="29">#REF!</definedName>
    <definedName name="________________obl1823" localSheetId="30">#REF!</definedName>
    <definedName name="________________obl1823" localSheetId="31">#REF!</definedName>
    <definedName name="________________obl1823">#REF!</definedName>
    <definedName name="________________obl1824" localSheetId="10">#REF!</definedName>
    <definedName name="________________obl1824" localSheetId="23">#REF!</definedName>
    <definedName name="________________obl1824" localSheetId="24">#REF!</definedName>
    <definedName name="________________obl1824" localSheetId="11">#REF!</definedName>
    <definedName name="________________obl1824" localSheetId="13">#REF!</definedName>
    <definedName name="________________obl1824" localSheetId="29">#REF!</definedName>
    <definedName name="________________obl1824" localSheetId="30">#REF!</definedName>
    <definedName name="________________obl1824" localSheetId="31">#REF!</definedName>
    <definedName name="________________obl1824">#REF!</definedName>
    <definedName name="________________obl1825" localSheetId="10">#REF!</definedName>
    <definedName name="________________obl1825" localSheetId="23">#REF!</definedName>
    <definedName name="________________obl1825" localSheetId="24">#REF!</definedName>
    <definedName name="________________obl1825" localSheetId="11">#REF!</definedName>
    <definedName name="________________obl1825" localSheetId="13">#REF!</definedName>
    <definedName name="________________obl1825" localSheetId="29">#REF!</definedName>
    <definedName name="________________obl1825" localSheetId="30">#REF!</definedName>
    <definedName name="________________obl1825" localSheetId="31">#REF!</definedName>
    <definedName name="________________obl1825">#REF!</definedName>
    <definedName name="________________obl1826" localSheetId="10">#REF!</definedName>
    <definedName name="________________obl1826" localSheetId="23">#REF!</definedName>
    <definedName name="________________obl1826" localSheetId="24">#REF!</definedName>
    <definedName name="________________obl1826" localSheetId="11">#REF!</definedName>
    <definedName name="________________obl1826" localSheetId="13">#REF!</definedName>
    <definedName name="________________obl1826" localSheetId="29">#REF!</definedName>
    <definedName name="________________obl1826" localSheetId="30">#REF!</definedName>
    <definedName name="________________obl1826" localSheetId="31">#REF!</definedName>
    <definedName name="________________obl1826">#REF!</definedName>
    <definedName name="________________obl1827" localSheetId="10">#REF!</definedName>
    <definedName name="________________obl1827" localSheetId="23">#REF!</definedName>
    <definedName name="________________obl1827" localSheetId="24">#REF!</definedName>
    <definedName name="________________obl1827" localSheetId="11">#REF!</definedName>
    <definedName name="________________obl1827" localSheetId="13">#REF!</definedName>
    <definedName name="________________obl1827" localSheetId="29">#REF!</definedName>
    <definedName name="________________obl1827" localSheetId="30">#REF!</definedName>
    <definedName name="________________obl1827" localSheetId="31">#REF!</definedName>
    <definedName name="________________obl1827">#REF!</definedName>
    <definedName name="________________obl1828" localSheetId="10">#REF!</definedName>
    <definedName name="________________obl1828" localSheetId="23">#REF!</definedName>
    <definedName name="________________obl1828" localSheetId="24">#REF!</definedName>
    <definedName name="________________obl1828" localSheetId="11">#REF!</definedName>
    <definedName name="________________obl1828" localSheetId="13">#REF!</definedName>
    <definedName name="________________obl1828" localSheetId="29">#REF!</definedName>
    <definedName name="________________obl1828" localSheetId="30">#REF!</definedName>
    <definedName name="________________obl1828" localSheetId="31">#REF!</definedName>
    <definedName name="________________obl1828">#REF!</definedName>
    <definedName name="________________obl1829" localSheetId="10">#REF!</definedName>
    <definedName name="________________obl1829" localSheetId="23">#REF!</definedName>
    <definedName name="________________obl1829" localSheetId="24">#REF!</definedName>
    <definedName name="________________obl1829" localSheetId="11">#REF!</definedName>
    <definedName name="________________obl1829" localSheetId="13">#REF!</definedName>
    <definedName name="________________obl1829" localSheetId="29">#REF!</definedName>
    <definedName name="________________obl1829" localSheetId="30">#REF!</definedName>
    <definedName name="________________obl1829" localSheetId="31">#REF!</definedName>
    <definedName name="________________obl1829">#REF!</definedName>
    <definedName name="________________obl183" localSheetId="10">#REF!</definedName>
    <definedName name="________________obl183" localSheetId="23">#REF!</definedName>
    <definedName name="________________obl183" localSheetId="24">#REF!</definedName>
    <definedName name="________________obl183" localSheetId="11">#REF!</definedName>
    <definedName name="________________obl183" localSheetId="13">#REF!</definedName>
    <definedName name="________________obl183" localSheetId="29">#REF!</definedName>
    <definedName name="________________obl183" localSheetId="30">#REF!</definedName>
    <definedName name="________________obl183" localSheetId="31">#REF!</definedName>
    <definedName name="________________obl183">#REF!</definedName>
    <definedName name="________________obl1831" localSheetId="10">#REF!</definedName>
    <definedName name="________________obl1831" localSheetId="23">#REF!</definedName>
    <definedName name="________________obl1831" localSheetId="24">#REF!</definedName>
    <definedName name="________________obl1831" localSheetId="11">#REF!</definedName>
    <definedName name="________________obl1831" localSheetId="13">#REF!</definedName>
    <definedName name="________________obl1831" localSheetId="29">#REF!</definedName>
    <definedName name="________________obl1831" localSheetId="30">#REF!</definedName>
    <definedName name="________________obl1831" localSheetId="31">#REF!</definedName>
    <definedName name="________________obl1831">#REF!</definedName>
    <definedName name="________________obl1832" localSheetId="10">#REF!</definedName>
    <definedName name="________________obl1832" localSheetId="23">#REF!</definedName>
    <definedName name="________________obl1832" localSheetId="24">#REF!</definedName>
    <definedName name="________________obl1832" localSheetId="11">#REF!</definedName>
    <definedName name="________________obl1832" localSheetId="13">#REF!</definedName>
    <definedName name="________________obl1832" localSheetId="29">#REF!</definedName>
    <definedName name="________________obl1832" localSheetId="30">#REF!</definedName>
    <definedName name="________________obl1832" localSheetId="31">#REF!</definedName>
    <definedName name="________________obl1832">#REF!</definedName>
    <definedName name="________________obl184" localSheetId="10">#REF!</definedName>
    <definedName name="________________obl184" localSheetId="23">#REF!</definedName>
    <definedName name="________________obl184" localSheetId="24">#REF!</definedName>
    <definedName name="________________obl184" localSheetId="11">#REF!</definedName>
    <definedName name="________________obl184" localSheetId="13">#REF!</definedName>
    <definedName name="________________obl184" localSheetId="29">#REF!</definedName>
    <definedName name="________________obl184" localSheetId="30">#REF!</definedName>
    <definedName name="________________obl184" localSheetId="31">#REF!</definedName>
    <definedName name="________________obl184">#REF!</definedName>
    <definedName name="________________obl185" localSheetId="10">#REF!</definedName>
    <definedName name="________________obl185" localSheetId="23">#REF!</definedName>
    <definedName name="________________obl185" localSheetId="24">#REF!</definedName>
    <definedName name="________________obl185" localSheetId="11">#REF!</definedName>
    <definedName name="________________obl185" localSheetId="13">#REF!</definedName>
    <definedName name="________________obl185" localSheetId="29">#REF!</definedName>
    <definedName name="________________obl185" localSheetId="30">#REF!</definedName>
    <definedName name="________________obl185" localSheetId="31">#REF!</definedName>
    <definedName name="________________obl185">#REF!</definedName>
    <definedName name="________________obl186" localSheetId="10">#REF!</definedName>
    <definedName name="________________obl186" localSheetId="23">#REF!</definedName>
    <definedName name="________________obl186" localSheetId="24">#REF!</definedName>
    <definedName name="________________obl186" localSheetId="11">#REF!</definedName>
    <definedName name="________________obl186" localSheetId="13">#REF!</definedName>
    <definedName name="________________obl186" localSheetId="29">#REF!</definedName>
    <definedName name="________________obl186" localSheetId="30">#REF!</definedName>
    <definedName name="________________obl186" localSheetId="31">#REF!</definedName>
    <definedName name="________________obl186">#REF!</definedName>
    <definedName name="________________obl187" localSheetId="10">#REF!</definedName>
    <definedName name="________________obl187" localSheetId="23">#REF!</definedName>
    <definedName name="________________obl187" localSheetId="24">#REF!</definedName>
    <definedName name="________________obl187" localSheetId="11">#REF!</definedName>
    <definedName name="________________obl187" localSheetId="13">#REF!</definedName>
    <definedName name="________________obl187" localSheetId="29">#REF!</definedName>
    <definedName name="________________obl187" localSheetId="30">#REF!</definedName>
    <definedName name="________________obl187" localSheetId="31">#REF!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0">#REF!</definedName>
    <definedName name="______________obl11" localSheetId="23">#REF!</definedName>
    <definedName name="______________obl11" localSheetId="24">#REF!</definedName>
    <definedName name="______________obl11" localSheetId="11">#REF!</definedName>
    <definedName name="______________obl11" localSheetId="13">#REF!</definedName>
    <definedName name="______________obl11" localSheetId="29">#REF!</definedName>
    <definedName name="______________obl11" localSheetId="30">#REF!</definedName>
    <definedName name="______________obl11" localSheetId="31">#REF!</definedName>
    <definedName name="______________obl11">#REF!</definedName>
    <definedName name="______________obl12" localSheetId="10">#REF!</definedName>
    <definedName name="______________obl12" localSheetId="23">#REF!</definedName>
    <definedName name="______________obl12" localSheetId="24">#REF!</definedName>
    <definedName name="______________obl12" localSheetId="11">#REF!</definedName>
    <definedName name="______________obl12" localSheetId="13">#REF!</definedName>
    <definedName name="______________obl12" localSheetId="29">#REF!</definedName>
    <definedName name="______________obl12" localSheetId="30">#REF!</definedName>
    <definedName name="______________obl12" localSheetId="31">#REF!</definedName>
    <definedName name="______________obl12">#REF!</definedName>
    <definedName name="______________obl13" localSheetId="10">#REF!</definedName>
    <definedName name="______________obl13" localSheetId="23">#REF!</definedName>
    <definedName name="______________obl13" localSheetId="24">#REF!</definedName>
    <definedName name="______________obl13" localSheetId="11">#REF!</definedName>
    <definedName name="______________obl13" localSheetId="13">#REF!</definedName>
    <definedName name="______________obl13" localSheetId="29">#REF!</definedName>
    <definedName name="______________obl13" localSheetId="30">#REF!</definedName>
    <definedName name="______________obl13" localSheetId="31">#REF!</definedName>
    <definedName name="______________obl13">#REF!</definedName>
    <definedName name="______________obl14" localSheetId="10">#REF!</definedName>
    <definedName name="______________obl14" localSheetId="23">#REF!</definedName>
    <definedName name="______________obl14" localSheetId="24">#REF!</definedName>
    <definedName name="______________obl14" localSheetId="11">#REF!</definedName>
    <definedName name="______________obl14" localSheetId="13">#REF!</definedName>
    <definedName name="______________obl14" localSheetId="29">#REF!</definedName>
    <definedName name="______________obl14" localSheetId="30">#REF!</definedName>
    <definedName name="______________obl14" localSheetId="31">#REF!</definedName>
    <definedName name="______________obl14">#REF!</definedName>
    <definedName name="______________obl15" localSheetId="10">#REF!</definedName>
    <definedName name="______________obl15" localSheetId="23">#REF!</definedName>
    <definedName name="______________obl15" localSheetId="24">#REF!</definedName>
    <definedName name="______________obl15" localSheetId="11">#REF!</definedName>
    <definedName name="______________obl15" localSheetId="13">#REF!</definedName>
    <definedName name="______________obl15" localSheetId="29">#REF!</definedName>
    <definedName name="______________obl15" localSheetId="30">#REF!</definedName>
    <definedName name="______________obl15" localSheetId="31">#REF!</definedName>
    <definedName name="______________obl15">#REF!</definedName>
    <definedName name="______________obl16" localSheetId="10">#REF!</definedName>
    <definedName name="______________obl16" localSheetId="23">#REF!</definedName>
    <definedName name="______________obl16" localSheetId="24">#REF!</definedName>
    <definedName name="______________obl16" localSheetId="11">#REF!</definedName>
    <definedName name="______________obl16" localSheetId="13">#REF!</definedName>
    <definedName name="______________obl16" localSheetId="29">#REF!</definedName>
    <definedName name="______________obl16" localSheetId="30">#REF!</definedName>
    <definedName name="______________obl16" localSheetId="31">#REF!</definedName>
    <definedName name="______________obl16">#REF!</definedName>
    <definedName name="______________obl17" localSheetId="10">#REF!</definedName>
    <definedName name="______________obl17" localSheetId="23">#REF!</definedName>
    <definedName name="______________obl17" localSheetId="24">#REF!</definedName>
    <definedName name="______________obl17" localSheetId="11">#REF!</definedName>
    <definedName name="______________obl17" localSheetId="13">#REF!</definedName>
    <definedName name="______________obl17" localSheetId="29">#REF!</definedName>
    <definedName name="______________obl17" localSheetId="30">#REF!</definedName>
    <definedName name="______________obl17" localSheetId="31">#REF!</definedName>
    <definedName name="______________obl17">#REF!</definedName>
    <definedName name="______________obl1710" localSheetId="10">#REF!</definedName>
    <definedName name="______________obl1710" localSheetId="23">#REF!</definedName>
    <definedName name="______________obl1710" localSheetId="24">#REF!</definedName>
    <definedName name="______________obl1710" localSheetId="11">#REF!</definedName>
    <definedName name="______________obl1710" localSheetId="13">#REF!</definedName>
    <definedName name="______________obl1710" localSheetId="29">#REF!</definedName>
    <definedName name="______________obl1710" localSheetId="30">#REF!</definedName>
    <definedName name="______________obl1710" localSheetId="31">#REF!</definedName>
    <definedName name="______________obl1710">#REF!</definedName>
    <definedName name="______________obl1711" localSheetId="10">#REF!</definedName>
    <definedName name="______________obl1711" localSheetId="23">#REF!</definedName>
    <definedName name="______________obl1711" localSheetId="24">#REF!</definedName>
    <definedName name="______________obl1711" localSheetId="11">#REF!</definedName>
    <definedName name="______________obl1711" localSheetId="13">#REF!</definedName>
    <definedName name="______________obl1711" localSheetId="29">#REF!</definedName>
    <definedName name="______________obl1711" localSheetId="30">#REF!</definedName>
    <definedName name="______________obl1711" localSheetId="31">#REF!</definedName>
    <definedName name="______________obl1711">#REF!</definedName>
    <definedName name="______________obl1712" localSheetId="10">#REF!</definedName>
    <definedName name="______________obl1712" localSheetId="23">#REF!</definedName>
    <definedName name="______________obl1712" localSheetId="24">#REF!</definedName>
    <definedName name="______________obl1712" localSheetId="11">#REF!</definedName>
    <definedName name="______________obl1712" localSheetId="13">#REF!</definedName>
    <definedName name="______________obl1712" localSheetId="29">#REF!</definedName>
    <definedName name="______________obl1712" localSheetId="30">#REF!</definedName>
    <definedName name="______________obl1712" localSheetId="31">#REF!</definedName>
    <definedName name="______________obl1712">#REF!</definedName>
    <definedName name="______________obl1713" localSheetId="10">#REF!</definedName>
    <definedName name="______________obl1713" localSheetId="23">#REF!</definedName>
    <definedName name="______________obl1713" localSheetId="24">#REF!</definedName>
    <definedName name="______________obl1713" localSheetId="11">#REF!</definedName>
    <definedName name="______________obl1713" localSheetId="13">#REF!</definedName>
    <definedName name="______________obl1713" localSheetId="29">#REF!</definedName>
    <definedName name="______________obl1713" localSheetId="30">#REF!</definedName>
    <definedName name="______________obl1713" localSheetId="31">#REF!</definedName>
    <definedName name="______________obl1713">#REF!</definedName>
    <definedName name="______________obl1714" localSheetId="10">#REF!</definedName>
    <definedName name="______________obl1714" localSheetId="23">#REF!</definedName>
    <definedName name="______________obl1714" localSheetId="24">#REF!</definedName>
    <definedName name="______________obl1714" localSheetId="11">#REF!</definedName>
    <definedName name="______________obl1714" localSheetId="13">#REF!</definedName>
    <definedName name="______________obl1714" localSheetId="29">#REF!</definedName>
    <definedName name="______________obl1714" localSheetId="30">#REF!</definedName>
    <definedName name="______________obl1714" localSheetId="31">#REF!</definedName>
    <definedName name="______________obl1714">#REF!</definedName>
    <definedName name="______________obl1715" localSheetId="10">#REF!</definedName>
    <definedName name="______________obl1715" localSheetId="23">#REF!</definedName>
    <definedName name="______________obl1715" localSheetId="24">#REF!</definedName>
    <definedName name="______________obl1715" localSheetId="11">#REF!</definedName>
    <definedName name="______________obl1715" localSheetId="13">#REF!</definedName>
    <definedName name="______________obl1715" localSheetId="29">#REF!</definedName>
    <definedName name="______________obl1715" localSheetId="30">#REF!</definedName>
    <definedName name="______________obl1715" localSheetId="31">#REF!</definedName>
    <definedName name="______________obl1715">#REF!</definedName>
    <definedName name="______________obl1716" localSheetId="10">#REF!</definedName>
    <definedName name="______________obl1716" localSheetId="23">#REF!</definedName>
    <definedName name="______________obl1716" localSheetId="24">#REF!</definedName>
    <definedName name="______________obl1716" localSheetId="11">#REF!</definedName>
    <definedName name="______________obl1716" localSheetId="13">#REF!</definedName>
    <definedName name="______________obl1716" localSheetId="29">#REF!</definedName>
    <definedName name="______________obl1716" localSheetId="30">#REF!</definedName>
    <definedName name="______________obl1716" localSheetId="31">#REF!</definedName>
    <definedName name="______________obl1716">#REF!</definedName>
    <definedName name="______________obl1717" localSheetId="10">#REF!</definedName>
    <definedName name="______________obl1717" localSheetId="23">#REF!</definedName>
    <definedName name="______________obl1717" localSheetId="24">#REF!</definedName>
    <definedName name="______________obl1717" localSheetId="11">#REF!</definedName>
    <definedName name="______________obl1717" localSheetId="13">#REF!</definedName>
    <definedName name="______________obl1717" localSheetId="29">#REF!</definedName>
    <definedName name="______________obl1717" localSheetId="30">#REF!</definedName>
    <definedName name="______________obl1717" localSheetId="31">#REF!</definedName>
    <definedName name="______________obl1717">#REF!</definedName>
    <definedName name="______________obl1718" localSheetId="10">#REF!</definedName>
    <definedName name="______________obl1718" localSheetId="23">#REF!</definedName>
    <definedName name="______________obl1718" localSheetId="24">#REF!</definedName>
    <definedName name="______________obl1718" localSheetId="11">#REF!</definedName>
    <definedName name="______________obl1718" localSheetId="13">#REF!</definedName>
    <definedName name="______________obl1718" localSheetId="29">#REF!</definedName>
    <definedName name="______________obl1718" localSheetId="30">#REF!</definedName>
    <definedName name="______________obl1718" localSheetId="31">#REF!</definedName>
    <definedName name="______________obl1718">#REF!</definedName>
    <definedName name="______________obl1719" localSheetId="10">#REF!</definedName>
    <definedName name="______________obl1719" localSheetId="23">#REF!</definedName>
    <definedName name="______________obl1719" localSheetId="24">#REF!</definedName>
    <definedName name="______________obl1719" localSheetId="11">#REF!</definedName>
    <definedName name="______________obl1719" localSheetId="13">#REF!</definedName>
    <definedName name="______________obl1719" localSheetId="29">#REF!</definedName>
    <definedName name="______________obl1719" localSheetId="30">#REF!</definedName>
    <definedName name="______________obl1719" localSheetId="31">#REF!</definedName>
    <definedName name="______________obl1719">#REF!</definedName>
    <definedName name="______________obl173" localSheetId="10">#REF!</definedName>
    <definedName name="______________obl173" localSheetId="23">#REF!</definedName>
    <definedName name="______________obl173" localSheetId="24">#REF!</definedName>
    <definedName name="______________obl173" localSheetId="11">#REF!</definedName>
    <definedName name="______________obl173" localSheetId="13">#REF!</definedName>
    <definedName name="______________obl173" localSheetId="29">#REF!</definedName>
    <definedName name="______________obl173" localSheetId="30">#REF!</definedName>
    <definedName name="______________obl173" localSheetId="31">#REF!</definedName>
    <definedName name="______________obl173">#REF!</definedName>
    <definedName name="______________obl174" localSheetId="10">#REF!</definedName>
    <definedName name="______________obl174" localSheetId="23">#REF!</definedName>
    <definedName name="______________obl174" localSheetId="24">#REF!</definedName>
    <definedName name="______________obl174" localSheetId="11">#REF!</definedName>
    <definedName name="______________obl174" localSheetId="13">#REF!</definedName>
    <definedName name="______________obl174" localSheetId="29">#REF!</definedName>
    <definedName name="______________obl174" localSheetId="30">#REF!</definedName>
    <definedName name="______________obl174" localSheetId="31">#REF!</definedName>
    <definedName name="______________obl174">#REF!</definedName>
    <definedName name="______________obl175" localSheetId="10">#REF!</definedName>
    <definedName name="______________obl175" localSheetId="23">#REF!</definedName>
    <definedName name="______________obl175" localSheetId="24">#REF!</definedName>
    <definedName name="______________obl175" localSheetId="11">#REF!</definedName>
    <definedName name="______________obl175" localSheetId="13">#REF!</definedName>
    <definedName name="______________obl175" localSheetId="29">#REF!</definedName>
    <definedName name="______________obl175" localSheetId="30">#REF!</definedName>
    <definedName name="______________obl175" localSheetId="31">#REF!</definedName>
    <definedName name="______________obl175">#REF!</definedName>
    <definedName name="______________obl176" localSheetId="10">#REF!</definedName>
    <definedName name="______________obl176" localSheetId="23">#REF!</definedName>
    <definedName name="______________obl176" localSheetId="24">#REF!</definedName>
    <definedName name="______________obl176" localSheetId="11">#REF!</definedName>
    <definedName name="______________obl176" localSheetId="13">#REF!</definedName>
    <definedName name="______________obl176" localSheetId="29">#REF!</definedName>
    <definedName name="______________obl176" localSheetId="30">#REF!</definedName>
    <definedName name="______________obl176" localSheetId="31">#REF!</definedName>
    <definedName name="______________obl176">#REF!</definedName>
    <definedName name="______________obl177" localSheetId="10">#REF!</definedName>
    <definedName name="______________obl177" localSheetId="23">#REF!</definedName>
    <definedName name="______________obl177" localSheetId="24">#REF!</definedName>
    <definedName name="______________obl177" localSheetId="11">#REF!</definedName>
    <definedName name="______________obl177" localSheetId="13">#REF!</definedName>
    <definedName name="______________obl177" localSheetId="29">#REF!</definedName>
    <definedName name="______________obl177" localSheetId="30">#REF!</definedName>
    <definedName name="______________obl177" localSheetId="31">#REF!</definedName>
    <definedName name="______________obl177">#REF!</definedName>
    <definedName name="______________obl178" localSheetId="10">#REF!</definedName>
    <definedName name="______________obl178" localSheetId="23">#REF!</definedName>
    <definedName name="______________obl178" localSheetId="24">#REF!</definedName>
    <definedName name="______________obl178" localSheetId="11">#REF!</definedName>
    <definedName name="______________obl178" localSheetId="13">#REF!</definedName>
    <definedName name="______________obl178" localSheetId="29">#REF!</definedName>
    <definedName name="______________obl178" localSheetId="30">#REF!</definedName>
    <definedName name="______________obl178" localSheetId="31">#REF!</definedName>
    <definedName name="______________obl178">#REF!</definedName>
    <definedName name="______________obl179" localSheetId="10">#REF!</definedName>
    <definedName name="______________obl179" localSheetId="23">#REF!</definedName>
    <definedName name="______________obl179" localSheetId="24">#REF!</definedName>
    <definedName name="______________obl179" localSheetId="11">#REF!</definedName>
    <definedName name="______________obl179" localSheetId="13">#REF!</definedName>
    <definedName name="______________obl179" localSheetId="29">#REF!</definedName>
    <definedName name="______________obl179" localSheetId="30">#REF!</definedName>
    <definedName name="______________obl179" localSheetId="31">#REF!</definedName>
    <definedName name="______________obl179">#REF!</definedName>
    <definedName name="______________obl18" localSheetId="10">#REF!</definedName>
    <definedName name="______________obl18" localSheetId="23">#REF!</definedName>
    <definedName name="______________obl18" localSheetId="24">#REF!</definedName>
    <definedName name="______________obl18" localSheetId="11">#REF!</definedName>
    <definedName name="______________obl18" localSheetId="13">#REF!</definedName>
    <definedName name="______________obl18" localSheetId="29">#REF!</definedName>
    <definedName name="______________obl18" localSheetId="30">#REF!</definedName>
    <definedName name="______________obl18" localSheetId="31">#REF!</definedName>
    <definedName name="______________obl18">#REF!</definedName>
    <definedName name="______________obl181" localSheetId="10">#REF!</definedName>
    <definedName name="______________obl181" localSheetId="23">#REF!</definedName>
    <definedName name="______________obl181" localSheetId="24">#REF!</definedName>
    <definedName name="______________obl181" localSheetId="11">#REF!</definedName>
    <definedName name="______________obl181" localSheetId="13">#REF!</definedName>
    <definedName name="______________obl181" localSheetId="29">#REF!</definedName>
    <definedName name="______________obl181" localSheetId="30">#REF!</definedName>
    <definedName name="______________obl181" localSheetId="31">#REF!</definedName>
    <definedName name="______________obl181">#REF!</definedName>
    <definedName name="______________obl1816" localSheetId="10">#REF!</definedName>
    <definedName name="______________obl1816" localSheetId="23">#REF!</definedName>
    <definedName name="______________obl1816" localSheetId="24">#REF!</definedName>
    <definedName name="______________obl1816" localSheetId="11">#REF!</definedName>
    <definedName name="______________obl1816" localSheetId="13">#REF!</definedName>
    <definedName name="______________obl1816" localSheetId="29">#REF!</definedName>
    <definedName name="______________obl1816" localSheetId="30">#REF!</definedName>
    <definedName name="______________obl1816" localSheetId="31">#REF!</definedName>
    <definedName name="______________obl1816">#REF!</definedName>
    <definedName name="______________obl1820" localSheetId="10">#REF!</definedName>
    <definedName name="______________obl1820" localSheetId="23">#REF!</definedName>
    <definedName name="______________obl1820" localSheetId="24">#REF!</definedName>
    <definedName name="______________obl1820" localSheetId="11">#REF!</definedName>
    <definedName name="______________obl1820" localSheetId="13">#REF!</definedName>
    <definedName name="______________obl1820" localSheetId="29">#REF!</definedName>
    <definedName name="______________obl1820" localSheetId="30">#REF!</definedName>
    <definedName name="______________obl1820" localSheetId="31">#REF!</definedName>
    <definedName name="______________obl1820">#REF!</definedName>
    <definedName name="______________obl1821" localSheetId="10">#REF!</definedName>
    <definedName name="______________obl1821" localSheetId="23">#REF!</definedName>
    <definedName name="______________obl1821" localSheetId="24">#REF!</definedName>
    <definedName name="______________obl1821" localSheetId="11">#REF!</definedName>
    <definedName name="______________obl1821" localSheetId="13">#REF!</definedName>
    <definedName name="______________obl1821" localSheetId="29">#REF!</definedName>
    <definedName name="______________obl1821" localSheetId="30">#REF!</definedName>
    <definedName name="______________obl1821" localSheetId="31">#REF!</definedName>
    <definedName name="______________obl1821">#REF!</definedName>
    <definedName name="______________obl1822" localSheetId="10">#REF!</definedName>
    <definedName name="______________obl1822" localSheetId="23">#REF!</definedName>
    <definedName name="______________obl1822" localSheetId="24">#REF!</definedName>
    <definedName name="______________obl1822" localSheetId="11">#REF!</definedName>
    <definedName name="______________obl1822" localSheetId="13">#REF!</definedName>
    <definedName name="______________obl1822" localSheetId="29">#REF!</definedName>
    <definedName name="______________obl1822" localSheetId="30">#REF!</definedName>
    <definedName name="______________obl1822" localSheetId="31">#REF!</definedName>
    <definedName name="______________obl1822">#REF!</definedName>
    <definedName name="______________obl1823" localSheetId="10">#REF!</definedName>
    <definedName name="______________obl1823" localSheetId="23">#REF!</definedName>
    <definedName name="______________obl1823" localSheetId="24">#REF!</definedName>
    <definedName name="______________obl1823" localSheetId="11">#REF!</definedName>
    <definedName name="______________obl1823" localSheetId="13">#REF!</definedName>
    <definedName name="______________obl1823" localSheetId="29">#REF!</definedName>
    <definedName name="______________obl1823" localSheetId="30">#REF!</definedName>
    <definedName name="______________obl1823" localSheetId="31">#REF!</definedName>
    <definedName name="______________obl1823">#REF!</definedName>
    <definedName name="______________obl1824" localSheetId="10">#REF!</definedName>
    <definedName name="______________obl1824" localSheetId="23">#REF!</definedName>
    <definedName name="______________obl1824" localSheetId="24">#REF!</definedName>
    <definedName name="______________obl1824" localSheetId="11">#REF!</definedName>
    <definedName name="______________obl1824" localSheetId="13">#REF!</definedName>
    <definedName name="______________obl1824" localSheetId="29">#REF!</definedName>
    <definedName name="______________obl1824" localSheetId="30">#REF!</definedName>
    <definedName name="______________obl1824" localSheetId="31">#REF!</definedName>
    <definedName name="______________obl1824">#REF!</definedName>
    <definedName name="______________obl1825" localSheetId="10">#REF!</definedName>
    <definedName name="______________obl1825" localSheetId="23">#REF!</definedName>
    <definedName name="______________obl1825" localSheetId="24">#REF!</definedName>
    <definedName name="______________obl1825" localSheetId="11">#REF!</definedName>
    <definedName name="______________obl1825" localSheetId="13">#REF!</definedName>
    <definedName name="______________obl1825" localSheetId="29">#REF!</definedName>
    <definedName name="______________obl1825" localSheetId="30">#REF!</definedName>
    <definedName name="______________obl1825" localSheetId="31">#REF!</definedName>
    <definedName name="______________obl1825">#REF!</definedName>
    <definedName name="______________obl1826" localSheetId="10">#REF!</definedName>
    <definedName name="______________obl1826" localSheetId="23">#REF!</definedName>
    <definedName name="______________obl1826" localSheetId="24">#REF!</definedName>
    <definedName name="______________obl1826" localSheetId="11">#REF!</definedName>
    <definedName name="______________obl1826" localSheetId="13">#REF!</definedName>
    <definedName name="______________obl1826" localSheetId="29">#REF!</definedName>
    <definedName name="______________obl1826" localSheetId="30">#REF!</definedName>
    <definedName name="______________obl1826" localSheetId="31">#REF!</definedName>
    <definedName name="______________obl1826">#REF!</definedName>
    <definedName name="______________obl1827" localSheetId="10">#REF!</definedName>
    <definedName name="______________obl1827" localSheetId="23">#REF!</definedName>
    <definedName name="______________obl1827" localSheetId="24">#REF!</definedName>
    <definedName name="______________obl1827" localSheetId="11">#REF!</definedName>
    <definedName name="______________obl1827" localSheetId="13">#REF!</definedName>
    <definedName name="______________obl1827" localSheetId="29">#REF!</definedName>
    <definedName name="______________obl1827" localSheetId="30">#REF!</definedName>
    <definedName name="______________obl1827" localSheetId="31">#REF!</definedName>
    <definedName name="______________obl1827">#REF!</definedName>
    <definedName name="______________obl1828" localSheetId="10">#REF!</definedName>
    <definedName name="______________obl1828" localSheetId="23">#REF!</definedName>
    <definedName name="______________obl1828" localSheetId="24">#REF!</definedName>
    <definedName name="______________obl1828" localSheetId="11">#REF!</definedName>
    <definedName name="______________obl1828" localSheetId="13">#REF!</definedName>
    <definedName name="______________obl1828" localSheetId="29">#REF!</definedName>
    <definedName name="______________obl1828" localSheetId="30">#REF!</definedName>
    <definedName name="______________obl1828" localSheetId="31">#REF!</definedName>
    <definedName name="______________obl1828">#REF!</definedName>
    <definedName name="______________obl1829" localSheetId="10">#REF!</definedName>
    <definedName name="______________obl1829" localSheetId="23">#REF!</definedName>
    <definedName name="______________obl1829" localSheetId="24">#REF!</definedName>
    <definedName name="______________obl1829" localSheetId="11">#REF!</definedName>
    <definedName name="______________obl1829" localSheetId="13">#REF!</definedName>
    <definedName name="______________obl1829" localSheetId="29">#REF!</definedName>
    <definedName name="______________obl1829" localSheetId="30">#REF!</definedName>
    <definedName name="______________obl1829" localSheetId="31">#REF!</definedName>
    <definedName name="______________obl1829">#REF!</definedName>
    <definedName name="______________obl183" localSheetId="10">#REF!</definedName>
    <definedName name="______________obl183" localSheetId="23">#REF!</definedName>
    <definedName name="______________obl183" localSheetId="24">#REF!</definedName>
    <definedName name="______________obl183" localSheetId="11">#REF!</definedName>
    <definedName name="______________obl183" localSheetId="13">#REF!</definedName>
    <definedName name="______________obl183" localSheetId="29">#REF!</definedName>
    <definedName name="______________obl183" localSheetId="30">#REF!</definedName>
    <definedName name="______________obl183" localSheetId="31">#REF!</definedName>
    <definedName name="______________obl183">#REF!</definedName>
    <definedName name="______________obl1831" localSheetId="10">#REF!</definedName>
    <definedName name="______________obl1831" localSheetId="23">#REF!</definedName>
    <definedName name="______________obl1831" localSheetId="24">#REF!</definedName>
    <definedName name="______________obl1831" localSheetId="11">#REF!</definedName>
    <definedName name="______________obl1831" localSheetId="13">#REF!</definedName>
    <definedName name="______________obl1831" localSheetId="29">#REF!</definedName>
    <definedName name="______________obl1831" localSheetId="30">#REF!</definedName>
    <definedName name="______________obl1831" localSheetId="31">#REF!</definedName>
    <definedName name="______________obl1831">#REF!</definedName>
    <definedName name="______________obl1832" localSheetId="10">#REF!</definedName>
    <definedName name="______________obl1832" localSheetId="23">#REF!</definedName>
    <definedName name="______________obl1832" localSheetId="24">#REF!</definedName>
    <definedName name="______________obl1832" localSheetId="11">#REF!</definedName>
    <definedName name="______________obl1832" localSheetId="13">#REF!</definedName>
    <definedName name="______________obl1832" localSheetId="29">#REF!</definedName>
    <definedName name="______________obl1832" localSheetId="30">#REF!</definedName>
    <definedName name="______________obl1832" localSheetId="31">#REF!</definedName>
    <definedName name="______________obl1832">#REF!</definedName>
    <definedName name="______________obl184" localSheetId="10">#REF!</definedName>
    <definedName name="______________obl184" localSheetId="23">#REF!</definedName>
    <definedName name="______________obl184" localSheetId="24">#REF!</definedName>
    <definedName name="______________obl184" localSheetId="11">#REF!</definedName>
    <definedName name="______________obl184" localSheetId="13">#REF!</definedName>
    <definedName name="______________obl184" localSheetId="29">#REF!</definedName>
    <definedName name="______________obl184" localSheetId="30">#REF!</definedName>
    <definedName name="______________obl184" localSheetId="31">#REF!</definedName>
    <definedName name="______________obl184">#REF!</definedName>
    <definedName name="______________obl185" localSheetId="10">#REF!</definedName>
    <definedName name="______________obl185" localSheetId="23">#REF!</definedName>
    <definedName name="______________obl185" localSheetId="24">#REF!</definedName>
    <definedName name="______________obl185" localSheetId="11">#REF!</definedName>
    <definedName name="______________obl185" localSheetId="13">#REF!</definedName>
    <definedName name="______________obl185" localSheetId="29">#REF!</definedName>
    <definedName name="______________obl185" localSheetId="30">#REF!</definedName>
    <definedName name="______________obl185" localSheetId="31">#REF!</definedName>
    <definedName name="______________obl185">#REF!</definedName>
    <definedName name="______________obl186" localSheetId="10">#REF!</definedName>
    <definedName name="______________obl186" localSheetId="23">#REF!</definedName>
    <definedName name="______________obl186" localSheetId="24">#REF!</definedName>
    <definedName name="______________obl186" localSheetId="11">#REF!</definedName>
    <definedName name="______________obl186" localSheetId="13">#REF!</definedName>
    <definedName name="______________obl186" localSheetId="29">#REF!</definedName>
    <definedName name="______________obl186" localSheetId="30">#REF!</definedName>
    <definedName name="______________obl186" localSheetId="31">#REF!</definedName>
    <definedName name="______________obl186">#REF!</definedName>
    <definedName name="______________obl187" localSheetId="10">#REF!</definedName>
    <definedName name="______________obl187" localSheetId="23">#REF!</definedName>
    <definedName name="______________obl187" localSheetId="24">#REF!</definedName>
    <definedName name="______________obl187" localSheetId="11">#REF!</definedName>
    <definedName name="______________obl187" localSheetId="13">#REF!</definedName>
    <definedName name="______________obl187" localSheetId="29">#REF!</definedName>
    <definedName name="______________obl187" localSheetId="30">#REF!</definedName>
    <definedName name="______________obl187" localSheetId="31">#REF!</definedName>
    <definedName name="______________obl187">#REF!</definedName>
    <definedName name="_____________obl11" localSheetId="10">#REF!</definedName>
    <definedName name="_____________obl11" localSheetId="24">#REF!</definedName>
    <definedName name="_____________obl11" localSheetId="11">#REF!</definedName>
    <definedName name="_____________obl11" localSheetId="13">#REF!</definedName>
    <definedName name="_____________obl11" localSheetId="29">#REF!</definedName>
    <definedName name="_____________obl11" localSheetId="30">#REF!</definedName>
    <definedName name="_____________obl11" localSheetId="31">#REF!</definedName>
    <definedName name="_____________obl11">#REF!</definedName>
    <definedName name="_____________obl12" localSheetId="10">#REF!</definedName>
    <definedName name="_____________obl12" localSheetId="24">#REF!</definedName>
    <definedName name="_____________obl12" localSheetId="11">#REF!</definedName>
    <definedName name="_____________obl12" localSheetId="13">#REF!</definedName>
    <definedName name="_____________obl12" localSheetId="29">#REF!</definedName>
    <definedName name="_____________obl12" localSheetId="30">#REF!</definedName>
    <definedName name="_____________obl12" localSheetId="31">#REF!</definedName>
    <definedName name="_____________obl12">#REF!</definedName>
    <definedName name="_____________obl13" localSheetId="10">#REF!</definedName>
    <definedName name="_____________obl13" localSheetId="24">#REF!</definedName>
    <definedName name="_____________obl13" localSheetId="11">#REF!</definedName>
    <definedName name="_____________obl13" localSheetId="13">#REF!</definedName>
    <definedName name="_____________obl13" localSheetId="29">#REF!</definedName>
    <definedName name="_____________obl13" localSheetId="30">#REF!</definedName>
    <definedName name="_____________obl13" localSheetId="31">#REF!</definedName>
    <definedName name="_____________obl13">#REF!</definedName>
    <definedName name="_____________obl14" localSheetId="10">#REF!</definedName>
    <definedName name="_____________obl14" localSheetId="24">#REF!</definedName>
    <definedName name="_____________obl14" localSheetId="11">#REF!</definedName>
    <definedName name="_____________obl14" localSheetId="13">#REF!</definedName>
    <definedName name="_____________obl14" localSheetId="29">#REF!</definedName>
    <definedName name="_____________obl14" localSheetId="30">#REF!</definedName>
    <definedName name="_____________obl14" localSheetId="31">#REF!</definedName>
    <definedName name="_____________obl14">#REF!</definedName>
    <definedName name="_____________obl15" localSheetId="10">#REF!</definedName>
    <definedName name="_____________obl15" localSheetId="24">#REF!</definedName>
    <definedName name="_____________obl15" localSheetId="11">#REF!</definedName>
    <definedName name="_____________obl15" localSheetId="13">#REF!</definedName>
    <definedName name="_____________obl15" localSheetId="29">#REF!</definedName>
    <definedName name="_____________obl15" localSheetId="30">#REF!</definedName>
    <definedName name="_____________obl15" localSheetId="31">#REF!</definedName>
    <definedName name="_____________obl15">#REF!</definedName>
    <definedName name="_____________obl16" localSheetId="10">#REF!</definedName>
    <definedName name="_____________obl16" localSheetId="24">#REF!</definedName>
    <definedName name="_____________obl16" localSheetId="11">#REF!</definedName>
    <definedName name="_____________obl16" localSheetId="13">#REF!</definedName>
    <definedName name="_____________obl16" localSheetId="29">#REF!</definedName>
    <definedName name="_____________obl16" localSheetId="30">#REF!</definedName>
    <definedName name="_____________obl16" localSheetId="31">#REF!</definedName>
    <definedName name="_____________obl16">#REF!</definedName>
    <definedName name="_____________obl17" localSheetId="10">#REF!</definedName>
    <definedName name="_____________obl17" localSheetId="24">#REF!</definedName>
    <definedName name="_____________obl17" localSheetId="11">#REF!</definedName>
    <definedName name="_____________obl17" localSheetId="13">#REF!</definedName>
    <definedName name="_____________obl17" localSheetId="29">#REF!</definedName>
    <definedName name="_____________obl17" localSheetId="30">#REF!</definedName>
    <definedName name="_____________obl17" localSheetId="31">#REF!</definedName>
    <definedName name="_____________obl17">#REF!</definedName>
    <definedName name="_____________obl1710" localSheetId="10">#REF!</definedName>
    <definedName name="_____________obl1710" localSheetId="24">#REF!</definedName>
    <definedName name="_____________obl1710" localSheetId="11">#REF!</definedName>
    <definedName name="_____________obl1710" localSheetId="13">#REF!</definedName>
    <definedName name="_____________obl1710" localSheetId="29">#REF!</definedName>
    <definedName name="_____________obl1710" localSheetId="30">#REF!</definedName>
    <definedName name="_____________obl1710" localSheetId="31">#REF!</definedName>
    <definedName name="_____________obl1710">#REF!</definedName>
    <definedName name="_____________obl1711" localSheetId="10">#REF!</definedName>
    <definedName name="_____________obl1711" localSheetId="24">#REF!</definedName>
    <definedName name="_____________obl1711" localSheetId="11">#REF!</definedName>
    <definedName name="_____________obl1711" localSheetId="13">#REF!</definedName>
    <definedName name="_____________obl1711" localSheetId="29">#REF!</definedName>
    <definedName name="_____________obl1711" localSheetId="30">#REF!</definedName>
    <definedName name="_____________obl1711" localSheetId="31">#REF!</definedName>
    <definedName name="_____________obl1711">#REF!</definedName>
    <definedName name="_____________obl1712" localSheetId="10">#REF!</definedName>
    <definedName name="_____________obl1712" localSheetId="24">#REF!</definedName>
    <definedName name="_____________obl1712" localSheetId="11">#REF!</definedName>
    <definedName name="_____________obl1712" localSheetId="13">#REF!</definedName>
    <definedName name="_____________obl1712" localSheetId="29">#REF!</definedName>
    <definedName name="_____________obl1712" localSheetId="30">#REF!</definedName>
    <definedName name="_____________obl1712" localSheetId="31">#REF!</definedName>
    <definedName name="_____________obl1712">#REF!</definedName>
    <definedName name="_____________obl1713" localSheetId="10">#REF!</definedName>
    <definedName name="_____________obl1713" localSheetId="24">#REF!</definedName>
    <definedName name="_____________obl1713" localSheetId="11">#REF!</definedName>
    <definedName name="_____________obl1713" localSheetId="13">#REF!</definedName>
    <definedName name="_____________obl1713" localSheetId="29">#REF!</definedName>
    <definedName name="_____________obl1713" localSheetId="30">#REF!</definedName>
    <definedName name="_____________obl1713" localSheetId="31">#REF!</definedName>
    <definedName name="_____________obl1713">#REF!</definedName>
    <definedName name="_____________obl1714" localSheetId="10">#REF!</definedName>
    <definedName name="_____________obl1714" localSheetId="24">#REF!</definedName>
    <definedName name="_____________obl1714" localSheetId="11">#REF!</definedName>
    <definedName name="_____________obl1714" localSheetId="13">#REF!</definedName>
    <definedName name="_____________obl1714" localSheetId="29">#REF!</definedName>
    <definedName name="_____________obl1714" localSheetId="30">#REF!</definedName>
    <definedName name="_____________obl1714" localSheetId="31">#REF!</definedName>
    <definedName name="_____________obl1714">#REF!</definedName>
    <definedName name="_____________obl1715" localSheetId="10">#REF!</definedName>
    <definedName name="_____________obl1715" localSheetId="24">#REF!</definedName>
    <definedName name="_____________obl1715" localSheetId="11">#REF!</definedName>
    <definedName name="_____________obl1715" localSheetId="13">#REF!</definedName>
    <definedName name="_____________obl1715" localSheetId="29">#REF!</definedName>
    <definedName name="_____________obl1715" localSheetId="30">#REF!</definedName>
    <definedName name="_____________obl1715" localSheetId="31">#REF!</definedName>
    <definedName name="_____________obl1715">#REF!</definedName>
    <definedName name="_____________obl1716" localSheetId="10">#REF!</definedName>
    <definedName name="_____________obl1716" localSheetId="24">#REF!</definedName>
    <definedName name="_____________obl1716" localSheetId="11">#REF!</definedName>
    <definedName name="_____________obl1716" localSheetId="13">#REF!</definedName>
    <definedName name="_____________obl1716" localSheetId="29">#REF!</definedName>
    <definedName name="_____________obl1716" localSheetId="30">#REF!</definedName>
    <definedName name="_____________obl1716" localSheetId="31">#REF!</definedName>
    <definedName name="_____________obl1716">#REF!</definedName>
    <definedName name="_____________obl1717" localSheetId="10">#REF!</definedName>
    <definedName name="_____________obl1717" localSheetId="24">#REF!</definedName>
    <definedName name="_____________obl1717" localSheetId="11">#REF!</definedName>
    <definedName name="_____________obl1717" localSheetId="13">#REF!</definedName>
    <definedName name="_____________obl1717" localSheetId="29">#REF!</definedName>
    <definedName name="_____________obl1717" localSheetId="30">#REF!</definedName>
    <definedName name="_____________obl1717" localSheetId="31">#REF!</definedName>
    <definedName name="_____________obl1717">#REF!</definedName>
    <definedName name="_____________obl1718" localSheetId="10">#REF!</definedName>
    <definedName name="_____________obl1718" localSheetId="24">#REF!</definedName>
    <definedName name="_____________obl1718" localSheetId="11">#REF!</definedName>
    <definedName name="_____________obl1718" localSheetId="13">#REF!</definedName>
    <definedName name="_____________obl1718" localSheetId="29">#REF!</definedName>
    <definedName name="_____________obl1718" localSheetId="30">#REF!</definedName>
    <definedName name="_____________obl1718" localSheetId="31">#REF!</definedName>
    <definedName name="_____________obl1718">#REF!</definedName>
    <definedName name="_____________obl1719" localSheetId="10">#REF!</definedName>
    <definedName name="_____________obl1719" localSheetId="24">#REF!</definedName>
    <definedName name="_____________obl1719" localSheetId="11">#REF!</definedName>
    <definedName name="_____________obl1719" localSheetId="13">#REF!</definedName>
    <definedName name="_____________obl1719" localSheetId="29">#REF!</definedName>
    <definedName name="_____________obl1719" localSheetId="30">#REF!</definedName>
    <definedName name="_____________obl1719" localSheetId="31">#REF!</definedName>
    <definedName name="_____________obl1719">#REF!</definedName>
    <definedName name="_____________obl173" localSheetId="10">#REF!</definedName>
    <definedName name="_____________obl173" localSheetId="24">#REF!</definedName>
    <definedName name="_____________obl173" localSheetId="11">#REF!</definedName>
    <definedName name="_____________obl173" localSheetId="13">#REF!</definedName>
    <definedName name="_____________obl173" localSheetId="29">#REF!</definedName>
    <definedName name="_____________obl173" localSheetId="30">#REF!</definedName>
    <definedName name="_____________obl173" localSheetId="31">#REF!</definedName>
    <definedName name="_____________obl173">#REF!</definedName>
    <definedName name="_____________obl174" localSheetId="10">#REF!</definedName>
    <definedName name="_____________obl174" localSheetId="24">#REF!</definedName>
    <definedName name="_____________obl174" localSheetId="11">#REF!</definedName>
    <definedName name="_____________obl174" localSheetId="13">#REF!</definedName>
    <definedName name="_____________obl174" localSheetId="29">#REF!</definedName>
    <definedName name="_____________obl174" localSheetId="30">#REF!</definedName>
    <definedName name="_____________obl174" localSheetId="31">#REF!</definedName>
    <definedName name="_____________obl174">#REF!</definedName>
    <definedName name="_____________obl175" localSheetId="10">#REF!</definedName>
    <definedName name="_____________obl175" localSheetId="24">#REF!</definedName>
    <definedName name="_____________obl175" localSheetId="11">#REF!</definedName>
    <definedName name="_____________obl175" localSheetId="13">#REF!</definedName>
    <definedName name="_____________obl175" localSheetId="29">#REF!</definedName>
    <definedName name="_____________obl175" localSheetId="30">#REF!</definedName>
    <definedName name="_____________obl175" localSheetId="31">#REF!</definedName>
    <definedName name="_____________obl175">#REF!</definedName>
    <definedName name="_____________obl176" localSheetId="10">#REF!</definedName>
    <definedName name="_____________obl176" localSheetId="24">#REF!</definedName>
    <definedName name="_____________obl176" localSheetId="11">#REF!</definedName>
    <definedName name="_____________obl176" localSheetId="13">#REF!</definedName>
    <definedName name="_____________obl176" localSheetId="29">#REF!</definedName>
    <definedName name="_____________obl176" localSheetId="30">#REF!</definedName>
    <definedName name="_____________obl176" localSheetId="31">#REF!</definedName>
    <definedName name="_____________obl176">#REF!</definedName>
    <definedName name="_____________obl177" localSheetId="10">#REF!</definedName>
    <definedName name="_____________obl177" localSheetId="24">#REF!</definedName>
    <definedName name="_____________obl177" localSheetId="11">#REF!</definedName>
    <definedName name="_____________obl177" localSheetId="13">#REF!</definedName>
    <definedName name="_____________obl177" localSheetId="29">#REF!</definedName>
    <definedName name="_____________obl177" localSheetId="30">#REF!</definedName>
    <definedName name="_____________obl177" localSheetId="31">#REF!</definedName>
    <definedName name="_____________obl177">#REF!</definedName>
    <definedName name="_____________obl178" localSheetId="10">#REF!</definedName>
    <definedName name="_____________obl178" localSheetId="24">#REF!</definedName>
    <definedName name="_____________obl178" localSheetId="11">#REF!</definedName>
    <definedName name="_____________obl178" localSheetId="13">#REF!</definedName>
    <definedName name="_____________obl178" localSheetId="29">#REF!</definedName>
    <definedName name="_____________obl178" localSheetId="30">#REF!</definedName>
    <definedName name="_____________obl178" localSheetId="31">#REF!</definedName>
    <definedName name="_____________obl178">#REF!</definedName>
    <definedName name="_____________obl179" localSheetId="10">#REF!</definedName>
    <definedName name="_____________obl179" localSheetId="24">#REF!</definedName>
    <definedName name="_____________obl179" localSheetId="11">#REF!</definedName>
    <definedName name="_____________obl179" localSheetId="13">#REF!</definedName>
    <definedName name="_____________obl179" localSheetId="29">#REF!</definedName>
    <definedName name="_____________obl179" localSheetId="30">#REF!</definedName>
    <definedName name="_____________obl179" localSheetId="31">#REF!</definedName>
    <definedName name="_____________obl179">#REF!</definedName>
    <definedName name="_____________obl18" localSheetId="10">#REF!</definedName>
    <definedName name="_____________obl18" localSheetId="24">#REF!</definedName>
    <definedName name="_____________obl18" localSheetId="11">#REF!</definedName>
    <definedName name="_____________obl18" localSheetId="13">#REF!</definedName>
    <definedName name="_____________obl18" localSheetId="29">#REF!</definedName>
    <definedName name="_____________obl18" localSheetId="30">#REF!</definedName>
    <definedName name="_____________obl18" localSheetId="31">#REF!</definedName>
    <definedName name="_____________obl18">#REF!</definedName>
    <definedName name="_____________obl181" localSheetId="10">#REF!</definedName>
    <definedName name="_____________obl181" localSheetId="24">#REF!</definedName>
    <definedName name="_____________obl181" localSheetId="11">#REF!</definedName>
    <definedName name="_____________obl181" localSheetId="13">#REF!</definedName>
    <definedName name="_____________obl181" localSheetId="29">#REF!</definedName>
    <definedName name="_____________obl181" localSheetId="30">#REF!</definedName>
    <definedName name="_____________obl181" localSheetId="31">#REF!</definedName>
    <definedName name="_____________obl181">#REF!</definedName>
    <definedName name="_____________obl1816" localSheetId="10">#REF!</definedName>
    <definedName name="_____________obl1816" localSheetId="24">#REF!</definedName>
    <definedName name="_____________obl1816" localSheetId="11">#REF!</definedName>
    <definedName name="_____________obl1816" localSheetId="13">#REF!</definedName>
    <definedName name="_____________obl1816" localSheetId="29">#REF!</definedName>
    <definedName name="_____________obl1816" localSheetId="30">#REF!</definedName>
    <definedName name="_____________obl1816" localSheetId="31">#REF!</definedName>
    <definedName name="_____________obl1816">#REF!</definedName>
    <definedName name="_____________obl1820" localSheetId="10">#REF!</definedName>
    <definedName name="_____________obl1820" localSheetId="24">#REF!</definedName>
    <definedName name="_____________obl1820" localSheetId="11">#REF!</definedName>
    <definedName name="_____________obl1820" localSheetId="13">#REF!</definedName>
    <definedName name="_____________obl1820" localSheetId="29">#REF!</definedName>
    <definedName name="_____________obl1820" localSheetId="30">#REF!</definedName>
    <definedName name="_____________obl1820" localSheetId="31">#REF!</definedName>
    <definedName name="_____________obl1820">#REF!</definedName>
    <definedName name="_____________obl1821" localSheetId="10">#REF!</definedName>
    <definedName name="_____________obl1821" localSheetId="24">#REF!</definedName>
    <definedName name="_____________obl1821" localSheetId="11">#REF!</definedName>
    <definedName name="_____________obl1821" localSheetId="13">#REF!</definedName>
    <definedName name="_____________obl1821" localSheetId="29">#REF!</definedName>
    <definedName name="_____________obl1821" localSheetId="30">#REF!</definedName>
    <definedName name="_____________obl1821" localSheetId="31">#REF!</definedName>
    <definedName name="_____________obl1821">#REF!</definedName>
    <definedName name="_____________obl1822" localSheetId="10">#REF!</definedName>
    <definedName name="_____________obl1822" localSheetId="24">#REF!</definedName>
    <definedName name="_____________obl1822" localSheetId="11">#REF!</definedName>
    <definedName name="_____________obl1822" localSheetId="13">#REF!</definedName>
    <definedName name="_____________obl1822" localSheetId="29">#REF!</definedName>
    <definedName name="_____________obl1822" localSheetId="30">#REF!</definedName>
    <definedName name="_____________obl1822" localSheetId="31">#REF!</definedName>
    <definedName name="_____________obl1822">#REF!</definedName>
    <definedName name="_____________obl1823" localSheetId="10">#REF!</definedName>
    <definedName name="_____________obl1823" localSheetId="24">#REF!</definedName>
    <definedName name="_____________obl1823" localSheetId="11">#REF!</definedName>
    <definedName name="_____________obl1823" localSheetId="13">#REF!</definedName>
    <definedName name="_____________obl1823" localSheetId="29">#REF!</definedName>
    <definedName name="_____________obl1823" localSheetId="30">#REF!</definedName>
    <definedName name="_____________obl1823" localSheetId="31">#REF!</definedName>
    <definedName name="_____________obl1823">#REF!</definedName>
    <definedName name="_____________obl1824" localSheetId="10">#REF!</definedName>
    <definedName name="_____________obl1824" localSheetId="24">#REF!</definedName>
    <definedName name="_____________obl1824" localSheetId="11">#REF!</definedName>
    <definedName name="_____________obl1824" localSheetId="13">#REF!</definedName>
    <definedName name="_____________obl1824" localSheetId="29">#REF!</definedName>
    <definedName name="_____________obl1824" localSheetId="30">#REF!</definedName>
    <definedName name="_____________obl1824" localSheetId="31">#REF!</definedName>
    <definedName name="_____________obl1824">#REF!</definedName>
    <definedName name="_____________obl1825" localSheetId="10">#REF!</definedName>
    <definedName name="_____________obl1825" localSheetId="24">#REF!</definedName>
    <definedName name="_____________obl1825" localSheetId="11">#REF!</definedName>
    <definedName name="_____________obl1825" localSheetId="13">#REF!</definedName>
    <definedName name="_____________obl1825" localSheetId="29">#REF!</definedName>
    <definedName name="_____________obl1825" localSheetId="30">#REF!</definedName>
    <definedName name="_____________obl1825" localSheetId="31">#REF!</definedName>
    <definedName name="_____________obl1825">#REF!</definedName>
    <definedName name="_____________obl1826" localSheetId="10">#REF!</definedName>
    <definedName name="_____________obl1826" localSheetId="24">#REF!</definedName>
    <definedName name="_____________obl1826" localSheetId="11">#REF!</definedName>
    <definedName name="_____________obl1826" localSheetId="13">#REF!</definedName>
    <definedName name="_____________obl1826" localSheetId="29">#REF!</definedName>
    <definedName name="_____________obl1826" localSheetId="30">#REF!</definedName>
    <definedName name="_____________obl1826" localSheetId="31">#REF!</definedName>
    <definedName name="_____________obl1826">#REF!</definedName>
    <definedName name="_____________obl1827" localSheetId="10">#REF!</definedName>
    <definedName name="_____________obl1827" localSheetId="24">#REF!</definedName>
    <definedName name="_____________obl1827" localSheetId="11">#REF!</definedName>
    <definedName name="_____________obl1827" localSheetId="13">#REF!</definedName>
    <definedName name="_____________obl1827" localSheetId="29">#REF!</definedName>
    <definedName name="_____________obl1827" localSheetId="30">#REF!</definedName>
    <definedName name="_____________obl1827" localSheetId="31">#REF!</definedName>
    <definedName name="_____________obl1827">#REF!</definedName>
    <definedName name="_____________obl1828" localSheetId="10">#REF!</definedName>
    <definedName name="_____________obl1828" localSheetId="24">#REF!</definedName>
    <definedName name="_____________obl1828" localSheetId="11">#REF!</definedName>
    <definedName name="_____________obl1828" localSheetId="13">#REF!</definedName>
    <definedName name="_____________obl1828" localSheetId="29">#REF!</definedName>
    <definedName name="_____________obl1828" localSheetId="30">#REF!</definedName>
    <definedName name="_____________obl1828" localSheetId="31">#REF!</definedName>
    <definedName name="_____________obl1828">#REF!</definedName>
    <definedName name="_____________obl1829" localSheetId="10">#REF!</definedName>
    <definedName name="_____________obl1829" localSheetId="24">#REF!</definedName>
    <definedName name="_____________obl1829" localSheetId="11">#REF!</definedName>
    <definedName name="_____________obl1829" localSheetId="13">#REF!</definedName>
    <definedName name="_____________obl1829" localSheetId="29">#REF!</definedName>
    <definedName name="_____________obl1829" localSheetId="30">#REF!</definedName>
    <definedName name="_____________obl1829" localSheetId="31">#REF!</definedName>
    <definedName name="_____________obl1829">#REF!</definedName>
    <definedName name="_____________obl183" localSheetId="10">#REF!</definedName>
    <definedName name="_____________obl183" localSheetId="24">#REF!</definedName>
    <definedName name="_____________obl183" localSheetId="11">#REF!</definedName>
    <definedName name="_____________obl183" localSheetId="13">#REF!</definedName>
    <definedName name="_____________obl183" localSheetId="29">#REF!</definedName>
    <definedName name="_____________obl183" localSheetId="30">#REF!</definedName>
    <definedName name="_____________obl183" localSheetId="31">#REF!</definedName>
    <definedName name="_____________obl183">#REF!</definedName>
    <definedName name="_____________obl1831" localSheetId="10">#REF!</definedName>
    <definedName name="_____________obl1831" localSheetId="24">#REF!</definedName>
    <definedName name="_____________obl1831" localSheetId="11">#REF!</definedName>
    <definedName name="_____________obl1831" localSheetId="13">#REF!</definedName>
    <definedName name="_____________obl1831" localSheetId="29">#REF!</definedName>
    <definedName name="_____________obl1831" localSheetId="30">#REF!</definedName>
    <definedName name="_____________obl1831" localSheetId="31">#REF!</definedName>
    <definedName name="_____________obl1831">#REF!</definedName>
    <definedName name="_____________obl1832" localSheetId="10">#REF!</definedName>
    <definedName name="_____________obl1832" localSheetId="24">#REF!</definedName>
    <definedName name="_____________obl1832" localSheetId="11">#REF!</definedName>
    <definedName name="_____________obl1832" localSheetId="13">#REF!</definedName>
    <definedName name="_____________obl1832" localSheetId="29">#REF!</definedName>
    <definedName name="_____________obl1832" localSheetId="30">#REF!</definedName>
    <definedName name="_____________obl1832" localSheetId="31">#REF!</definedName>
    <definedName name="_____________obl1832">#REF!</definedName>
    <definedName name="_____________obl184" localSheetId="10">#REF!</definedName>
    <definedName name="_____________obl184" localSheetId="24">#REF!</definedName>
    <definedName name="_____________obl184" localSheetId="11">#REF!</definedName>
    <definedName name="_____________obl184" localSheetId="13">#REF!</definedName>
    <definedName name="_____________obl184" localSheetId="29">#REF!</definedName>
    <definedName name="_____________obl184" localSheetId="30">#REF!</definedName>
    <definedName name="_____________obl184" localSheetId="31">#REF!</definedName>
    <definedName name="_____________obl184">#REF!</definedName>
    <definedName name="_____________obl185" localSheetId="10">#REF!</definedName>
    <definedName name="_____________obl185" localSheetId="24">#REF!</definedName>
    <definedName name="_____________obl185" localSheetId="11">#REF!</definedName>
    <definedName name="_____________obl185" localSheetId="13">#REF!</definedName>
    <definedName name="_____________obl185" localSheetId="29">#REF!</definedName>
    <definedName name="_____________obl185" localSheetId="30">#REF!</definedName>
    <definedName name="_____________obl185" localSheetId="31">#REF!</definedName>
    <definedName name="_____________obl185">#REF!</definedName>
    <definedName name="_____________obl186" localSheetId="10">#REF!</definedName>
    <definedName name="_____________obl186" localSheetId="24">#REF!</definedName>
    <definedName name="_____________obl186" localSheetId="11">#REF!</definedName>
    <definedName name="_____________obl186" localSheetId="13">#REF!</definedName>
    <definedName name="_____________obl186" localSheetId="29">#REF!</definedName>
    <definedName name="_____________obl186" localSheetId="30">#REF!</definedName>
    <definedName name="_____________obl186" localSheetId="31">#REF!</definedName>
    <definedName name="_____________obl186">#REF!</definedName>
    <definedName name="_____________obl187" localSheetId="10">#REF!</definedName>
    <definedName name="_____________obl187" localSheetId="24">#REF!</definedName>
    <definedName name="_____________obl187" localSheetId="11">#REF!</definedName>
    <definedName name="_____________obl187" localSheetId="13">#REF!</definedName>
    <definedName name="_____________obl187" localSheetId="29">#REF!</definedName>
    <definedName name="_____________obl187" localSheetId="30">#REF!</definedName>
    <definedName name="_____________obl187" localSheetId="31">#REF!</definedName>
    <definedName name="_____________obl187">#REF!</definedName>
    <definedName name="____________obl11" localSheetId="23">#REF!</definedName>
    <definedName name="____________obl11" localSheetId="24">#REF!</definedName>
    <definedName name="____________obl11" localSheetId="18">#REF!</definedName>
    <definedName name="____________obl11" localSheetId="29">#REF!</definedName>
    <definedName name="____________obl11" localSheetId="31">#REF!</definedName>
    <definedName name="____________obl11">#REF!</definedName>
    <definedName name="____________obl12" localSheetId="23">#REF!</definedName>
    <definedName name="____________obl12" localSheetId="24">#REF!</definedName>
    <definedName name="____________obl12" localSheetId="18">#REF!</definedName>
    <definedName name="____________obl12" localSheetId="29">#REF!</definedName>
    <definedName name="____________obl12" localSheetId="31">#REF!</definedName>
    <definedName name="____________obl12">#REF!</definedName>
    <definedName name="____________obl13" localSheetId="23">#REF!</definedName>
    <definedName name="____________obl13" localSheetId="24">#REF!</definedName>
    <definedName name="____________obl13" localSheetId="18">#REF!</definedName>
    <definedName name="____________obl13" localSheetId="29">#REF!</definedName>
    <definedName name="____________obl13" localSheetId="31">#REF!</definedName>
    <definedName name="____________obl13">#REF!</definedName>
    <definedName name="____________obl14" localSheetId="23">#REF!</definedName>
    <definedName name="____________obl14" localSheetId="24">#REF!</definedName>
    <definedName name="____________obl14" localSheetId="18">#REF!</definedName>
    <definedName name="____________obl14" localSheetId="29">#REF!</definedName>
    <definedName name="____________obl14" localSheetId="31">#REF!</definedName>
    <definedName name="____________obl14">#REF!</definedName>
    <definedName name="____________obl15" localSheetId="23">#REF!</definedName>
    <definedName name="____________obl15" localSheetId="24">#REF!</definedName>
    <definedName name="____________obl15" localSheetId="18">#REF!</definedName>
    <definedName name="____________obl15" localSheetId="29">#REF!</definedName>
    <definedName name="____________obl15" localSheetId="31">#REF!</definedName>
    <definedName name="____________obl15">#REF!</definedName>
    <definedName name="____________obl16" localSheetId="23">#REF!</definedName>
    <definedName name="____________obl16" localSheetId="24">#REF!</definedName>
    <definedName name="____________obl16" localSheetId="18">#REF!</definedName>
    <definedName name="____________obl16" localSheetId="29">#REF!</definedName>
    <definedName name="____________obl16" localSheetId="31">#REF!</definedName>
    <definedName name="____________obl16">#REF!</definedName>
    <definedName name="____________obl17" localSheetId="23">#REF!</definedName>
    <definedName name="____________obl17" localSheetId="24">#REF!</definedName>
    <definedName name="____________obl17" localSheetId="18">#REF!</definedName>
    <definedName name="____________obl17" localSheetId="29">#REF!</definedName>
    <definedName name="____________obl17" localSheetId="31">#REF!</definedName>
    <definedName name="____________obl17">#REF!</definedName>
    <definedName name="____________obl1710" localSheetId="23">#REF!</definedName>
    <definedName name="____________obl1710" localSheetId="24">#REF!</definedName>
    <definedName name="____________obl1710" localSheetId="18">#REF!</definedName>
    <definedName name="____________obl1710" localSheetId="29">#REF!</definedName>
    <definedName name="____________obl1710" localSheetId="31">#REF!</definedName>
    <definedName name="____________obl1710">#REF!</definedName>
    <definedName name="____________obl1711" localSheetId="23">#REF!</definedName>
    <definedName name="____________obl1711" localSheetId="24">#REF!</definedName>
    <definedName name="____________obl1711" localSheetId="18">#REF!</definedName>
    <definedName name="____________obl1711" localSheetId="29">#REF!</definedName>
    <definedName name="____________obl1711" localSheetId="31">#REF!</definedName>
    <definedName name="____________obl1711">#REF!</definedName>
    <definedName name="____________obl1712" localSheetId="23">#REF!</definedName>
    <definedName name="____________obl1712" localSheetId="24">#REF!</definedName>
    <definedName name="____________obl1712" localSheetId="18">#REF!</definedName>
    <definedName name="____________obl1712" localSheetId="29">#REF!</definedName>
    <definedName name="____________obl1712" localSheetId="31">#REF!</definedName>
    <definedName name="____________obl1712">#REF!</definedName>
    <definedName name="____________obl1713" localSheetId="23">#REF!</definedName>
    <definedName name="____________obl1713" localSheetId="24">#REF!</definedName>
    <definedName name="____________obl1713" localSheetId="18">#REF!</definedName>
    <definedName name="____________obl1713" localSheetId="29">#REF!</definedName>
    <definedName name="____________obl1713" localSheetId="31">#REF!</definedName>
    <definedName name="____________obl1713">#REF!</definedName>
    <definedName name="____________obl1714" localSheetId="23">#REF!</definedName>
    <definedName name="____________obl1714" localSheetId="24">#REF!</definedName>
    <definedName name="____________obl1714" localSheetId="18">#REF!</definedName>
    <definedName name="____________obl1714" localSheetId="29">#REF!</definedName>
    <definedName name="____________obl1714" localSheetId="31">#REF!</definedName>
    <definedName name="____________obl1714">#REF!</definedName>
    <definedName name="____________obl1715" localSheetId="23">#REF!</definedName>
    <definedName name="____________obl1715" localSheetId="24">#REF!</definedName>
    <definedName name="____________obl1715" localSheetId="18">#REF!</definedName>
    <definedName name="____________obl1715" localSheetId="29">#REF!</definedName>
    <definedName name="____________obl1715" localSheetId="31">#REF!</definedName>
    <definedName name="____________obl1715">#REF!</definedName>
    <definedName name="____________obl1716" localSheetId="23">#REF!</definedName>
    <definedName name="____________obl1716" localSheetId="24">#REF!</definedName>
    <definedName name="____________obl1716" localSheetId="18">#REF!</definedName>
    <definedName name="____________obl1716" localSheetId="29">#REF!</definedName>
    <definedName name="____________obl1716" localSheetId="31">#REF!</definedName>
    <definedName name="____________obl1716">#REF!</definedName>
    <definedName name="____________obl1717" localSheetId="23">#REF!</definedName>
    <definedName name="____________obl1717" localSheetId="24">#REF!</definedName>
    <definedName name="____________obl1717" localSheetId="18">#REF!</definedName>
    <definedName name="____________obl1717" localSheetId="29">#REF!</definedName>
    <definedName name="____________obl1717" localSheetId="31">#REF!</definedName>
    <definedName name="____________obl1717">#REF!</definedName>
    <definedName name="____________obl1718" localSheetId="23">#REF!</definedName>
    <definedName name="____________obl1718" localSheetId="24">#REF!</definedName>
    <definedName name="____________obl1718" localSheetId="18">#REF!</definedName>
    <definedName name="____________obl1718" localSheetId="29">#REF!</definedName>
    <definedName name="____________obl1718" localSheetId="31">#REF!</definedName>
    <definedName name="____________obl1718">#REF!</definedName>
    <definedName name="____________obl1719" localSheetId="23">#REF!</definedName>
    <definedName name="____________obl1719" localSheetId="24">#REF!</definedName>
    <definedName name="____________obl1719" localSheetId="18">#REF!</definedName>
    <definedName name="____________obl1719" localSheetId="29">#REF!</definedName>
    <definedName name="____________obl1719" localSheetId="31">#REF!</definedName>
    <definedName name="____________obl1719">#REF!</definedName>
    <definedName name="____________obl173" localSheetId="23">#REF!</definedName>
    <definedName name="____________obl173" localSheetId="24">#REF!</definedName>
    <definedName name="____________obl173" localSheetId="18">#REF!</definedName>
    <definedName name="____________obl173" localSheetId="29">#REF!</definedName>
    <definedName name="____________obl173" localSheetId="31">#REF!</definedName>
    <definedName name="____________obl173">#REF!</definedName>
    <definedName name="____________obl174" localSheetId="23">#REF!</definedName>
    <definedName name="____________obl174" localSheetId="24">#REF!</definedName>
    <definedName name="____________obl174" localSheetId="18">#REF!</definedName>
    <definedName name="____________obl174" localSheetId="29">#REF!</definedName>
    <definedName name="____________obl174" localSheetId="31">#REF!</definedName>
    <definedName name="____________obl174">#REF!</definedName>
    <definedName name="____________obl175" localSheetId="23">#REF!</definedName>
    <definedName name="____________obl175" localSheetId="24">#REF!</definedName>
    <definedName name="____________obl175" localSheetId="18">#REF!</definedName>
    <definedName name="____________obl175" localSheetId="29">#REF!</definedName>
    <definedName name="____________obl175" localSheetId="31">#REF!</definedName>
    <definedName name="____________obl175">#REF!</definedName>
    <definedName name="____________obl176" localSheetId="23">#REF!</definedName>
    <definedName name="____________obl176" localSheetId="24">#REF!</definedName>
    <definedName name="____________obl176" localSheetId="18">#REF!</definedName>
    <definedName name="____________obl176" localSheetId="29">#REF!</definedName>
    <definedName name="____________obl176" localSheetId="31">#REF!</definedName>
    <definedName name="____________obl176">#REF!</definedName>
    <definedName name="____________obl177" localSheetId="23">#REF!</definedName>
    <definedName name="____________obl177" localSheetId="24">#REF!</definedName>
    <definedName name="____________obl177" localSheetId="18">#REF!</definedName>
    <definedName name="____________obl177" localSheetId="29">#REF!</definedName>
    <definedName name="____________obl177" localSheetId="31">#REF!</definedName>
    <definedName name="____________obl177">#REF!</definedName>
    <definedName name="____________obl178" localSheetId="23">#REF!</definedName>
    <definedName name="____________obl178" localSheetId="24">#REF!</definedName>
    <definedName name="____________obl178" localSheetId="18">#REF!</definedName>
    <definedName name="____________obl178" localSheetId="29">#REF!</definedName>
    <definedName name="____________obl178" localSheetId="31">#REF!</definedName>
    <definedName name="____________obl178">#REF!</definedName>
    <definedName name="____________obl179" localSheetId="23">#REF!</definedName>
    <definedName name="____________obl179" localSheetId="24">#REF!</definedName>
    <definedName name="____________obl179" localSheetId="18">#REF!</definedName>
    <definedName name="____________obl179" localSheetId="29">#REF!</definedName>
    <definedName name="____________obl179" localSheetId="31">#REF!</definedName>
    <definedName name="____________obl179">#REF!</definedName>
    <definedName name="____________obl18" localSheetId="23">#REF!</definedName>
    <definedName name="____________obl18" localSheetId="24">#REF!</definedName>
    <definedName name="____________obl18" localSheetId="18">#REF!</definedName>
    <definedName name="____________obl18" localSheetId="29">#REF!</definedName>
    <definedName name="____________obl18" localSheetId="31">#REF!</definedName>
    <definedName name="____________obl18">#REF!</definedName>
    <definedName name="____________obl181" localSheetId="23">#REF!</definedName>
    <definedName name="____________obl181" localSheetId="24">#REF!</definedName>
    <definedName name="____________obl181" localSheetId="18">#REF!</definedName>
    <definedName name="____________obl181" localSheetId="29">#REF!</definedName>
    <definedName name="____________obl181" localSheetId="31">#REF!</definedName>
    <definedName name="____________obl181">#REF!</definedName>
    <definedName name="____________obl1816" localSheetId="23">#REF!</definedName>
    <definedName name="____________obl1816" localSheetId="24">#REF!</definedName>
    <definedName name="____________obl1816" localSheetId="18">#REF!</definedName>
    <definedName name="____________obl1816" localSheetId="29">#REF!</definedName>
    <definedName name="____________obl1816" localSheetId="31">#REF!</definedName>
    <definedName name="____________obl1816">#REF!</definedName>
    <definedName name="____________obl1820" localSheetId="23">#REF!</definedName>
    <definedName name="____________obl1820" localSheetId="24">#REF!</definedName>
    <definedName name="____________obl1820" localSheetId="18">#REF!</definedName>
    <definedName name="____________obl1820" localSheetId="29">#REF!</definedName>
    <definedName name="____________obl1820" localSheetId="31">#REF!</definedName>
    <definedName name="____________obl1820">#REF!</definedName>
    <definedName name="____________obl1821" localSheetId="23">#REF!</definedName>
    <definedName name="____________obl1821" localSheetId="24">#REF!</definedName>
    <definedName name="____________obl1821" localSheetId="18">#REF!</definedName>
    <definedName name="____________obl1821" localSheetId="29">#REF!</definedName>
    <definedName name="____________obl1821" localSheetId="31">#REF!</definedName>
    <definedName name="____________obl1821">#REF!</definedName>
    <definedName name="____________obl1822" localSheetId="23">#REF!</definedName>
    <definedName name="____________obl1822" localSheetId="24">#REF!</definedName>
    <definedName name="____________obl1822" localSheetId="18">#REF!</definedName>
    <definedName name="____________obl1822" localSheetId="29">#REF!</definedName>
    <definedName name="____________obl1822" localSheetId="31">#REF!</definedName>
    <definedName name="____________obl1822">#REF!</definedName>
    <definedName name="____________obl1823" localSheetId="23">#REF!</definedName>
    <definedName name="____________obl1823" localSheetId="24">#REF!</definedName>
    <definedName name="____________obl1823" localSheetId="18">#REF!</definedName>
    <definedName name="____________obl1823" localSheetId="29">#REF!</definedName>
    <definedName name="____________obl1823" localSheetId="31">#REF!</definedName>
    <definedName name="____________obl1823">#REF!</definedName>
    <definedName name="____________obl1824" localSheetId="23">#REF!</definedName>
    <definedName name="____________obl1824" localSheetId="24">#REF!</definedName>
    <definedName name="____________obl1824" localSheetId="18">#REF!</definedName>
    <definedName name="____________obl1824" localSheetId="29">#REF!</definedName>
    <definedName name="____________obl1824" localSheetId="31">#REF!</definedName>
    <definedName name="____________obl1824">#REF!</definedName>
    <definedName name="____________obl1825" localSheetId="23">#REF!</definedName>
    <definedName name="____________obl1825" localSheetId="24">#REF!</definedName>
    <definedName name="____________obl1825" localSheetId="18">#REF!</definedName>
    <definedName name="____________obl1825" localSheetId="29">#REF!</definedName>
    <definedName name="____________obl1825" localSheetId="31">#REF!</definedName>
    <definedName name="____________obl1825">#REF!</definedName>
    <definedName name="____________obl1826" localSheetId="23">#REF!</definedName>
    <definedName name="____________obl1826" localSheetId="24">#REF!</definedName>
    <definedName name="____________obl1826" localSheetId="18">#REF!</definedName>
    <definedName name="____________obl1826" localSheetId="29">#REF!</definedName>
    <definedName name="____________obl1826" localSheetId="31">#REF!</definedName>
    <definedName name="____________obl1826">#REF!</definedName>
    <definedName name="____________obl1827" localSheetId="23">#REF!</definedName>
    <definedName name="____________obl1827" localSheetId="24">#REF!</definedName>
    <definedName name="____________obl1827" localSheetId="18">#REF!</definedName>
    <definedName name="____________obl1827" localSheetId="29">#REF!</definedName>
    <definedName name="____________obl1827" localSheetId="31">#REF!</definedName>
    <definedName name="____________obl1827">#REF!</definedName>
    <definedName name="____________obl1828" localSheetId="23">#REF!</definedName>
    <definedName name="____________obl1828" localSheetId="24">#REF!</definedName>
    <definedName name="____________obl1828" localSheetId="18">#REF!</definedName>
    <definedName name="____________obl1828" localSheetId="29">#REF!</definedName>
    <definedName name="____________obl1828" localSheetId="31">#REF!</definedName>
    <definedName name="____________obl1828">#REF!</definedName>
    <definedName name="____________obl1829" localSheetId="23">#REF!</definedName>
    <definedName name="____________obl1829" localSheetId="24">#REF!</definedName>
    <definedName name="____________obl1829" localSheetId="18">#REF!</definedName>
    <definedName name="____________obl1829" localSheetId="29">#REF!</definedName>
    <definedName name="____________obl1829" localSheetId="31">#REF!</definedName>
    <definedName name="____________obl1829">#REF!</definedName>
    <definedName name="____________obl183" localSheetId="23">#REF!</definedName>
    <definedName name="____________obl183" localSheetId="24">#REF!</definedName>
    <definedName name="____________obl183" localSheetId="18">#REF!</definedName>
    <definedName name="____________obl183" localSheetId="29">#REF!</definedName>
    <definedName name="____________obl183" localSheetId="31">#REF!</definedName>
    <definedName name="____________obl183">#REF!</definedName>
    <definedName name="____________obl1831" localSheetId="23">#REF!</definedName>
    <definedName name="____________obl1831" localSheetId="24">#REF!</definedName>
    <definedName name="____________obl1831" localSheetId="18">#REF!</definedName>
    <definedName name="____________obl1831" localSheetId="29">#REF!</definedName>
    <definedName name="____________obl1831" localSheetId="31">#REF!</definedName>
    <definedName name="____________obl1831">#REF!</definedName>
    <definedName name="____________obl1832" localSheetId="23">#REF!</definedName>
    <definedName name="____________obl1832" localSheetId="24">#REF!</definedName>
    <definedName name="____________obl1832" localSheetId="18">#REF!</definedName>
    <definedName name="____________obl1832" localSheetId="29">#REF!</definedName>
    <definedName name="____________obl1832" localSheetId="31">#REF!</definedName>
    <definedName name="____________obl1832">#REF!</definedName>
    <definedName name="____________obl184" localSheetId="23">#REF!</definedName>
    <definedName name="____________obl184" localSheetId="24">#REF!</definedName>
    <definedName name="____________obl184" localSheetId="18">#REF!</definedName>
    <definedName name="____________obl184" localSheetId="29">#REF!</definedName>
    <definedName name="____________obl184" localSheetId="31">#REF!</definedName>
    <definedName name="____________obl184">#REF!</definedName>
    <definedName name="____________obl185" localSheetId="23">#REF!</definedName>
    <definedName name="____________obl185" localSheetId="24">#REF!</definedName>
    <definedName name="____________obl185" localSheetId="18">#REF!</definedName>
    <definedName name="____________obl185" localSheetId="29">#REF!</definedName>
    <definedName name="____________obl185" localSheetId="31">#REF!</definedName>
    <definedName name="____________obl185">#REF!</definedName>
    <definedName name="____________obl186" localSheetId="23">#REF!</definedName>
    <definedName name="____________obl186" localSheetId="24">#REF!</definedName>
    <definedName name="____________obl186" localSheetId="18">#REF!</definedName>
    <definedName name="____________obl186" localSheetId="29">#REF!</definedName>
    <definedName name="____________obl186" localSheetId="31">#REF!</definedName>
    <definedName name="____________obl186">#REF!</definedName>
    <definedName name="____________obl187" localSheetId="23">#REF!</definedName>
    <definedName name="____________obl187" localSheetId="24">#REF!</definedName>
    <definedName name="____________obl187" localSheetId="18">#REF!</definedName>
    <definedName name="____________obl187" localSheetId="29">#REF!</definedName>
    <definedName name="____________obl187" localSheetId="31">#REF!</definedName>
    <definedName name="____________obl187">#REF!</definedName>
    <definedName name="___________obl11" localSheetId="10">#REF!</definedName>
    <definedName name="___________obl11" localSheetId="23">#REF!</definedName>
    <definedName name="___________obl11" localSheetId="24">#REF!</definedName>
    <definedName name="___________obl11" localSheetId="11">#REF!</definedName>
    <definedName name="___________obl11" localSheetId="13">#REF!</definedName>
    <definedName name="___________obl11" localSheetId="29">#REF!</definedName>
    <definedName name="___________obl11" localSheetId="30">#REF!</definedName>
    <definedName name="___________obl11" localSheetId="31">#REF!</definedName>
    <definedName name="___________obl11">#REF!</definedName>
    <definedName name="___________obl12" localSheetId="10">#REF!</definedName>
    <definedName name="___________obl12" localSheetId="23">#REF!</definedName>
    <definedName name="___________obl12" localSheetId="24">#REF!</definedName>
    <definedName name="___________obl12" localSheetId="11">#REF!</definedName>
    <definedName name="___________obl12" localSheetId="13">#REF!</definedName>
    <definedName name="___________obl12" localSheetId="29">#REF!</definedName>
    <definedName name="___________obl12" localSheetId="30">#REF!</definedName>
    <definedName name="___________obl12" localSheetId="31">#REF!</definedName>
    <definedName name="___________obl12">#REF!</definedName>
    <definedName name="___________obl13" localSheetId="10">#REF!</definedName>
    <definedName name="___________obl13" localSheetId="23">#REF!</definedName>
    <definedName name="___________obl13" localSheetId="24">#REF!</definedName>
    <definedName name="___________obl13" localSheetId="11">#REF!</definedName>
    <definedName name="___________obl13" localSheetId="13">#REF!</definedName>
    <definedName name="___________obl13" localSheetId="29">#REF!</definedName>
    <definedName name="___________obl13" localSheetId="30">#REF!</definedName>
    <definedName name="___________obl13" localSheetId="31">#REF!</definedName>
    <definedName name="___________obl13">#REF!</definedName>
    <definedName name="___________obl14" localSheetId="10">#REF!</definedName>
    <definedName name="___________obl14" localSheetId="23">#REF!</definedName>
    <definedName name="___________obl14" localSheetId="24">#REF!</definedName>
    <definedName name="___________obl14" localSheetId="11">#REF!</definedName>
    <definedName name="___________obl14" localSheetId="13">#REF!</definedName>
    <definedName name="___________obl14" localSheetId="29">#REF!</definedName>
    <definedName name="___________obl14" localSheetId="30">#REF!</definedName>
    <definedName name="___________obl14" localSheetId="31">#REF!</definedName>
    <definedName name="___________obl14">#REF!</definedName>
    <definedName name="___________obl15" localSheetId="10">#REF!</definedName>
    <definedName name="___________obl15" localSheetId="23">#REF!</definedName>
    <definedName name="___________obl15" localSheetId="24">#REF!</definedName>
    <definedName name="___________obl15" localSheetId="11">#REF!</definedName>
    <definedName name="___________obl15" localSheetId="13">#REF!</definedName>
    <definedName name="___________obl15" localSheetId="29">#REF!</definedName>
    <definedName name="___________obl15" localSheetId="30">#REF!</definedName>
    <definedName name="___________obl15" localSheetId="31">#REF!</definedName>
    <definedName name="___________obl15">#REF!</definedName>
    <definedName name="___________obl16" localSheetId="10">#REF!</definedName>
    <definedName name="___________obl16" localSheetId="23">#REF!</definedName>
    <definedName name="___________obl16" localSheetId="24">#REF!</definedName>
    <definedName name="___________obl16" localSheetId="11">#REF!</definedName>
    <definedName name="___________obl16" localSheetId="13">#REF!</definedName>
    <definedName name="___________obl16" localSheetId="29">#REF!</definedName>
    <definedName name="___________obl16" localSheetId="30">#REF!</definedName>
    <definedName name="___________obl16" localSheetId="31">#REF!</definedName>
    <definedName name="___________obl16">#REF!</definedName>
    <definedName name="___________obl17" localSheetId="10">#REF!</definedName>
    <definedName name="___________obl17" localSheetId="23">#REF!</definedName>
    <definedName name="___________obl17" localSheetId="24">#REF!</definedName>
    <definedName name="___________obl17" localSheetId="11">#REF!</definedName>
    <definedName name="___________obl17" localSheetId="13">#REF!</definedName>
    <definedName name="___________obl17" localSheetId="29">#REF!</definedName>
    <definedName name="___________obl17" localSheetId="30">#REF!</definedName>
    <definedName name="___________obl17" localSheetId="31">#REF!</definedName>
    <definedName name="___________obl17">#REF!</definedName>
    <definedName name="___________obl1710" localSheetId="10">#REF!</definedName>
    <definedName name="___________obl1710" localSheetId="23">#REF!</definedName>
    <definedName name="___________obl1710" localSheetId="24">#REF!</definedName>
    <definedName name="___________obl1710" localSheetId="11">#REF!</definedName>
    <definedName name="___________obl1710" localSheetId="13">#REF!</definedName>
    <definedName name="___________obl1710" localSheetId="29">#REF!</definedName>
    <definedName name="___________obl1710" localSheetId="30">#REF!</definedName>
    <definedName name="___________obl1710" localSheetId="31">#REF!</definedName>
    <definedName name="___________obl1710">#REF!</definedName>
    <definedName name="___________obl1711" localSheetId="10">#REF!</definedName>
    <definedName name="___________obl1711" localSheetId="23">#REF!</definedName>
    <definedName name="___________obl1711" localSheetId="24">#REF!</definedName>
    <definedName name="___________obl1711" localSheetId="11">#REF!</definedName>
    <definedName name="___________obl1711" localSheetId="13">#REF!</definedName>
    <definedName name="___________obl1711" localSheetId="29">#REF!</definedName>
    <definedName name="___________obl1711" localSheetId="30">#REF!</definedName>
    <definedName name="___________obl1711" localSheetId="31">#REF!</definedName>
    <definedName name="___________obl1711">#REF!</definedName>
    <definedName name="___________obl1712" localSheetId="10">#REF!</definedName>
    <definedName name="___________obl1712" localSheetId="23">#REF!</definedName>
    <definedName name="___________obl1712" localSheetId="24">#REF!</definedName>
    <definedName name="___________obl1712" localSheetId="11">#REF!</definedName>
    <definedName name="___________obl1712" localSheetId="13">#REF!</definedName>
    <definedName name="___________obl1712" localSheetId="29">#REF!</definedName>
    <definedName name="___________obl1712" localSheetId="30">#REF!</definedName>
    <definedName name="___________obl1712" localSheetId="31">#REF!</definedName>
    <definedName name="___________obl1712">#REF!</definedName>
    <definedName name="___________obl1713" localSheetId="10">#REF!</definedName>
    <definedName name="___________obl1713" localSheetId="23">#REF!</definedName>
    <definedName name="___________obl1713" localSheetId="24">#REF!</definedName>
    <definedName name="___________obl1713" localSheetId="11">#REF!</definedName>
    <definedName name="___________obl1713" localSheetId="13">#REF!</definedName>
    <definedName name="___________obl1713" localSheetId="29">#REF!</definedName>
    <definedName name="___________obl1713" localSheetId="30">#REF!</definedName>
    <definedName name="___________obl1713" localSheetId="31">#REF!</definedName>
    <definedName name="___________obl1713">#REF!</definedName>
    <definedName name="___________obl1714" localSheetId="10">#REF!</definedName>
    <definedName name="___________obl1714" localSheetId="23">#REF!</definedName>
    <definedName name="___________obl1714" localSheetId="24">#REF!</definedName>
    <definedName name="___________obl1714" localSheetId="11">#REF!</definedName>
    <definedName name="___________obl1714" localSheetId="13">#REF!</definedName>
    <definedName name="___________obl1714" localSheetId="29">#REF!</definedName>
    <definedName name="___________obl1714" localSheetId="30">#REF!</definedName>
    <definedName name="___________obl1714" localSheetId="31">#REF!</definedName>
    <definedName name="___________obl1714">#REF!</definedName>
    <definedName name="___________obl1715" localSheetId="10">#REF!</definedName>
    <definedName name="___________obl1715" localSheetId="23">#REF!</definedName>
    <definedName name="___________obl1715" localSheetId="24">#REF!</definedName>
    <definedName name="___________obl1715" localSheetId="11">#REF!</definedName>
    <definedName name="___________obl1715" localSheetId="13">#REF!</definedName>
    <definedName name="___________obl1715" localSheetId="29">#REF!</definedName>
    <definedName name="___________obl1715" localSheetId="30">#REF!</definedName>
    <definedName name="___________obl1715" localSheetId="31">#REF!</definedName>
    <definedName name="___________obl1715">#REF!</definedName>
    <definedName name="___________obl1716" localSheetId="10">#REF!</definedName>
    <definedName name="___________obl1716" localSheetId="23">#REF!</definedName>
    <definedName name="___________obl1716" localSheetId="24">#REF!</definedName>
    <definedName name="___________obl1716" localSheetId="11">#REF!</definedName>
    <definedName name="___________obl1716" localSheetId="13">#REF!</definedName>
    <definedName name="___________obl1716" localSheetId="29">#REF!</definedName>
    <definedName name="___________obl1716" localSheetId="30">#REF!</definedName>
    <definedName name="___________obl1716" localSheetId="31">#REF!</definedName>
    <definedName name="___________obl1716">#REF!</definedName>
    <definedName name="___________obl1717" localSheetId="10">#REF!</definedName>
    <definedName name="___________obl1717" localSheetId="23">#REF!</definedName>
    <definedName name="___________obl1717" localSheetId="24">#REF!</definedName>
    <definedName name="___________obl1717" localSheetId="11">#REF!</definedName>
    <definedName name="___________obl1717" localSheetId="13">#REF!</definedName>
    <definedName name="___________obl1717" localSheetId="29">#REF!</definedName>
    <definedName name="___________obl1717" localSheetId="30">#REF!</definedName>
    <definedName name="___________obl1717" localSheetId="31">#REF!</definedName>
    <definedName name="___________obl1717">#REF!</definedName>
    <definedName name="___________obl1718" localSheetId="10">#REF!</definedName>
    <definedName name="___________obl1718" localSheetId="23">#REF!</definedName>
    <definedName name="___________obl1718" localSheetId="24">#REF!</definedName>
    <definedName name="___________obl1718" localSheetId="11">#REF!</definedName>
    <definedName name="___________obl1718" localSheetId="13">#REF!</definedName>
    <definedName name="___________obl1718" localSheetId="29">#REF!</definedName>
    <definedName name="___________obl1718" localSheetId="30">#REF!</definedName>
    <definedName name="___________obl1718" localSheetId="31">#REF!</definedName>
    <definedName name="___________obl1718">#REF!</definedName>
    <definedName name="___________obl1719" localSheetId="10">#REF!</definedName>
    <definedName name="___________obl1719" localSheetId="23">#REF!</definedName>
    <definedName name="___________obl1719" localSheetId="24">#REF!</definedName>
    <definedName name="___________obl1719" localSheetId="11">#REF!</definedName>
    <definedName name="___________obl1719" localSheetId="13">#REF!</definedName>
    <definedName name="___________obl1719" localSheetId="29">#REF!</definedName>
    <definedName name="___________obl1719" localSheetId="30">#REF!</definedName>
    <definedName name="___________obl1719" localSheetId="31">#REF!</definedName>
    <definedName name="___________obl1719">#REF!</definedName>
    <definedName name="___________obl173" localSheetId="10">#REF!</definedName>
    <definedName name="___________obl173" localSheetId="23">#REF!</definedName>
    <definedName name="___________obl173" localSheetId="24">#REF!</definedName>
    <definedName name="___________obl173" localSheetId="11">#REF!</definedName>
    <definedName name="___________obl173" localSheetId="13">#REF!</definedName>
    <definedName name="___________obl173" localSheetId="29">#REF!</definedName>
    <definedName name="___________obl173" localSheetId="30">#REF!</definedName>
    <definedName name="___________obl173" localSheetId="31">#REF!</definedName>
    <definedName name="___________obl173">#REF!</definedName>
    <definedName name="___________obl174" localSheetId="10">#REF!</definedName>
    <definedName name="___________obl174" localSheetId="23">#REF!</definedName>
    <definedName name="___________obl174" localSheetId="24">#REF!</definedName>
    <definedName name="___________obl174" localSheetId="11">#REF!</definedName>
    <definedName name="___________obl174" localSheetId="13">#REF!</definedName>
    <definedName name="___________obl174" localSheetId="29">#REF!</definedName>
    <definedName name="___________obl174" localSheetId="30">#REF!</definedName>
    <definedName name="___________obl174" localSheetId="31">#REF!</definedName>
    <definedName name="___________obl174">#REF!</definedName>
    <definedName name="___________obl175" localSheetId="10">#REF!</definedName>
    <definedName name="___________obl175" localSheetId="23">#REF!</definedName>
    <definedName name="___________obl175" localSheetId="24">#REF!</definedName>
    <definedName name="___________obl175" localSheetId="11">#REF!</definedName>
    <definedName name="___________obl175" localSheetId="13">#REF!</definedName>
    <definedName name="___________obl175" localSheetId="29">#REF!</definedName>
    <definedName name="___________obl175" localSheetId="30">#REF!</definedName>
    <definedName name="___________obl175" localSheetId="31">#REF!</definedName>
    <definedName name="___________obl175">#REF!</definedName>
    <definedName name="___________obl176" localSheetId="10">#REF!</definedName>
    <definedName name="___________obl176" localSheetId="23">#REF!</definedName>
    <definedName name="___________obl176" localSheetId="24">#REF!</definedName>
    <definedName name="___________obl176" localSheetId="11">#REF!</definedName>
    <definedName name="___________obl176" localSheetId="13">#REF!</definedName>
    <definedName name="___________obl176" localSheetId="29">#REF!</definedName>
    <definedName name="___________obl176" localSheetId="30">#REF!</definedName>
    <definedName name="___________obl176" localSheetId="31">#REF!</definedName>
    <definedName name="___________obl176">#REF!</definedName>
    <definedName name="___________obl177" localSheetId="10">#REF!</definedName>
    <definedName name="___________obl177" localSheetId="23">#REF!</definedName>
    <definedName name="___________obl177" localSheetId="24">#REF!</definedName>
    <definedName name="___________obl177" localSheetId="11">#REF!</definedName>
    <definedName name="___________obl177" localSheetId="13">#REF!</definedName>
    <definedName name="___________obl177" localSheetId="29">#REF!</definedName>
    <definedName name="___________obl177" localSheetId="30">#REF!</definedName>
    <definedName name="___________obl177" localSheetId="31">#REF!</definedName>
    <definedName name="___________obl177">#REF!</definedName>
    <definedName name="___________obl178" localSheetId="10">#REF!</definedName>
    <definedName name="___________obl178" localSheetId="23">#REF!</definedName>
    <definedName name="___________obl178" localSheetId="24">#REF!</definedName>
    <definedName name="___________obl178" localSheetId="11">#REF!</definedName>
    <definedName name="___________obl178" localSheetId="13">#REF!</definedName>
    <definedName name="___________obl178" localSheetId="29">#REF!</definedName>
    <definedName name="___________obl178" localSheetId="30">#REF!</definedName>
    <definedName name="___________obl178" localSheetId="31">#REF!</definedName>
    <definedName name="___________obl178">#REF!</definedName>
    <definedName name="___________obl179" localSheetId="10">#REF!</definedName>
    <definedName name="___________obl179" localSheetId="23">#REF!</definedName>
    <definedName name="___________obl179" localSheetId="24">#REF!</definedName>
    <definedName name="___________obl179" localSheetId="11">#REF!</definedName>
    <definedName name="___________obl179" localSheetId="13">#REF!</definedName>
    <definedName name="___________obl179" localSheetId="29">#REF!</definedName>
    <definedName name="___________obl179" localSheetId="30">#REF!</definedName>
    <definedName name="___________obl179" localSheetId="31">#REF!</definedName>
    <definedName name="___________obl179">#REF!</definedName>
    <definedName name="___________obl18" localSheetId="10">#REF!</definedName>
    <definedName name="___________obl18" localSheetId="23">#REF!</definedName>
    <definedName name="___________obl18" localSheetId="24">#REF!</definedName>
    <definedName name="___________obl18" localSheetId="11">#REF!</definedName>
    <definedName name="___________obl18" localSheetId="13">#REF!</definedName>
    <definedName name="___________obl18" localSheetId="29">#REF!</definedName>
    <definedName name="___________obl18" localSheetId="30">#REF!</definedName>
    <definedName name="___________obl18" localSheetId="31">#REF!</definedName>
    <definedName name="___________obl18">#REF!</definedName>
    <definedName name="___________obl181" localSheetId="10">#REF!</definedName>
    <definedName name="___________obl181" localSheetId="23">#REF!</definedName>
    <definedName name="___________obl181" localSheetId="24">#REF!</definedName>
    <definedName name="___________obl181" localSheetId="11">#REF!</definedName>
    <definedName name="___________obl181" localSheetId="13">#REF!</definedName>
    <definedName name="___________obl181" localSheetId="29">#REF!</definedName>
    <definedName name="___________obl181" localSheetId="30">#REF!</definedName>
    <definedName name="___________obl181" localSheetId="31">#REF!</definedName>
    <definedName name="___________obl181">#REF!</definedName>
    <definedName name="___________obl1816" localSheetId="10">#REF!</definedName>
    <definedName name="___________obl1816" localSheetId="23">#REF!</definedName>
    <definedName name="___________obl1816" localSheetId="24">#REF!</definedName>
    <definedName name="___________obl1816" localSheetId="11">#REF!</definedName>
    <definedName name="___________obl1816" localSheetId="13">#REF!</definedName>
    <definedName name="___________obl1816" localSheetId="29">#REF!</definedName>
    <definedName name="___________obl1816" localSheetId="30">#REF!</definedName>
    <definedName name="___________obl1816" localSheetId="31">#REF!</definedName>
    <definedName name="___________obl1816">#REF!</definedName>
    <definedName name="___________obl1820" localSheetId="10">#REF!</definedName>
    <definedName name="___________obl1820" localSheetId="23">#REF!</definedName>
    <definedName name="___________obl1820" localSheetId="24">#REF!</definedName>
    <definedName name="___________obl1820" localSheetId="11">#REF!</definedName>
    <definedName name="___________obl1820" localSheetId="13">#REF!</definedName>
    <definedName name="___________obl1820" localSheetId="29">#REF!</definedName>
    <definedName name="___________obl1820" localSheetId="30">#REF!</definedName>
    <definedName name="___________obl1820" localSheetId="31">#REF!</definedName>
    <definedName name="___________obl1820">#REF!</definedName>
    <definedName name="___________obl1821" localSheetId="10">#REF!</definedName>
    <definedName name="___________obl1821" localSheetId="23">#REF!</definedName>
    <definedName name="___________obl1821" localSheetId="24">#REF!</definedName>
    <definedName name="___________obl1821" localSheetId="11">#REF!</definedName>
    <definedName name="___________obl1821" localSheetId="13">#REF!</definedName>
    <definedName name="___________obl1821" localSheetId="29">#REF!</definedName>
    <definedName name="___________obl1821" localSheetId="30">#REF!</definedName>
    <definedName name="___________obl1821" localSheetId="31">#REF!</definedName>
    <definedName name="___________obl1821">#REF!</definedName>
    <definedName name="___________obl1822" localSheetId="10">#REF!</definedName>
    <definedName name="___________obl1822" localSheetId="23">#REF!</definedName>
    <definedName name="___________obl1822" localSheetId="24">#REF!</definedName>
    <definedName name="___________obl1822" localSheetId="11">#REF!</definedName>
    <definedName name="___________obl1822" localSheetId="13">#REF!</definedName>
    <definedName name="___________obl1822" localSheetId="29">#REF!</definedName>
    <definedName name="___________obl1822" localSheetId="30">#REF!</definedName>
    <definedName name="___________obl1822" localSheetId="31">#REF!</definedName>
    <definedName name="___________obl1822">#REF!</definedName>
    <definedName name="___________obl1823" localSheetId="10">#REF!</definedName>
    <definedName name="___________obl1823" localSheetId="23">#REF!</definedName>
    <definedName name="___________obl1823" localSheetId="24">#REF!</definedName>
    <definedName name="___________obl1823" localSheetId="11">#REF!</definedName>
    <definedName name="___________obl1823" localSheetId="13">#REF!</definedName>
    <definedName name="___________obl1823" localSheetId="29">#REF!</definedName>
    <definedName name="___________obl1823" localSheetId="30">#REF!</definedName>
    <definedName name="___________obl1823" localSheetId="31">#REF!</definedName>
    <definedName name="___________obl1823">#REF!</definedName>
    <definedName name="___________obl1824" localSheetId="10">#REF!</definedName>
    <definedName name="___________obl1824" localSheetId="23">#REF!</definedName>
    <definedName name="___________obl1824" localSheetId="24">#REF!</definedName>
    <definedName name="___________obl1824" localSheetId="11">#REF!</definedName>
    <definedName name="___________obl1824" localSheetId="13">#REF!</definedName>
    <definedName name="___________obl1824" localSheetId="29">#REF!</definedName>
    <definedName name="___________obl1824" localSheetId="30">#REF!</definedName>
    <definedName name="___________obl1824" localSheetId="31">#REF!</definedName>
    <definedName name="___________obl1824">#REF!</definedName>
    <definedName name="___________obl1825" localSheetId="10">#REF!</definedName>
    <definedName name="___________obl1825" localSheetId="23">#REF!</definedName>
    <definedName name="___________obl1825" localSheetId="24">#REF!</definedName>
    <definedName name="___________obl1825" localSheetId="11">#REF!</definedName>
    <definedName name="___________obl1825" localSheetId="13">#REF!</definedName>
    <definedName name="___________obl1825" localSheetId="29">#REF!</definedName>
    <definedName name="___________obl1825" localSheetId="30">#REF!</definedName>
    <definedName name="___________obl1825" localSheetId="31">#REF!</definedName>
    <definedName name="___________obl1825">#REF!</definedName>
    <definedName name="___________obl1826" localSheetId="10">#REF!</definedName>
    <definedName name="___________obl1826" localSheetId="23">#REF!</definedName>
    <definedName name="___________obl1826" localSheetId="24">#REF!</definedName>
    <definedName name="___________obl1826" localSheetId="11">#REF!</definedName>
    <definedName name="___________obl1826" localSheetId="13">#REF!</definedName>
    <definedName name="___________obl1826" localSheetId="29">#REF!</definedName>
    <definedName name="___________obl1826" localSheetId="30">#REF!</definedName>
    <definedName name="___________obl1826" localSheetId="31">#REF!</definedName>
    <definedName name="___________obl1826">#REF!</definedName>
    <definedName name="___________obl1827" localSheetId="10">#REF!</definedName>
    <definedName name="___________obl1827" localSheetId="23">#REF!</definedName>
    <definedName name="___________obl1827" localSheetId="24">#REF!</definedName>
    <definedName name="___________obl1827" localSheetId="11">#REF!</definedName>
    <definedName name="___________obl1827" localSheetId="13">#REF!</definedName>
    <definedName name="___________obl1827" localSheetId="29">#REF!</definedName>
    <definedName name="___________obl1827" localSheetId="30">#REF!</definedName>
    <definedName name="___________obl1827" localSheetId="31">#REF!</definedName>
    <definedName name="___________obl1827">#REF!</definedName>
    <definedName name="___________obl1828" localSheetId="10">#REF!</definedName>
    <definedName name="___________obl1828" localSheetId="23">#REF!</definedName>
    <definedName name="___________obl1828" localSheetId="24">#REF!</definedName>
    <definedName name="___________obl1828" localSheetId="11">#REF!</definedName>
    <definedName name="___________obl1828" localSheetId="13">#REF!</definedName>
    <definedName name="___________obl1828" localSheetId="29">#REF!</definedName>
    <definedName name="___________obl1828" localSheetId="30">#REF!</definedName>
    <definedName name="___________obl1828" localSheetId="31">#REF!</definedName>
    <definedName name="___________obl1828">#REF!</definedName>
    <definedName name="___________obl1829" localSheetId="10">#REF!</definedName>
    <definedName name="___________obl1829" localSheetId="23">#REF!</definedName>
    <definedName name="___________obl1829" localSheetId="24">#REF!</definedName>
    <definedName name="___________obl1829" localSheetId="11">#REF!</definedName>
    <definedName name="___________obl1829" localSheetId="13">#REF!</definedName>
    <definedName name="___________obl1829" localSheetId="29">#REF!</definedName>
    <definedName name="___________obl1829" localSheetId="30">#REF!</definedName>
    <definedName name="___________obl1829" localSheetId="31">#REF!</definedName>
    <definedName name="___________obl1829">#REF!</definedName>
    <definedName name="___________obl183" localSheetId="10">#REF!</definedName>
    <definedName name="___________obl183" localSheetId="23">#REF!</definedName>
    <definedName name="___________obl183" localSheetId="24">#REF!</definedName>
    <definedName name="___________obl183" localSheetId="11">#REF!</definedName>
    <definedName name="___________obl183" localSheetId="13">#REF!</definedName>
    <definedName name="___________obl183" localSheetId="29">#REF!</definedName>
    <definedName name="___________obl183" localSheetId="30">#REF!</definedName>
    <definedName name="___________obl183" localSheetId="31">#REF!</definedName>
    <definedName name="___________obl183">#REF!</definedName>
    <definedName name="___________obl1831" localSheetId="10">#REF!</definedName>
    <definedName name="___________obl1831" localSheetId="23">#REF!</definedName>
    <definedName name="___________obl1831" localSheetId="24">#REF!</definedName>
    <definedName name="___________obl1831" localSheetId="11">#REF!</definedName>
    <definedName name="___________obl1831" localSheetId="13">#REF!</definedName>
    <definedName name="___________obl1831" localSheetId="29">#REF!</definedName>
    <definedName name="___________obl1831" localSheetId="30">#REF!</definedName>
    <definedName name="___________obl1831" localSheetId="31">#REF!</definedName>
    <definedName name="___________obl1831">#REF!</definedName>
    <definedName name="___________obl1832" localSheetId="10">#REF!</definedName>
    <definedName name="___________obl1832" localSheetId="23">#REF!</definedName>
    <definedName name="___________obl1832" localSheetId="24">#REF!</definedName>
    <definedName name="___________obl1832" localSheetId="11">#REF!</definedName>
    <definedName name="___________obl1832" localSheetId="13">#REF!</definedName>
    <definedName name="___________obl1832" localSheetId="29">#REF!</definedName>
    <definedName name="___________obl1832" localSheetId="30">#REF!</definedName>
    <definedName name="___________obl1832" localSheetId="31">#REF!</definedName>
    <definedName name="___________obl1832">#REF!</definedName>
    <definedName name="___________obl184" localSheetId="10">#REF!</definedName>
    <definedName name="___________obl184" localSheetId="23">#REF!</definedName>
    <definedName name="___________obl184" localSheetId="24">#REF!</definedName>
    <definedName name="___________obl184" localSheetId="11">#REF!</definedName>
    <definedName name="___________obl184" localSheetId="13">#REF!</definedName>
    <definedName name="___________obl184" localSheetId="29">#REF!</definedName>
    <definedName name="___________obl184" localSheetId="30">#REF!</definedName>
    <definedName name="___________obl184" localSheetId="31">#REF!</definedName>
    <definedName name="___________obl184">#REF!</definedName>
    <definedName name="___________obl185" localSheetId="10">#REF!</definedName>
    <definedName name="___________obl185" localSheetId="23">#REF!</definedName>
    <definedName name="___________obl185" localSheetId="24">#REF!</definedName>
    <definedName name="___________obl185" localSheetId="11">#REF!</definedName>
    <definedName name="___________obl185" localSheetId="13">#REF!</definedName>
    <definedName name="___________obl185" localSheetId="29">#REF!</definedName>
    <definedName name="___________obl185" localSheetId="30">#REF!</definedName>
    <definedName name="___________obl185" localSheetId="31">#REF!</definedName>
    <definedName name="___________obl185">#REF!</definedName>
    <definedName name="___________obl186" localSheetId="10">#REF!</definedName>
    <definedName name="___________obl186" localSheetId="23">#REF!</definedName>
    <definedName name="___________obl186" localSheetId="24">#REF!</definedName>
    <definedName name="___________obl186" localSheetId="11">#REF!</definedName>
    <definedName name="___________obl186" localSheetId="13">#REF!</definedName>
    <definedName name="___________obl186" localSheetId="29">#REF!</definedName>
    <definedName name="___________obl186" localSheetId="30">#REF!</definedName>
    <definedName name="___________obl186" localSheetId="31">#REF!</definedName>
    <definedName name="___________obl186">#REF!</definedName>
    <definedName name="___________obl187" localSheetId="10">#REF!</definedName>
    <definedName name="___________obl187" localSheetId="23">#REF!</definedName>
    <definedName name="___________obl187" localSheetId="24">#REF!</definedName>
    <definedName name="___________obl187" localSheetId="11">#REF!</definedName>
    <definedName name="___________obl187" localSheetId="13">#REF!</definedName>
    <definedName name="___________obl187" localSheetId="29">#REF!</definedName>
    <definedName name="___________obl187" localSheetId="30">#REF!</definedName>
    <definedName name="___________obl187" localSheetId="31">#REF!</definedName>
    <definedName name="___________obl187">#REF!</definedName>
    <definedName name="__________obl11" localSheetId="10">#REF!</definedName>
    <definedName name="__________obl11" localSheetId="23">#REF!</definedName>
    <definedName name="__________obl11" localSheetId="24">#REF!</definedName>
    <definedName name="__________obl11" localSheetId="11">#REF!</definedName>
    <definedName name="__________obl11" localSheetId="13">#REF!</definedName>
    <definedName name="__________obl11" localSheetId="18">#REF!</definedName>
    <definedName name="__________obl11" localSheetId="29">#REF!</definedName>
    <definedName name="__________obl11" localSheetId="30">#REF!</definedName>
    <definedName name="__________obl11" localSheetId="31">#REF!</definedName>
    <definedName name="__________obl11">#REF!</definedName>
    <definedName name="__________obl12" localSheetId="10">#REF!</definedName>
    <definedName name="__________obl12" localSheetId="23">#REF!</definedName>
    <definedName name="__________obl12" localSheetId="24">#REF!</definedName>
    <definedName name="__________obl12" localSheetId="11">#REF!</definedName>
    <definedName name="__________obl12" localSheetId="13">#REF!</definedName>
    <definedName name="__________obl12" localSheetId="18">#REF!</definedName>
    <definedName name="__________obl12" localSheetId="29">#REF!</definedName>
    <definedName name="__________obl12" localSheetId="30">#REF!</definedName>
    <definedName name="__________obl12" localSheetId="31">#REF!</definedName>
    <definedName name="__________obl12">#REF!</definedName>
    <definedName name="__________obl13" localSheetId="10">#REF!</definedName>
    <definedName name="__________obl13" localSheetId="23">#REF!</definedName>
    <definedName name="__________obl13" localSheetId="24">#REF!</definedName>
    <definedName name="__________obl13" localSheetId="11">#REF!</definedName>
    <definedName name="__________obl13" localSheetId="13">#REF!</definedName>
    <definedName name="__________obl13" localSheetId="18">#REF!</definedName>
    <definedName name="__________obl13" localSheetId="29">#REF!</definedName>
    <definedName name="__________obl13" localSheetId="30">#REF!</definedName>
    <definedName name="__________obl13" localSheetId="31">#REF!</definedName>
    <definedName name="__________obl13">#REF!</definedName>
    <definedName name="__________obl14" localSheetId="10">#REF!</definedName>
    <definedName name="__________obl14" localSheetId="23">#REF!</definedName>
    <definedName name="__________obl14" localSheetId="24">#REF!</definedName>
    <definedName name="__________obl14" localSheetId="11">#REF!</definedName>
    <definedName name="__________obl14" localSheetId="13">#REF!</definedName>
    <definedName name="__________obl14" localSheetId="18">#REF!</definedName>
    <definedName name="__________obl14" localSheetId="29">#REF!</definedName>
    <definedName name="__________obl14" localSheetId="30">#REF!</definedName>
    <definedName name="__________obl14" localSheetId="31">#REF!</definedName>
    <definedName name="__________obl14">#REF!</definedName>
    <definedName name="__________obl15" localSheetId="10">#REF!</definedName>
    <definedName name="__________obl15" localSheetId="23">#REF!</definedName>
    <definedName name="__________obl15" localSheetId="24">#REF!</definedName>
    <definedName name="__________obl15" localSheetId="11">#REF!</definedName>
    <definedName name="__________obl15" localSheetId="13">#REF!</definedName>
    <definedName name="__________obl15" localSheetId="18">#REF!</definedName>
    <definedName name="__________obl15" localSheetId="29">#REF!</definedName>
    <definedName name="__________obl15" localSheetId="30">#REF!</definedName>
    <definedName name="__________obl15" localSheetId="31">#REF!</definedName>
    <definedName name="__________obl15">#REF!</definedName>
    <definedName name="__________obl16" localSheetId="10">#REF!</definedName>
    <definedName name="__________obl16" localSheetId="23">#REF!</definedName>
    <definedName name="__________obl16" localSheetId="24">#REF!</definedName>
    <definedName name="__________obl16" localSheetId="11">#REF!</definedName>
    <definedName name="__________obl16" localSheetId="13">#REF!</definedName>
    <definedName name="__________obl16" localSheetId="18">#REF!</definedName>
    <definedName name="__________obl16" localSheetId="29">#REF!</definedName>
    <definedName name="__________obl16" localSheetId="30">#REF!</definedName>
    <definedName name="__________obl16" localSheetId="31">#REF!</definedName>
    <definedName name="__________obl16">#REF!</definedName>
    <definedName name="__________obl17" localSheetId="10">#REF!</definedName>
    <definedName name="__________obl17" localSheetId="23">#REF!</definedName>
    <definedName name="__________obl17" localSheetId="24">#REF!</definedName>
    <definedName name="__________obl17" localSheetId="11">#REF!</definedName>
    <definedName name="__________obl17" localSheetId="13">#REF!</definedName>
    <definedName name="__________obl17" localSheetId="18">#REF!</definedName>
    <definedName name="__________obl17" localSheetId="29">#REF!</definedName>
    <definedName name="__________obl17" localSheetId="30">#REF!</definedName>
    <definedName name="__________obl17" localSheetId="31">#REF!</definedName>
    <definedName name="__________obl17">#REF!</definedName>
    <definedName name="__________obl1710" localSheetId="10">#REF!</definedName>
    <definedName name="__________obl1710" localSheetId="23">#REF!</definedName>
    <definedName name="__________obl1710" localSheetId="24">#REF!</definedName>
    <definedName name="__________obl1710" localSheetId="11">#REF!</definedName>
    <definedName name="__________obl1710" localSheetId="13">#REF!</definedName>
    <definedName name="__________obl1710" localSheetId="18">#REF!</definedName>
    <definedName name="__________obl1710" localSheetId="29">#REF!</definedName>
    <definedName name="__________obl1710" localSheetId="30">#REF!</definedName>
    <definedName name="__________obl1710" localSheetId="31">#REF!</definedName>
    <definedName name="__________obl1710">#REF!</definedName>
    <definedName name="__________obl1711" localSheetId="10">#REF!</definedName>
    <definedName name="__________obl1711" localSheetId="23">#REF!</definedName>
    <definedName name="__________obl1711" localSheetId="24">#REF!</definedName>
    <definedName name="__________obl1711" localSheetId="11">#REF!</definedName>
    <definedName name="__________obl1711" localSheetId="13">#REF!</definedName>
    <definedName name="__________obl1711" localSheetId="18">#REF!</definedName>
    <definedName name="__________obl1711" localSheetId="29">#REF!</definedName>
    <definedName name="__________obl1711" localSheetId="30">#REF!</definedName>
    <definedName name="__________obl1711" localSheetId="31">#REF!</definedName>
    <definedName name="__________obl1711">#REF!</definedName>
    <definedName name="__________obl1712" localSheetId="10">#REF!</definedName>
    <definedName name="__________obl1712" localSheetId="23">#REF!</definedName>
    <definedName name="__________obl1712" localSheetId="24">#REF!</definedName>
    <definedName name="__________obl1712" localSheetId="11">#REF!</definedName>
    <definedName name="__________obl1712" localSheetId="13">#REF!</definedName>
    <definedName name="__________obl1712" localSheetId="18">#REF!</definedName>
    <definedName name="__________obl1712" localSheetId="29">#REF!</definedName>
    <definedName name="__________obl1712" localSheetId="30">#REF!</definedName>
    <definedName name="__________obl1712" localSheetId="31">#REF!</definedName>
    <definedName name="__________obl1712">#REF!</definedName>
    <definedName name="__________obl1713" localSheetId="10">#REF!</definedName>
    <definedName name="__________obl1713" localSheetId="23">#REF!</definedName>
    <definedName name="__________obl1713" localSheetId="24">#REF!</definedName>
    <definedName name="__________obl1713" localSheetId="11">#REF!</definedName>
    <definedName name="__________obl1713" localSheetId="13">#REF!</definedName>
    <definedName name="__________obl1713" localSheetId="18">#REF!</definedName>
    <definedName name="__________obl1713" localSheetId="29">#REF!</definedName>
    <definedName name="__________obl1713" localSheetId="30">#REF!</definedName>
    <definedName name="__________obl1713" localSheetId="31">#REF!</definedName>
    <definedName name="__________obl1713">#REF!</definedName>
    <definedName name="__________obl1714" localSheetId="10">#REF!</definedName>
    <definedName name="__________obl1714" localSheetId="23">#REF!</definedName>
    <definedName name="__________obl1714" localSheetId="24">#REF!</definedName>
    <definedName name="__________obl1714" localSheetId="11">#REF!</definedName>
    <definedName name="__________obl1714" localSheetId="13">#REF!</definedName>
    <definedName name="__________obl1714" localSheetId="18">#REF!</definedName>
    <definedName name="__________obl1714" localSheetId="29">#REF!</definedName>
    <definedName name="__________obl1714" localSheetId="30">#REF!</definedName>
    <definedName name="__________obl1714" localSheetId="31">#REF!</definedName>
    <definedName name="__________obl1714">#REF!</definedName>
    <definedName name="__________obl1715" localSheetId="10">#REF!</definedName>
    <definedName name="__________obl1715" localSheetId="23">#REF!</definedName>
    <definedName name="__________obl1715" localSheetId="24">#REF!</definedName>
    <definedName name="__________obl1715" localSheetId="11">#REF!</definedName>
    <definedName name="__________obl1715" localSheetId="13">#REF!</definedName>
    <definedName name="__________obl1715" localSheetId="18">#REF!</definedName>
    <definedName name="__________obl1715" localSheetId="29">#REF!</definedName>
    <definedName name="__________obl1715" localSheetId="30">#REF!</definedName>
    <definedName name="__________obl1715" localSheetId="31">#REF!</definedName>
    <definedName name="__________obl1715">#REF!</definedName>
    <definedName name="__________obl1716" localSheetId="10">#REF!</definedName>
    <definedName name="__________obl1716" localSheetId="23">#REF!</definedName>
    <definedName name="__________obl1716" localSheetId="24">#REF!</definedName>
    <definedName name="__________obl1716" localSheetId="11">#REF!</definedName>
    <definedName name="__________obl1716" localSheetId="13">#REF!</definedName>
    <definedName name="__________obl1716" localSheetId="18">#REF!</definedName>
    <definedName name="__________obl1716" localSheetId="29">#REF!</definedName>
    <definedName name="__________obl1716" localSheetId="30">#REF!</definedName>
    <definedName name="__________obl1716" localSheetId="31">#REF!</definedName>
    <definedName name="__________obl1716">#REF!</definedName>
    <definedName name="__________obl1717" localSheetId="10">#REF!</definedName>
    <definedName name="__________obl1717" localSheetId="23">#REF!</definedName>
    <definedName name="__________obl1717" localSheetId="24">#REF!</definedName>
    <definedName name="__________obl1717" localSheetId="11">#REF!</definedName>
    <definedName name="__________obl1717" localSheetId="13">#REF!</definedName>
    <definedName name="__________obl1717" localSheetId="18">#REF!</definedName>
    <definedName name="__________obl1717" localSheetId="29">#REF!</definedName>
    <definedName name="__________obl1717" localSheetId="30">#REF!</definedName>
    <definedName name="__________obl1717" localSheetId="31">#REF!</definedName>
    <definedName name="__________obl1717">#REF!</definedName>
    <definedName name="__________obl1718" localSheetId="10">#REF!</definedName>
    <definedName name="__________obl1718" localSheetId="23">#REF!</definedName>
    <definedName name="__________obl1718" localSheetId="24">#REF!</definedName>
    <definedName name="__________obl1718" localSheetId="11">#REF!</definedName>
    <definedName name="__________obl1718" localSheetId="13">#REF!</definedName>
    <definedName name="__________obl1718" localSheetId="18">#REF!</definedName>
    <definedName name="__________obl1718" localSheetId="29">#REF!</definedName>
    <definedName name="__________obl1718" localSheetId="30">#REF!</definedName>
    <definedName name="__________obl1718" localSheetId="31">#REF!</definedName>
    <definedName name="__________obl1718">#REF!</definedName>
    <definedName name="__________obl1719" localSheetId="10">#REF!</definedName>
    <definedName name="__________obl1719" localSheetId="23">#REF!</definedName>
    <definedName name="__________obl1719" localSheetId="24">#REF!</definedName>
    <definedName name="__________obl1719" localSheetId="11">#REF!</definedName>
    <definedName name="__________obl1719" localSheetId="13">#REF!</definedName>
    <definedName name="__________obl1719" localSheetId="18">#REF!</definedName>
    <definedName name="__________obl1719" localSheetId="29">#REF!</definedName>
    <definedName name="__________obl1719" localSheetId="30">#REF!</definedName>
    <definedName name="__________obl1719" localSheetId="31">#REF!</definedName>
    <definedName name="__________obl1719">#REF!</definedName>
    <definedName name="__________obl173" localSheetId="10">#REF!</definedName>
    <definedName name="__________obl173" localSheetId="23">#REF!</definedName>
    <definedName name="__________obl173" localSheetId="24">#REF!</definedName>
    <definedName name="__________obl173" localSheetId="11">#REF!</definedName>
    <definedName name="__________obl173" localSheetId="13">#REF!</definedName>
    <definedName name="__________obl173" localSheetId="18">#REF!</definedName>
    <definedName name="__________obl173" localSheetId="29">#REF!</definedName>
    <definedName name="__________obl173" localSheetId="30">#REF!</definedName>
    <definedName name="__________obl173" localSheetId="31">#REF!</definedName>
    <definedName name="__________obl173">#REF!</definedName>
    <definedName name="__________obl174" localSheetId="10">#REF!</definedName>
    <definedName name="__________obl174" localSheetId="23">#REF!</definedName>
    <definedName name="__________obl174" localSheetId="24">#REF!</definedName>
    <definedName name="__________obl174" localSheetId="11">#REF!</definedName>
    <definedName name="__________obl174" localSheetId="13">#REF!</definedName>
    <definedName name="__________obl174" localSheetId="18">#REF!</definedName>
    <definedName name="__________obl174" localSheetId="29">#REF!</definedName>
    <definedName name="__________obl174" localSheetId="30">#REF!</definedName>
    <definedName name="__________obl174" localSheetId="31">#REF!</definedName>
    <definedName name="__________obl174">#REF!</definedName>
    <definedName name="__________obl175" localSheetId="10">#REF!</definedName>
    <definedName name="__________obl175" localSheetId="23">#REF!</definedName>
    <definedName name="__________obl175" localSheetId="24">#REF!</definedName>
    <definedName name="__________obl175" localSheetId="11">#REF!</definedName>
    <definedName name="__________obl175" localSheetId="13">#REF!</definedName>
    <definedName name="__________obl175" localSheetId="18">#REF!</definedName>
    <definedName name="__________obl175" localSheetId="29">#REF!</definedName>
    <definedName name="__________obl175" localSheetId="30">#REF!</definedName>
    <definedName name="__________obl175" localSheetId="31">#REF!</definedName>
    <definedName name="__________obl175">#REF!</definedName>
    <definedName name="__________obl176" localSheetId="10">#REF!</definedName>
    <definedName name="__________obl176" localSheetId="23">#REF!</definedName>
    <definedName name="__________obl176" localSheetId="24">#REF!</definedName>
    <definedName name="__________obl176" localSheetId="11">#REF!</definedName>
    <definedName name="__________obl176" localSheetId="13">#REF!</definedName>
    <definedName name="__________obl176" localSheetId="18">#REF!</definedName>
    <definedName name="__________obl176" localSheetId="29">#REF!</definedName>
    <definedName name="__________obl176" localSheetId="30">#REF!</definedName>
    <definedName name="__________obl176" localSheetId="31">#REF!</definedName>
    <definedName name="__________obl176">#REF!</definedName>
    <definedName name="__________obl177" localSheetId="10">#REF!</definedName>
    <definedName name="__________obl177" localSheetId="23">#REF!</definedName>
    <definedName name="__________obl177" localSheetId="24">#REF!</definedName>
    <definedName name="__________obl177" localSheetId="11">#REF!</definedName>
    <definedName name="__________obl177" localSheetId="13">#REF!</definedName>
    <definedName name="__________obl177" localSheetId="18">#REF!</definedName>
    <definedName name="__________obl177" localSheetId="29">#REF!</definedName>
    <definedName name="__________obl177" localSheetId="30">#REF!</definedName>
    <definedName name="__________obl177" localSheetId="31">#REF!</definedName>
    <definedName name="__________obl177">#REF!</definedName>
    <definedName name="__________obl178" localSheetId="10">#REF!</definedName>
    <definedName name="__________obl178" localSheetId="23">#REF!</definedName>
    <definedName name="__________obl178" localSheetId="24">#REF!</definedName>
    <definedName name="__________obl178" localSheetId="11">#REF!</definedName>
    <definedName name="__________obl178" localSheetId="13">#REF!</definedName>
    <definedName name="__________obl178" localSheetId="18">#REF!</definedName>
    <definedName name="__________obl178" localSheetId="29">#REF!</definedName>
    <definedName name="__________obl178" localSheetId="30">#REF!</definedName>
    <definedName name="__________obl178" localSheetId="31">#REF!</definedName>
    <definedName name="__________obl178">#REF!</definedName>
    <definedName name="__________obl179" localSheetId="10">#REF!</definedName>
    <definedName name="__________obl179" localSheetId="23">#REF!</definedName>
    <definedName name="__________obl179" localSheetId="24">#REF!</definedName>
    <definedName name="__________obl179" localSheetId="11">#REF!</definedName>
    <definedName name="__________obl179" localSheetId="13">#REF!</definedName>
    <definedName name="__________obl179" localSheetId="18">#REF!</definedName>
    <definedName name="__________obl179" localSheetId="29">#REF!</definedName>
    <definedName name="__________obl179" localSheetId="30">#REF!</definedName>
    <definedName name="__________obl179" localSheetId="31">#REF!</definedName>
    <definedName name="__________obl179">#REF!</definedName>
    <definedName name="__________obl18" localSheetId="10">#REF!</definedName>
    <definedName name="__________obl18" localSheetId="23">#REF!</definedName>
    <definedName name="__________obl18" localSheetId="24">#REF!</definedName>
    <definedName name="__________obl18" localSheetId="11">#REF!</definedName>
    <definedName name="__________obl18" localSheetId="13">#REF!</definedName>
    <definedName name="__________obl18" localSheetId="18">#REF!</definedName>
    <definedName name="__________obl18" localSheetId="29">#REF!</definedName>
    <definedName name="__________obl18" localSheetId="30">#REF!</definedName>
    <definedName name="__________obl18" localSheetId="31">#REF!</definedName>
    <definedName name="__________obl18">#REF!</definedName>
    <definedName name="__________obl181" localSheetId="10">#REF!</definedName>
    <definedName name="__________obl181" localSheetId="23">#REF!</definedName>
    <definedName name="__________obl181" localSheetId="24">#REF!</definedName>
    <definedName name="__________obl181" localSheetId="11">#REF!</definedName>
    <definedName name="__________obl181" localSheetId="13">#REF!</definedName>
    <definedName name="__________obl181" localSheetId="18">#REF!</definedName>
    <definedName name="__________obl181" localSheetId="29">#REF!</definedName>
    <definedName name="__________obl181" localSheetId="30">#REF!</definedName>
    <definedName name="__________obl181" localSheetId="31">#REF!</definedName>
    <definedName name="__________obl181">#REF!</definedName>
    <definedName name="__________obl1816" localSheetId="10">#REF!</definedName>
    <definedName name="__________obl1816" localSheetId="23">#REF!</definedName>
    <definedName name="__________obl1816" localSheetId="24">#REF!</definedName>
    <definedName name="__________obl1816" localSheetId="11">#REF!</definedName>
    <definedName name="__________obl1816" localSheetId="13">#REF!</definedName>
    <definedName name="__________obl1816" localSheetId="18">#REF!</definedName>
    <definedName name="__________obl1816" localSheetId="29">#REF!</definedName>
    <definedName name="__________obl1816" localSheetId="30">#REF!</definedName>
    <definedName name="__________obl1816" localSheetId="31">#REF!</definedName>
    <definedName name="__________obl1816">#REF!</definedName>
    <definedName name="__________obl1820" localSheetId="10">#REF!</definedName>
    <definedName name="__________obl1820" localSheetId="23">#REF!</definedName>
    <definedName name="__________obl1820" localSheetId="24">#REF!</definedName>
    <definedName name="__________obl1820" localSheetId="11">#REF!</definedName>
    <definedName name="__________obl1820" localSheetId="13">#REF!</definedName>
    <definedName name="__________obl1820" localSheetId="18">#REF!</definedName>
    <definedName name="__________obl1820" localSheetId="29">#REF!</definedName>
    <definedName name="__________obl1820" localSheetId="30">#REF!</definedName>
    <definedName name="__________obl1820" localSheetId="31">#REF!</definedName>
    <definedName name="__________obl1820">#REF!</definedName>
    <definedName name="__________obl1821" localSheetId="10">#REF!</definedName>
    <definedName name="__________obl1821" localSheetId="23">#REF!</definedName>
    <definedName name="__________obl1821" localSheetId="24">#REF!</definedName>
    <definedName name="__________obl1821" localSheetId="11">#REF!</definedName>
    <definedName name="__________obl1821" localSheetId="13">#REF!</definedName>
    <definedName name="__________obl1821" localSheetId="18">#REF!</definedName>
    <definedName name="__________obl1821" localSheetId="29">#REF!</definedName>
    <definedName name="__________obl1821" localSheetId="30">#REF!</definedName>
    <definedName name="__________obl1821" localSheetId="31">#REF!</definedName>
    <definedName name="__________obl1821">#REF!</definedName>
    <definedName name="__________obl1822" localSheetId="10">#REF!</definedName>
    <definedName name="__________obl1822" localSheetId="23">#REF!</definedName>
    <definedName name="__________obl1822" localSheetId="24">#REF!</definedName>
    <definedName name="__________obl1822" localSheetId="11">#REF!</definedName>
    <definedName name="__________obl1822" localSheetId="13">#REF!</definedName>
    <definedName name="__________obl1822" localSheetId="18">#REF!</definedName>
    <definedName name="__________obl1822" localSheetId="29">#REF!</definedName>
    <definedName name="__________obl1822" localSheetId="30">#REF!</definedName>
    <definedName name="__________obl1822" localSheetId="31">#REF!</definedName>
    <definedName name="__________obl1822">#REF!</definedName>
    <definedName name="__________obl1823" localSheetId="10">#REF!</definedName>
    <definedName name="__________obl1823" localSheetId="23">#REF!</definedName>
    <definedName name="__________obl1823" localSheetId="24">#REF!</definedName>
    <definedName name="__________obl1823" localSheetId="11">#REF!</definedName>
    <definedName name="__________obl1823" localSheetId="13">#REF!</definedName>
    <definedName name="__________obl1823" localSheetId="18">#REF!</definedName>
    <definedName name="__________obl1823" localSheetId="29">#REF!</definedName>
    <definedName name="__________obl1823" localSheetId="30">#REF!</definedName>
    <definedName name="__________obl1823" localSheetId="31">#REF!</definedName>
    <definedName name="__________obl1823">#REF!</definedName>
    <definedName name="__________obl1824" localSheetId="10">#REF!</definedName>
    <definedName name="__________obl1824" localSheetId="23">#REF!</definedName>
    <definedName name="__________obl1824" localSheetId="24">#REF!</definedName>
    <definedName name="__________obl1824" localSheetId="11">#REF!</definedName>
    <definedName name="__________obl1824" localSheetId="13">#REF!</definedName>
    <definedName name="__________obl1824" localSheetId="18">#REF!</definedName>
    <definedName name="__________obl1824" localSheetId="29">#REF!</definedName>
    <definedName name="__________obl1824" localSheetId="30">#REF!</definedName>
    <definedName name="__________obl1824" localSheetId="31">#REF!</definedName>
    <definedName name="__________obl1824">#REF!</definedName>
    <definedName name="__________obl1825" localSheetId="10">#REF!</definedName>
    <definedName name="__________obl1825" localSheetId="23">#REF!</definedName>
    <definedName name="__________obl1825" localSheetId="24">#REF!</definedName>
    <definedName name="__________obl1825" localSheetId="11">#REF!</definedName>
    <definedName name="__________obl1825" localSheetId="13">#REF!</definedName>
    <definedName name="__________obl1825" localSheetId="18">#REF!</definedName>
    <definedName name="__________obl1825" localSheetId="29">#REF!</definedName>
    <definedName name="__________obl1825" localSheetId="30">#REF!</definedName>
    <definedName name="__________obl1825" localSheetId="31">#REF!</definedName>
    <definedName name="__________obl1825">#REF!</definedName>
    <definedName name="__________obl1826" localSheetId="10">#REF!</definedName>
    <definedName name="__________obl1826" localSheetId="23">#REF!</definedName>
    <definedName name="__________obl1826" localSheetId="24">#REF!</definedName>
    <definedName name="__________obl1826" localSheetId="11">#REF!</definedName>
    <definedName name="__________obl1826" localSheetId="13">#REF!</definedName>
    <definedName name="__________obl1826" localSheetId="18">#REF!</definedName>
    <definedName name="__________obl1826" localSheetId="29">#REF!</definedName>
    <definedName name="__________obl1826" localSheetId="30">#REF!</definedName>
    <definedName name="__________obl1826" localSheetId="31">#REF!</definedName>
    <definedName name="__________obl1826">#REF!</definedName>
    <definedName name="__________obl1827" localSheetId="10">#REF!</definedName>
    <definedName name="__________obl1827" localSheetId="23">#REF!</definedName>
    <definedName name="__________obl1827" localSheetId="24">#REF!</definedName>
    <definedName name="__________obl1827" localSheetId="11">#REF!</definedName>
    <definedName name="__________obl1827" localSheetId="13">#REF!</definedName>
    <definedName name="__________obl1827" localSheetId="18">#REF!</definedName>
    <definedName name="__________obl1827" localSheetId="29">#REF!</definedName>
    <definedName name="__________obl1827" localSheetId="30">#REF!</definedName>
    <definedName name="__________obl1827" localSheetId="31">#REF!</definedName>
    <definedName name="__________obl1827">#REF!</definedName>
    <definedName name="__________obl1828" localSheetId="10">#REF!</definedName>
    <definedName name="__________obl1828" localSheetId="23">#REF!</definedName>
    <definedName name="__________obl1828" localSheetId="24">#REF!</definedName>
    <definedName name="__________obl1828" localSheetId="11">#REF!</definedName>
    <definedName name="__________obl1828" localSheetId="13">#REF!</definedName>
    <definedName name="__________obl1828" localSheetId="18">#REF!</definedName>
    <definedName name="__________obl1828" localSheetId="29">#REF!</definedName>
    <definedName name="__________obl1828" localSheetId="30">#REF!</definedName>
    <definedName name="__________obl1828" localSheetId="31">#REF!</definedName>
    <definedName name="__________obl1828">#REF!</definedName>
    <definedName name="__________obl1829" localSheetId="10">#REF!</definedName>
    <definedName name="__________obl1829" localSheetId="23">#REF!</definedName>
    <definedName name="__________obl1829" localSheetId="24">#REF!</definedName>
    <definedName name="__________obl1829" localSheetId="11">#REF!</definedName>
    <definedName name="__________obl1829" localSheetId="13">#REF!</definedName>
    <definedName name="__________obl1829" localSheetId="18">#REF!</definedName>
    <definedName name="__________obl1829" localSheetId="29">#REF!</definedName>
    <definedName name="__________obl1829" localSheetId="30">#REF!</definedName>
    <definedName name="__________obl1829" localSheetId="31">#REF!</definedName>
    <definedName name="__________obl1829">#REF!</definedName>
    <definedName name="__________obl183" localSheetId="10">#REF!</definedName>
    <definedName name="__________obl183" localSheetId="23">#REF!</definedName>
    <definedName name="__________obl183" localSheetId="24">#REF!</definedName>
    <definedName name="__________obl183" localSheetId="11">#REF!</definedName>
    <definedName name="__________obl183" localSheetId="13">#REF!</definedName>
    <definedName name="__________obl183" localSheetId="18">#REF!</definedName>
    <definedName name="__________obl183" localSheetId="29">#REF!</definedName>
    <definedName name="__________obl183" localSheetId="30">#REF!</definedName>
    <definedName name="__________obl183" localSheetId="31">#REF!</definedName>
    <definedName name="__________obl183">#REF!</definedName>
    <definedName name="__________obl1831" localSheetId="10">#REF!</definedName>
    <definedName name="__________obl1831" localSheetId="23">#REF!</definedName>
    <definedName name="__________obl1831" localSheetId="24">#REF!</definedName>
    <definedName name="__________obl1831" localSheetId="11">#REF!</definedName>
    <definedName name="__________obl1831" localSheetId="13">#REF!</definedName>
    <definedName name="__________obl1831" localSheetId="18">#REF!</definedName>
    <definedName name="__________obl1831" localSheetId="29">#REF!</definedName>
    <definedName name="__________obl1831" localSheetId="30">#REF!</definedName>
    <definedName name="__________obl1831" localSheetId="31">#REF!</definedName>
    <definedName name="__________obl1831">#REF!</definedName>
    <definedName name="__________obl1832" localSheetId="10">#REF!</definedName>
    <definedName name="__________obl1832" localSheetId="23">#REF!</definedName>
    <definedName name="__________obl1832" localSheetId="24">#REF!</definedName>
    <definedName name="__________obl1832" localSheetId="11">#REF!</definedName>
    <definedName name="__________obl1832" localSheetId="13">#REF!</definedName>
    <definedName name="__________obl1832" localSheetId="18">#REF!</definedName>
    <definedName name="__________obl1832" localSheetId="29">#REF!</definedName>
    <definedName name="__________obl1832" localSheetId="30">#REF!</definedName>
    <definedName name="__________obl1832" localSheetId="31">#REF!</definedName>
    <definedName name="__________obl1832">#REF!</definedName>
    <definedName name="__________obl184" localSheetId="10">#REF!</definedName>
    <definedName name="__________obl184" localSheetId="23">#REF!</definedName>
    <definedName name="__________obl184" localSheetId="24">#REF!</definedName>
    <definedName name="__________obl184" localSheetId="11">#REF!</definedName>
    <definedName name="__________obl184" localSheetId="13">#REF!</definedName>
    <definedName name="__________obl184" localSheetId="18">#REF!</definedName>
    <definedName name="__________obl184" localSheetId="29">#REF!</definedName>
    <definedName name="__________obl184" localSheetId="30">#REF!</definedName>
    <definedName name="__________obl184" localSheetId="31">#REF!</definedName>
    <definedName name="__________obl184">#REF!</definedName>
    <definedName name="__________obl185" localSheetId="10">#REF!</definedName>
    <definedName name="__________obl185" localSheetId="23">#REF!</definedName>
    <definedName name="__________obl185" localSheetId="24">#REF!</definedName>
    <definedName name="__________obl185" localSheetId="11">#REF!</definedName>
    <definedName name="__________obl185" localSheetId="13">#REF!</definedName>
    <definedName name="__________obl185" localSheetId="18">#REF!</definedName>
    <definedName name="__________obl185" localSheetId="29">#REF!</definedName>
    <definedName name="__________obl185" localSheetId="30">#REF!</definedName>
    <definedName name="__________obl185" localSheetId="31">#REF!</definedName>
    <definedName name="__________obl185">#REF!</definedName>
    <definedName name="__________obl186" localSheetId="10">#REF!</definedName>
    <definedName name="__________obl186" localSheetId="23">#REF!</definedName>
    <definedName name="__________obl186" localSheetId="24">#REF!</definedName>
    <definedName name="__________obl186" localSheetId="11">#REF!</definedName>
    <definedName name="__________obl186" localSheetId="13">#REF!</definedName>
    <definedName name="__________obl186" localSheetId="18">#REF!</definedName>
    <definedName name="__________obl186" localSheetId="29">#REF!</definedName>
    <definedName name="__________obl186" localSheetId="30">#REF!</definedName>
    <definedName name="__________obl186" localSheetId="31">#REF!</definedName>
    <definedName name="__________obl186">#REF!</definedName>
    <definedName name="__________obl187" localSheetId="10">#REF!</definedName>
    <definedName name="__________obl187" localSheetId="23">#REF!</definedName>
    <definedName name="__________obl187" localSheetId="24">#REF!</definedName>
    <definedName name="__________obl187" localSheetId="11">#REF!</definedName>
    <definedName name="__________obl187" localSheetId="13">#REF!</definedName>
    <definedName name="__________obl187" localSheetId="18">#REF!</definedName>
    <definedName name="__________obl187" localSheetId="29">#REF!</definedName>
    <definedName name="__________obl187" localSheetId="30">#REF!</definedName>
    <definedName name="__________obl187" localSheetId="31">#REF!</definedName>
    <definedName name="__________obl187">#REF!</definedName>
    <definedName name="_________obl11" localSheetId="24">#REF!</definedName>
    <definedName name="_________obl11" localSheetId="11">#REF!</definedName>
    <definedName name="_________obl11" localSheetId="18">#REF!</definedName>
    <definedName name="_________obl11" localSheetId="29">#REF!</definedName>
    <definedName name="_________obl11">#REF!</definedName>
    <definedName name="_________obl12" localSheetId="24">#REF!</definedName>
    <definedName name="_________obl12" localSheetId="11">#REF!</definedName>
    <definedName name="_________obl12" localSheetId="18">#REF!</definedName>
    <definedName name="_________obl12" localSheetId="29">#REF!</definedName>
    <definedName name="_________obl12">#REF!</definedName>
    <definedName name="_________obl13" localSheetId="24">#REF!</definedName>
    <definedName name="_________obl13" localSheetId="11">#REF!</definedName>
    <definedName name="_________obl13" localSheetId="18">#REF!</definedName>
    <definedName name="_________obl13" localSheetId="29">#REF!</definedName>
    <definedName name="_________obl13">#REF!</definedName>
    <definedName name="_________obl14" localSheetId="24">#REF!</definedName>
    <definedName name="_________obl14" localSheetId="11">#REF!</definedName>
    <definedName name="_________obl14" localSheetId="18">#REF!</definedName>
    <definedName name="_________obl14" localSheetId="29">#REF!</definedName>
    <definedName name="_________obl14">#REF!</definedName>
    <definedName name="_________obl15" localSheetId="24">#REF!</definedName>
    <definedName name="_________obl15" localSheetId="11">#REF!</definedName>
    <definedName name="_________obl15" localSheetId="18">#REF!</definedName>
    <definedName name="_________obl15" localSheetId="29">#REF!</definedName>
    <definedName name="_________obl15">#REF!</definedName>
    <definedName name="_________obl16" localSheetId="24">#REF!</definedName>
    <definedName name="_________obl16" localSheetId="11">#REF!</definedName>
    <definedName name="_________obl16" localSheetId="18">#REF!</definedName>
    <definedName name="_________obl16" localSheetId="29">#REF!</definedName>
    <definedName name="_________obl16">#REF!</definedName>
    <definedName name="_________obl17" localSheetId="24">#REF!</definedName>
    <definedName name="_________obl17" localSheetId="11">#REF!</definedName>
    <definedName name="_________obl17" localSheetId="18">#REF!</definedName>
    <definedName name="_________obl17" localSheetId="29">#REF!</definedName>
    <definedName name="_________obl17">#REF!</definedName>
    <definedName name="_________obl1710" localSheetId="24">#REF!</definedName>
    <definedName name="_________obl1710" localSheetId="11">#REF!</definedName>
    <definedName name="_________obl1710" localSheetId="18">#REF!</definedName>
    <definedName name="_________obl1710" localSheetId="29">#REF!</definedName>
    <definedName name="_________obl1710">#REF!</definedName>
    <definedName name="_________obl1711" localSheetId="24">#REF!</definedName>
    <definedName name="_________obl1711" localSheetId="11">#REF!</definedName>
    <definedName name="_________obl1711" localSheetId="18">#REF!</definedName>
    <definedName name="_________obl1711" localSheetId="29">#REF!</definedName>
    <definedName name="_________obl1711">#REF!</definedName>
    <definedName name="_________obl1712" localSheetId="24">#REF!</definedName>
    <definedName name="_________obl1712" localSheetId="11">#REF!</definedName>
    <definedName name="_________obl1712" localSheetId="18">#REF!</definedName>
    <definedName name="_________obl1712" localSheetId="29">#REF!</definedName>
    <definedName name="_________obl1712">#REF!</definedName>
    <definedName name="_________obl1713" localSheetId="24">#REF!</definedName>
    <definedName name="_________obl1713" localSheetId="11">#REF!</definedName>
    <definedName name="_________obl1713" localSheetId="18">#REF!</definedName>
    <definedName name="_________obl1713" localSheetId="29">#REF!</definedName>
    <definedName name="_________obl1713">#REF!</definedName>
    <definedName name="_________obl1714" localSheetId="24">#REF!</definedName>
    <definedName name="_________obl1714" localSheetId="11">#REF!</definedName>
    <definedName name="_________obl1714" localSheetId="18">#REF!</definedName>
    <definedName name="_________obl1714" localSheetId="29">#REF!</definedName>
    <definedName name="_________obl1714">#REF!</definedName>
    <definedName name="_________obl1715" localSheetId="24">#REF!</definedName>
    <definedName name="_________obl1715" localSheetId="11">#REF!</definedName>
    <definedName name="_________obl1715" localSheetId="18">#REF!</definedName>
    <definedName name="_________obl1715" localSheetId="29">#REF!</definedName>
    <definedName name="_________obl1715">#REF!</definedName>
    <definedName name="_________obl1716" localSheetId="24">#REF!</definedName>
    <definedName name="_________obl1716" localSheetId="11">#REF!</definedName>
    <definedName name="_________obl1716" localSheetId="18">#REF!</definedName>
    <definedName name="_________obl1716" localSheetId="29">#REF!</definedName>
    <definedName name="_________obl1716">#REF!</definedName>
    <definedName name="_________obl1717" localSheetId="24">#REF!</definedName>
    <definedName name="_________obl1717" localSheetId="11">#REF!</definedName>
    <definedName name="_________obl1717" localSheetId="18">#REF!</definedName>
    <definedName name="_________obl1717" localSheetId="29">#REF!</definedName>
    <definedName name="_________obl1717">#REF!</definedName>
    <definedName name="_________obl1718" localSheetId="24">#REF!</definedName>
    <definedName name="_________obl1718" localSheetId="11">#REF!</definedName>
    <definedName name="_________obl1718" localSheetId="18">#REF!</definedName>
    <definedName name="_________obl1718" localSheetId="29">#REF!</definedName>
    <definedName name="_________obl1718">#REF!</definedName>
    <definedName name="_________obl1719" localSheetId="24">#REF!</definedName>
    <definedName name="_________obl1719" localSheetId="11">#REF!</definedName>
    <definedName name="_________obl1719" localSheetId="18">#REF!</definedName>
    <definedName name="_________obl1719" localSheetId="29">#REF!</definedName>
    <definedName name="_________obl1719">#REF!</definedName>
    <definedName name="_________obl173" localSheetId="24">#REF!</definedName>
    <definedName name="_________obl173" localSheetId="11">#REF!</definedName>
    <definedName name="_________obl173" localSheetId="18">#REF!</definedName>
    <definedName name="_________obl173" localSheetId="29">#REF!</definedName>
    <definedName name="_________obl173">#REF!</definedName>
    <definedName name="_________obl174" localSheetId="24">#REF!</definedName>
    <definedName name="_________obl174" localSheetId="11">#REF!</definedName>
    <definedName name="_________obl174" localSheetId="18">#REF!</definedName>
    <definedName name="_________obl174" localSheetId="29">#REF!</definedName>
    <definedName name="_________obl174">#REF!</definedName>
    <definedName name="_________obl175" localSheetId="24">#REF!</definedName>
    <definedName name="_________obl175" localSheetId="11">#REF!</definedName>
    <definedName name="_________obl175" localSheetId="18">#REF!</definedName>
    <definedName name="_________obl175" localSheetId="29">#REF!</definedName>
    <definedName name="_________obl175">#REF!</definedName>
    <definedName name="_________obl176" localSheetId="24">#REF!</definedName>
    <definedName name="_________obl176" localSheetId="11">#REF!</definedName>
    <definedName name="_________obl176" localSheetId="18">#REF!</definedName>
    <definedName name="_________obl176" localSheetId="29">#REF!</definedName>
    <definedName name="_________obl176">#REF!</definedName>
    <definedName name="_________obl177" localSheetId="24">#REF!</definedName>
    <definedName name="_________obl177" localSheetId="11">#REF!</definedName>
    <definedName name="_________obl177" localSheetId="18">#REF!</definedName>
    <definedName name="_________obl177" localSheetId="29">#REF!</definedName>
    <definedName name="_________obl177">#REF!</definedName>
    <definedName name="_________obl178" localSheetId="24">#REF!</definedName>
    <definedName name="_________obl178" localSheetId="11">#REF!</definedName>
    <definedName name="_________obl178" localSheetId="18">#REF!</definedName>
    <definedName name="_________obl178" localSheetId="29">#REF!</definedName>
    <definedName name="_________obl178">#REF!</definedName>
    <definedName name="_________obl179" localSheetId="24">#REF!</definedName>
    <definedName name="_________obl179" localSheetId="11">#REF!</definedName>
    <definedName name="_________obl179" localSheetId="18">#REF!</definedName>
    <definedName name="_________obl179" localSheetId="29">#REF!</definedName>
    <definedName name="_________obl179">#REF!</definedName>
    <definedName name="_________obl18" localSheetId="24">#REF!</definedName>
    <definedName name="_________obl18" localSheetId="11">#REF!</definedName>
    <definedName name="_________obl18" localSheetId="18">#REF!</definedName>
    <definedName name="_________obl18" localSheetId="29">#REF!</definedName>
    <definedName name="_________obl18">#REF!</definedName>
    <definedName name="_________obl181" localSheetId="24">#REF!</definedName>
    <definedName name="_________obl181" localSheetId="11">#REF!</definedName>
    <definedName name="_________obl181" localSheetId="18">#REF!</definedName>
    <definedName name="_________obl181" localSheetId="29">#REF!</definedName>
    <definedName name="_________obl181">#REF!</definedName>
    <definedName name="_________obl1816" localSheetId="24">#REF!</definedName>
    <definedName name="_________obl1816" localSheetId="11">#REF!</definedName>
    <definedName name="_________obl1816" localSheetId="18">#REF!</definedName>
    <definedName name="_________obl1816" localSheetId="29">#REF!</definedName>
    <definedName name="_________obl1816">#REF!</definedName>
    <definedName name="_________obl1820" localSheetId="24">#REF!</definedName>
    <definedName name="_________obl1820" localSheetId="11">#REF!</definedName>
    <definedName name="_________obl1820" localSheetId="18">#REF!</definedName>
    <definedName name="_________obl1820" localSheetId="29">#REF!</definedName>
    <definedName name="_________obl1820">#REF!</definedName>
    <definedName name="_________obl1821" localSheetId="24">#REF!</definedName>
    <definedName name="_________obl1821" localSheetId="11">#REF!</definedName>
    <definedName name="_________obl1821" localSheetId="18">#REF!</definedName>
    <definedName name="_________obl1821" localSheetId="29">#REF!</definedName>
    <definedName name="_________obl1821">#REF!</definedName>
    <definedName name="_________obl1822" localSheetId="24">#REF!</definedName>
    <definedName name="_________obl1822" localSheetId="11">#REF!</definedName>
    <definedName name="_________obl1822" localSheetId="18">#REF!</definedName>
    <definedName name="_________obl1822" localSheetId="29">#REF!</definedName>
    <definedName name="_________obl1822">#REF!</definedName>
    <definedName name="_________obl1823" localSheetId="24">#REF!</definedName>
    <definedName name="_________obl1823" localSheetId="11">#REF!</definedName>
    <definedName name="_________obl1823" localSheetId="18">#REF!</definedName>
    <definedName name="_________obl1823" localSheetId="29">#REF!</definedName>
    <definedName name="_________obl1823">#REF!</definedName>
    <definedName name="_________obl1824" localSheetId="24">#REF!</definedName>
    <definedName name="_________obl1824" localSheetId="11">#REF!</definedName>
    <definedName name="_________obl1824" localSheetId="18">#REF!</definedName>
    <definedName name="_________obl1824" localSheetId="29">#REF!</definedName>
    <definedName name="_________obl1824">#REF!</definedName>
    <definedName name="_________obl1825" localSheetId="24">#REF!</definedName>
    <definedName name="_________obl1825" localSheetId="11">#REF!</definedName>
    <definedName name="_________obl1825" localSheetId="18">#REF!</definedName>
    <definedName name="_________obl1825" localSheetId="29">#REF!</definedName>
    <definedName name="_________obl1825">#REF!</definedName>
    <definedName name="_________obl1826" localSheetId="24">#REF!</definedName>
    <definedName name="_________obl1826" localSheetId="11">#REF!</definedName>
    <definedName name="_________obl1826" localSheetId="18">#REF!</definedName>
    <definedName name="_________obl1826" localSheetId="29">#REF!</definedName>
    <definedName name="_________obl1826">#REF!</definedName>
    <definedName name="_________obl1827" localSheetId="24">#REF!</definedName>
    <definedName name="_________obl1827" localSheetId="11">#REF!</definedName>
    <definedName name="_________obl1827" localSheetId="18">#REF!</definedName>
    <definedName name="_________obl1827" localSheetId="29">#REF!</definedName>
    <definedName name="_________obl1827">#REF!</definedName>
    <definedName name="_________obl1828" localSheetId="24">#REF!</definedName>
    <definedName name="_________obl1828" localSheetId="11">#REF!</definedName>
    <definedName name="_________obl1828" localSheetId="18">#REF!</definedName>
    <definedName name="_________obl1828" localSheetId="29">#REF!</definedName>
    <definedName name="_________obl1828">#REF!</definedName>
    <definedName name="_________obl1829" localSheetId="24">#REF!</definedName>
    <definedName name="_________obl1829" localSheetId="11">#REF!</definedName>
    <definedName name="_________obl1829" localSheetId="18">#REF!</definedName>
    <definedName name="_________obl1829" localSheetId="29">#REF!</definedName>
    <definedName name="_________obl1829">#REF!</definedName>
    <definedName name="_________obl183" localSheetId="24">#REF!</definedName>
    <definedName name="_________obl183" localSheetId="11">#REF!</definedName>
    <definedName name="_________obl183" localSheetId="18">#REF!</definedName>
    <definedName name="_________obl183" localSheetId="29">#REF!</definedName>
    <definedName name="_________obl183">#REF!</definedName>
    <definedName name="_________obl1831" localSheetId="24">#REF!</definedName>
    <definedName name="_________obl1831" localSheetId="11">#REF!</definedName>
    <definedName name="_________obl1831" localSheetId="18">#REF!</definedName>
    <definedName name="_________obl1831" localSheetId="29">#REF!</definedName>
    <definedName name="_________obl1831">#REF!</definedName>
    <definedName name="_________obl1832" localSheetId="24">#REF!</definedName>
    <definedName name="_________obl1832" localSheetId="11">#REF!</definedName>
    <definedName name="_________obl1832" localSheetId="18">#REF!</definedName>
    <definedName name="_________obl1832" localSheetId="29">#REF!</definedName>
    <definedName name="_________obl1832">#REF!</definedName>
    <definedName name="_________obl184" localSheetId="24">#REF!</definedName>
    <definedName name="_________obl184" localSheetId="11">#REF!</definedName>
    <definedName name="_________obl184" localSheetId="18">#REF!</definedName>
    <definedName name="_________obl184" localSheetId="29">#REF!</definedName>
    <definedName name="_________obl184">#REF!</definedName>
    <definedName name="_________obl185" localSheetId="24">#REF!</definedName>
    <definedName name="_________obl185" localSheetId="11">#REF!</definedName>
    <definedName name="_________obl185" localSheetId="18">#REF!</definedName>
    <definedName name="_________obl185" localSheetId="29">#REF!</definedName>
    <definedName name="_________obl185">#REF!</definedName>
    <definedName name="_________obl186" localSheetId="24">#REF!</definedName>
    <definedName name="_________obl186" localSheetId="11">#REF!</definedName>
    <definedName name="_________obl186" localSheetId="18">#REF!</definedName>
    <definedName name="_________obl186" localSheetId="29">#REF!</definedName>
    <definedName name="_________obl186">#REF!</definedName>
    <definedName name="_________obl187" localSheetId="24">#REF!</definedName>
    <definedName name="_________obl187" localSheetId="11">#REF!</definedName>
    <definedName name="_________obl187" localSheetId="18">#REF!</definedName>
    <definedName name="_________obl187" localSheetId="29">#REF!</definedName>
    <definedName name="_________obl187">#REF!</definedName>
    <definedName name="________obl11" localSheetId="10">#REF!</definedName>
    <definedName name="________obl11" localSheetId="23">#REF!</definedName>
    <definedName name="________obl11" localSheetId="24">#REF!</definedName>
    <definedName name="________obl11" localSheetId="28">#REF!</definedName>
    <definedName name="________obl11" localSheetId="26">#REF!</definedName>
    <definedName name="________obl11" localSheetId="27">#REF!</definedName>
    <definedName name="________obl11" localSheetId="11">#REF!</definedName>
    <definedName name="________obl11" localSheetId="13">#REF!</definedName>
    <definedName name="________obl11" localSheetId="18">#REF!</definedName>
    <definedName name="________obl11" localSheetId="29">#REF!</definedName>
    <definedName name="________obl11" localSheetId="30">#REF!</definedName>
    <definedName name="________obl11" localSheetId="31">#REF!</definedName>
    <definedName name="________obl11">#REF!</definedName>
    <definedName name="________obl12" localSheetId="10">#REF!</definedName>
    <definedName name="________obl12" localSheetId="23">#REF!</definedName>
    <definedName name="________obl12" localSheetId="24">#REF!</definedName>
    <definedName name="________obl12" localSheetId="28">#REF!</definedName>
    <definedName name="________obl12" localSheetId="26">#REF!</definedName>
    <definedName name="________obl12" localSheetId="27">#REF!</definedName>
    <definedName name="________obl12" localSheetId="11">#REF!</definedName>
    <definedName name="________obl12" localSheetId="13">#REF!</definedName>
    <definedName name="________obl12" localSheetId="18">#REF!</definedName>
    <definedName name="________obl12" localSheetId="29">#REF!</definedName>
    <definedName name="________obl12" localSheetId="30">#REF!</definedName>
    <definedName name="________obl12" localSheetId="31">#REF!</definedName>
    <definedName name="________obl12">#REF!</definedName>
    <definedName name="________obl13" localSheetId="10">#REF!</definedName>
    <definedName name="________obl13" localSheetId="23">#REF!</definedName>
    <definedName name="________obl13" localSheetId="24">#REF!</definedName>
    <definedName name="________obl13" localSheetId="28">#REF!</definedName>
    <definedName name="________obl13" localSheetId="26">#REF!</definedName>
    <definedName name="________obl13" localSheetId="27">#REF!</definedName>
    <definedName name="________obl13" localSheetId="11">#REF!</definedName>
    <definedName name="________obl13" localSheetId="13">#REF!</definedName>
    <definedName name="________obl13" localSheetId="18">#REF!</definedName>
    <definedName name="________obl13" localSheetId="29">#REF!</definedName>
    <definedName name="________obl13" localSheetId="30">#REF!</definedName>
    <definedName name="________obl13" localSheetId="31">#REF!</definedName>
    <definedName name="________obl13">#REF!</definedName>
    <definedName name="________obl14" localSheetId="10">#REF!</definedName>
    <definedName name="________obl14" localSheetId="23">#REF!</definedName>
    <definedName name="________obl14" localSheetId="24">#REF!</definedName>
    <definedName name="________obl14" localSheetId="28">#REF!</definedName>
    <definedName name="________obl14" localSheetId="26">#REF!</definedName>
    <definedName name="________obl14" localSheetId="27">#REF!</definedName>
    <definedName name="________obl14" localSheetId="11">#REF!</definedName>
    <definedName name="________obl14" localSheetId="13">#REF!</definedName>
    <definedName name="________obl14" localSheetId="18">#REF!</definedName>
    <definedName name="________obl14" localSheetId="29">#REF!</definedName>
    <definedName name="________obl14" localSheetId="30">#REF!</definedName>
    <definedName name="________obl14" localSheetId="31">#REF!</definedName>
    <definedName name="________obl14">#REF!</definedName>
    <definedName name="________obl15" localSheetId="10">#REF!</definedName>
    <definedName name="________obl15" localSheetId="23">#REF!</definedName>
    <definedName name="________obl15" localSheetId="24">#REF!</definedName>
    <definedName name="________obl15" localSheetId="28">#REF!</definedName>
    <definedName name="________obl15" localSheetId="26">#REF!</definedName>
    <definedName name="________obl15" localSheetId="27">#REF!</definedName>
    <definedName name="________obl15" localSheetId="11">#REF!</definedName>
    <definedName name="________obl15" localSheetId="13">#REF!</definedName>
    <definedName name="________obl15" localSheetId="18">#REF!</definedName>
    <definedName name="________obl15" localSheetId="29">#REF!</definedName>
    <definedName name="________obl15" localSheetId="30">#REF!</definedName>
    <definedName name="________obl15" localSheetId="31">#REF!</definedName>
    <definedName name="________obl15">#REF!</definedName>
    <definedName name="________obl16" localSheetId="10">#REF!</definedName>
    <definedName name="________obl16" localSheetId="23">#REF!</definedName>
    <definedName name="________obl16" localSheetId="24">#REF!</definedName>
    <definedName name="________obl16" localSheetId="28">#REF!</definedName>
    <definedName name="________obl16" localSheetId="26">#REF!</definedName>
    <definedName name="________obl16" localSheetId="27">#REF!</definedName>
    <definedName name="________obl16" localSheetId="11">#REF!</definedName>
    <definedName name="________obl16" localSheetId="13">#REF!</definedName>
    <definedName name="________obl16" localSheetId="18">#REF!</definedName>
    <definedName name="________obl16" localSheetId="29">#REF!</definedName>
    <definedName name="________obl16" localSheetId="30">#REF!</definedName>
    <definedName name="________obl16" localSheetId="31">#REF!</definedName>
    <definedName name="________obl16">#REF!</definedName>
    <definedName name="________obl17" localSheetId="10">#REF!</definedName>
    <definedName name="________obl17" localSheetId="23">#REF!</definedName>
    <definedName name="________obl17" localSheetId="24">#REF!</definedName>
    <definedName name="________obl17" localSheetId="28">#REF!</definedName>
    <definedName name="________obl17" localSheetId="26">#REF!</definedName>
    <definedName name="________obl17" localSheetId="27">#REF!</definedName>
    <definedName name="________obl17" localSheetId="11">#REF!</definedName>
    <definedName name="________obl17" localSheetId="13">#REF!</definedName>
    <definedName name="________obl17" localSheetId="18">#REF!</definedName>
    <definedName name="________obl17" localSheetId="29">#REF!</definedName>
    <definedName name="________obl17" localSheetId="30">#REF!</definedName>
    <definedName name="________obl17" localSheetId="31">#REF!</definedName>
    <definedName name="________obl17">#REF!</definedName>
    <definedName name="________obl1710" localSheetId="10">#REF!</definedName>
    <definedName name="________obl1710" localSheetId="23">#REF!</definedName>
    <definedName name="________obl1710" localSheetId="24">#REF!</definedName>
    <definedName name="________obl1710" localSheetId="28">#REF!</definedName>
    <definedName name="________obl1710" localSheetId="26">#REF!</definedName>
    <definedName name="________obl1710" localSheetId="27">#REF!</definedName>
    <definedName name="________obl1710" localSheetId="11">#REF!</definedName>
    <definedName name="________obl1710" localSheetId="13">#REF!</definedName>
    <definedName name="________obl1710" localSheetId="18">#REF!</definedName>
    <definedName name="________obl1710" localSheetId="29">#REF!</definedName>
    <definedName name="________obl1710" localSheetId="30">#REF!</definedName>
    <definedName name="________obl1710" localSheetId="31">#REF!</definedName>
    <definedName name="________obl1710">#REF!</definedName>
    <definedName name="________obl1711" localSheetId="10">#REF!</definedName>
    <definedName name="________obl1711" localSheetId="23">#REF!</definedName>
    <definedName name="________obl1711" localSheetId="24">#REF!</definedName>
    <definedName name="________obl1711" localSheetId="28">#REF!</definedName>
    <definedName name="________obl1711" localSheetId="26">#REF!</definedName>
    <definedName name="________obl1711" localSheetId="27">#REF!</definedName>
    <definedName name="________obl1711" localSheetId="11">#REF!</definedName>
    <definedName name="________obl1711" localSheetId="13">#REF!</definedName>
    <definedName name="________obl1711" localSheetId="18">#REF!</definedName>
    <definedName name="________obl1711" localSheetId="29">#REF!</definedName>
    <definedName name="________obl1711" localSheetId="30">#REF!</definedName>
    <definedName name="________obl1711" localSheetId="31">#REF!</definedName>
    <definedName name="________obl1711">#REF!</definedName>
    <definedName name="________obl1712" localSheetId="10">#REF!</definedName>
    <definedName name="________obl1712" localSheetId="23">#REF!</definedName>
    <definedName name="________obl1712" localSheetId="24">#REF!</definedName>
    <definedName name="________obl1712" localSheetId="28">#REF!</definedName>
    <definedName name="________obl1712" localSheetId="26">#REF!</definedName>
    <definedName name="________obl1712" localSheetId="27">#REF!</definedName>
    <definedName name="________obl1712" localSheetId="11">#REF!</definedName>
    <definedName name="________obl1712" localSheetId="13">#REF!</definedName>
    <definedName name="________obl1712" localSheetId="18">#REF!</definedName>
    <definedName name="________obl1712" localSheetId="29">#REF!</definedName>
    <definedName name="________obl1712" localSheetId="30">#REF!</definedName>
    <definedName name="________obl1712" localSheetId="31">#REF!</definedName>
    <definedName name="________obl1712">#REF!</definedName>
    <definedName name="________obl1713" localSheetId="10">#REF!</definedName>
    <definedName name="________obl1713" localSheetId="23">#REF!</definedName>
    <definedName name="________obl1713" localSheetId="24">#REF!</definedName>
    <definedName name="________obl1713" localSheetId="28">#REF!</definedName>
    <definedName name="________obl1713" localSheetId="26">#REF!</definedName>
    <definedName name="________obl1713" localSheetId="27">#REF!</definedName>
    <definedName name="________obl1713" localSheetId="11">#REF!</definedName>
    <definedName name="________obl1713" localSheetId="13">#REF!</definedName>
    <definedName name="________obl1713" localSheetId="18">#REF!</definedName>
    <definedName name="________obl1713" localSheetId="29">#REF!</definedName>
    <definedName name="________obl1713" localSheetId="30">#REF!</definedName>
    <definedName name="________obl1713" localSheetId="31">#REF!</definedName>
    <definedName name="________obl1713">#REF!</definedName>
    <definedName name="________obl1714" localSheetId="10">#REF!</definedName>
    <definedName name="________obl1714" localSheetId="23">#REF!</definedName>
    <definedName name="________obl1714" localSheetId="24">#REF!</definedName>
    <definedName name="________obl1714" localSheetId="28">#REF!</definedName>
    <definedName name="________obl1714" localSheetId="26">#REF!</definedName>
    <definedName name="________obl1714" localSheetId="27">#REF!</definedName>
    <definedName name="________obl1714" localSheetId="11">#REF!</definedName>
    <definedName name="________obl1714" localSheetId="13">#REF!</definedName>
    <definedName name="________obl1714" localSheetId="18">#REF!</definedName>
    <definedName name="________obl1714" localSheetId="29">#REF!</definedName>
    <definedName name="________obl1714" localSheetId="30">#REF!</definedName>
    <definedName name="________obl1714" localSheetId="31">#REF!</definedName>
    <definedName name="________obl1714">#REF!</definedName>
    <definedName name="________obl1715" localSheetId="10">#REF!</definedName>
    <definedName name="________obl1715" localSheetId="23">#REF!</definedName>
    <definedName name="________obl1715" localSheetId="24">#REF!</definedName>
    <definedName name="________obl1715" localSheetId="28">#REF!</definedName>
    <definedName name="________obl1715" localSheetId="26">#REF!</definedName>
    <definedName name="________obl1715" localSheetId="27">#REF!</definedName>
    <definedName name="________obl1715" localSheetId="11">#REF!</definedName>
    <definedName name="________obl1715" localSheetId="13">#REF!</definedName>
    <definedName name="________obl1715" localSheetId="18">#REF!</definedName>
    <definedName name="________obl1715" localSheetId="29">#REF!</definedName>
    <definedName name="________obl1715" localSheetId="30">#REF!</definedName>
    <definedName name="________obl1715" localSheetId="31">#REF!</definedName>
    <definedName name="________obl1715">#REF!</definedName>
    <definedName name="________obl1716" localSheetId="10">#REF!</definedName>
    <definedName name="________obl1716" localSheetId="23">#REF!</definedName>
    <definedName name="________obl1716" localSheetId="24">#REF!</definedName>
    <definedName name="________obl1716" localSheetId="28">#REF!</definedName>
    <definedName name="________obl1716" localSheetId="26">#REF!</definedName>
    <definedName name="________obl1716" localSheetId="27">#REF!</definedName>
    <definedName name="________obl1716" localSheetId="11">#REF!</definedName>
    <definedName name="________obl1716" localSheetId="13">#REF!</definedName>
    <definedName name="________obl1716" localSheetId="18">#REF!</definedName>
    <definedName name="________obl1716" localSheetId="29">#REF!</definedName>
    <definedName name="________obl1716" localSheetId="30">#REF!</definedName>
    <definedName name="________obl1716" localSheetId="31">#REF!</definedName>
    <definedName name="________obl1716">#REF!</definedName>
    <definedName name="________obl1717" localSheetId="10">#REF!</definedName>
    <definedName name="________obl1717" localSheetId="23">#REF!</definedName>
    <definedName name="________obl1717" localSheetId="24">#REF!</definedName>
    <definedName name="________obl1717" localSheetId="28">#REF!</definedName>
    <definedName name="________obl1717" localSheetId="26">#REF!</definedName>
    <definedName name="________obl1717" localSheetId="27">#REF!</definedName>
    <definedName name="________obl1717" localSheetId="11">#REF!</definedName>
    <definedName name="________obl1717" localSheetId="13">#REF!</definedName>
    <definedName name="________obl1717" localSheetId="18">#REF!</definedName>
    <definedName name="________obl1717" localSheetId="29">#REF!</definedName>
    <definedName name="________obl1717" localSheetId="30">#REF!</definedName>
    <definedName name="________obl1717" localSheetId="31">#REF!</definedName>
    <definedName name="________obl1717">#REF!</definedName>
    <definedName name="________obl1718" localSheetId="10">#REF!</definedName>
    <definedName name="________obl1718" localSheetId="23">#REF!</definedName>
    <definedName name="________obl1718" localSheetId="24">#REF!</definedName>
    <definedName name="________obl1718" localSheetId="28">#REF!</definedName>
    <definedName name="________obl1718" localSheetId="26">#REF!</definedName>
    <definedName name="________obl1718" localSheetId="27">#REF!</definedName>
    <definedName name="________obl1718" localSheetId="11">#REF!</definedName>
    <definedName name="________obl1718" localSheetId="13">#REF!</definedName>
    <definedName name="________obl1718" localSheetId="18">#REF!</definedName>
    <definedName name="________obl1718" localSheetId="29">#REF!</definedName>
    <definedName name="________obl1718" localSheetId="30">#REF!</definedName>
    <definedName name="________obl1718" localSheetId="31">#REF!</definedName>
    <definedName name="________obl1718">#REF!</definedName>
    <definedName name="________obl1719" localSheetId="10">#REF!</definedName>
    <definedName name="________obl1719" localSheetId="23">#REF!</definedName>
    <definedName name="________obl1719" localSheetId="24">#REF!</definedName>
    <definedName name="________obl1719" localSheetId="28">#REF!</definedName>
    <definedName name="________obl1719" localSheetId="26">#REF!</definedName>
    <definedName name="________obl1719" localSheetId="27">#REF!</definedName>
    <definedName name="________obl1719" localSheetId="11">#REF!</definedName>
    <definedName name="________obl1719" localSheetId="13">#REF!</definedName>
    <definedName name="________obl1719" localSheetId="18">#REF!</definedName>
    <definedName name="________obl1719" localSheetId="29">#REF!</definedName>
    <definedName name="________obl1719" localSheetId="30">#REF!</definedName>
    <definedName name="________obl1719" localSheetId="31">#REF!</definedName>
    <definedName name="________obl1719">#REF!</definedName>
    <definedName name="________obl173" localSheetId="10">#REF!</definedName>
    <definedName name="________obl173" localSheetId="23">#REF!</definedName>
    <definedName name="________obl173" localSheetId="24">#REF!</definedName>
    <definedName name="________obl173" localSheetId="28">#REF!</definedName>
    <definedName name="________obl173" localSheetId="26">#REF!</definedName>
    <definedName name="________obl173" localSheetId="27">#REF!</definedName>
    <definedName name="________obl173" localSheetId="11">#REF!</definedName>
    <definedName name="________obl173" localSheetId="13">#REF!</definedName>
    <definedName name="________obl173" localSheetId="18">#REF!</definedName>
    <definedName name="________obl173" localSheetId="29">#REF!</definedName>
    <definedName name="________obl173" localSheetId="30">#REF!</definedName>
    <definedName name="________obl173" localSheetId="31">#REF!</definedName>
    <definedName name="________obl173">#REF!</definedName>
    <definedName name="________obl174" localSheetId="10">#REF!</definedName>
    <definedName name="________obl174" localSheetId="23">#REF!</definedName>
    <definedName name="________obl174" localSheetId="24">#REF!</definedName>
    <definedName name="________obl174" localSheetId="28">#REF!</definedName>
    <definedName name="________obl174" localSheetId="26">#REF!</definedName>
    <definedName name="________obl174" localSheetId="27">#REF!</definedName>
    <definedName name="________obl174" localSheetId="11">#REF!</definedName>
    <definedName name="________obl174" localSheetId="13">#REF!</definedName>
    <definedName name="________obl174" localSheetId="18">#REF!</definedName>
    <definedName name="________obl174" localSheetId="29">#REF!</definedName>
    <definedName name="________obl174" localSheetId="30">#REF!</definedName>
    <definedName name="________obl174" localSheetId="31">#REF!</definedName>
    <definedName name="________obl174">#REF!</definedName>
    <definedName name="________obl175" localSheetId="10">#REF!</definedName>
    <definedName name="________obl175" localSheetId="23">#REF!</definedName>
    <definedName name="________obl175" localSheetId="24">#REF!</definedName>
    <definedName name="________obl175" localSheetId="28">#REF!</definedName>
    <definedName name="________obl175" localSheetId="26">#REF!</definedName>
    <definedName name="________obl175" localSheetId="27">#REF!</definedName>
    <definedName name="________obl175" localSheetId="11">#REF!</definedName>
    <definedName name="________obl175" localSheetId="13">#REF!</definedName>
    <definedName name="________obl175" localSheetId="18">#REF!</definedName>
    <definedName name="________obl175" localSheetId="29">#REF!</definedName>
    <definedName name="________obl175" localSheetId="30">#REF!</definedName>
    <definedName name="________obl175" localSheetId="31">#REF!</definedName>
    <definedName name="________obl175">#REF!</definedName>
    <definedName name="________obl176" localSheetId="10">#REF!</definedName>
    <definedName name="________obl176" localSheetId="23">#REF!</definedName>
    <definedName name="________obl176" localSheetId="24">#REF!</definedName>
    <definedName name="________obl176" localSheetId="28">#REF!</definedName>
    <definedName name="________obl176" localSheetId="26">#REF!</definedName>
    <definedName name="________obl176" localSheetId="27">#REF!</definedName>
    <definedName name="________obl176" localSheetId="11">#REF!</definedName>
    <definedName name="________obl176" localSheetId="13">#REF!</definedName>
    <definedName name="________obl176" localSheetId="18">#REF!</definedName>
    <definedName name="________obl176" localSheetId="29">#REF!</definedName>
    <definedName name="________obl176" localSheetId="30">#REF!</definedName>
    <definedName name="________obl176" localSheetId="31">#REF!</definedName>
    <definedName name="________obl176">#REF!</definedName>
    <definedName name="________obl177" localSheetId="10">#REF!</definedName>
    <definedName name="________obl177" localSheetId="23">#REF!</definedName>
    <definedName name="________obl177" localSheetId="24">#REF!</definedName>
    <definedName name="________obl177" localSheetId="28">#REF!</definedName>
    <definedName name="________obl177" localSheetId="26">#REF!</definedName>
    <definedName name="________obl177" localSheetId="27">#REF!</definedName>
    <definedName name="________obl177" localSheetId="11">#REF!</definedName>
    <definedName name="________obl177" localSheetId="13">#REF!</definedName>
    <definedName name="________obl177" localSheetId="18">#REF!</definedName>
    <definedName name="________obl177" localSheetId="29">#REF!</definedName>
    <definedName name="________obl177" localSheetId="30">#REF!</definedName>
    <definedName name="________obl177" localSheetId="31">#REF!</definedName>
    <definedName name="________obl177">#REF!</definedName>
    <definedName name="________obl178" localSheetId="10">#REF!</definedName>
    <definedName name="________obl178" localSheetId="23">#REF!</definedName>
    <definedName name="________obl178" localSheetId="24">#REF!</definedName>
    <definedName name="________obl178" localSheetId="28">#REF!</definedName>
    <definedName name="________obl178" localSheetId="26">#REF!</definedName>
    <definedName name="________obl178" localSheetId="27">#REF!</definedName>
    <definedName name="________obl178" localSheetId="11">#REF!</definedName>
    <definedName name="________obl178" localSheetId="13">#REF!</definedName>
    <definedName name="________obl178" localSheetId="18">#REF!</definedName>
    <definedName name="________obl178" localSheetId="29">#REF!</definedName>
    <definedName name="________obl178" localSheetId="30">#REF!</definedName>
    <definedName name="________obl178" localSheetId="31">#REF!</definedName>
    <definedName name="________obl178">#REF!</definedName>
    <definedName name="________obl179" localSheetId="10">#REF!</definedName>
    <definedName name="________obl179" localSheetId="23">#REF!</definedName>
    <definedName name="________obl179" localSheetId="24">#REF!</definedName>
    <definedName name="________obl179" localSheetId="28">#REF!</definedName>
    <definedName name="________obl179" localSheetId="26">#REF!</definedName>
    <definedName name="________obl179" localSheetId="27">#REF!</definedName>
    <definedName name="________obl179" localSheetId="11">#REF!</definedName>
    <definedName name="________obl179" localSheetId="13">#REF!</definedName>
    <definedName name="________obl179" localSheetId="18">#REF!</definedName>
    <definedName name="________obl179" localSheetId="29">#REF!</definedName>
    <definedName name="________obl179" localSheetId="30">#REF!</definedName>
    <definedName name="________obl179" localSheetId="31">#REF!</definedName>
    <definedName name="________obl179">#REF!</definedName>
    <definedName name="________obl18" localSheetId="10">#REF!</definedName>
    <definedName name="________obl18" localSheetId="23">#REF!</definedName>
    <definedName name="________obl18" localSheetId="24">#REF!</definedName>
    <definedName name="________obl18" localSheetId="28">#REF!</definedName>
    <definedName name="________obl18" localSheetId="26">#REF!</definedName>
    <definedName name="________obl18" localSheetId="27">#REF!</definedName>
    <definedName name="________obl18" localSheetId="11">#REF!</definedName>
    <definedName name="________obl18" localSheetId="13">#REF!</definedName>
    <definedName name="________obl18" localSheetId="18">#REF!</definedName>
    <definedName name="________obl18" localSheetId="29">#REF!</definedName>
    <definedName name="________obl18" localSheetId="30">#REF!</definedName>
    <definedName name="________obl18" localSheetId="31">#REF!</definedName>
    <definedName name="________obl18">#REF!</definedName>
    <definedName name="________obl181" localSheetId="10">#REF!</definedName>
    <definedName name="________obl181" localSheetId="23">#REF!</definedName>
    <definedName name="________obl181" localSheetId="24">#REF!</definedName>
    <definedName name="________obl181" localSheetId="28">#REF!</definedName>
    <definedName name="________obl181" localSheetId="26">#REF!</definedName>
    <definedName name="________obl181" localSheetId="27">#REF!</definedName>
    <definedName name="________obl181" localSheetId="11">#REF!</definedName>
    <definedName name="________obl181" localSheetId="13">#REF!</definedName>
    <definedName name="________obl181" localSheetId="18">#REF!</definedName>
    <definedName name="________obl181" localSheetId="29">#REF!</definedName>
    <definedName name="________obl181" localSheetId="30">#REF!</definedName>
    <definedName name="________obl181" localSheetId="31">#REF!</definedName>
    <definedName name="________obl181">#REF!</definedName>
    <definedName name="________obl1816" localSheetId="10">#REF!</definedName>
    <definedName name="________obl1816" localSheetId="23">#REF!</definedName>
    <definedName name="________obl1816" localSheetId="24">#REF!</definedName>
    <definedName name="________obl1816" localSheetId="28">#REF!</definedName>
    <definedName name="________obl1816" localSheetId="26">#REF!</definedName>
    <definedName name="________obl1816" localSheetId="27">#REF!</definedName>
    <definedName name="________obl1816" localSheetId="11">#REF!</definedName>
    <definedName name="________obl1816" localSheetId="13">#REF!</definedName>
    <definedName name="________obl1816" localSheetId="18">#REF!</definedName>
    <definedName name="________obl1816" localSheetId="29">#REF!</definedName>
    <definedName name="________obl1816" localSheetId="30">#REF!</definedName>
    <definedName name="________obl1816" localSheetId="31">#REF!</definedName>
    <definedName name="________obl1816">#REF!</definedName>
    <definedName name="________obl1820" localSheetId="10">#REF!</definedName>
    <definedName name="________obl1820" localSheetId="23">#REF!</definedName>
    <definedName name="________obl1820" localSheetId="24">#REF!</definedName>
    <definedName name="________obl1820" localSheetId="28">#REF!</definedName>
    <definedName name="________obl1820" localSheetId="26">#REF!</definedName>
    <definedName name="________obl1820" localSheetId="27">#REF!</definedName>
    <definedName name="________obl1820" localSheetId="11">#REF!</definedName>
    <definedName name="________obl1820" localSheetId="13">#REF!</definedName>
    <definedName name="________obl1820" localSheetId="18">#REF!</definedName>
    <definedName name="________obl1820" localSheetId="29">#REF!</definedName>
    <definedName name="________obl1820" localSheetId="30">#REF!</definedName>
    <definedName name="________obl1820" localSheetId="31">#REF!</definedName>
    <definedName name="________obl1820">#REF!</definedName>
    <definedName name="________obl1821" localSheetId="10">#REF!</definedName>
    <definedName name="________obl1821" localSheetId="23">#REF!</definedName>
    <definedName name="________obl1821" localSheetId="24">#REF!</definedName>
    <definedName name="________obl1821" localSheetId="28">#REF!</definedName>
    <definedName name="________obl1821" localSheetId="26">#REF!</definedName>
    <definedName name="________obl1821" localSheetId="27">#REF!</definedName>
    <definedName name="________obl1821" localSheetId="11">#REF!</definedName>
    <definedName name="________obl1821" localSheetId="13">#REF!</definedName>
    <definedName name="________obl1821" localSheetId="18">#REF!</definedName>
    <definedName name="________obl1821" localSheetId="29">#REF!</definedName>
    <definedName name="________obl1821" localSheetId="30">#REF!</definedName>
    <definedName name="________obl1821" localSheetId="31">#REF!</definedName>
    <definedName name="________obl1821">#REF!</definedName>
    <definedName name="________obl1822" localSheetId="10">#REF!</definedName>
    <definedName name="________obl1822" localSheetId="23">#REF!</definedName>
    <definedName name="________obl1822" localSheetId="24">#REF!</definedName>
    <definedName name="________obl1822" localSheetId="28">#REF!</definedName>
    <definedName name="________obl1822" localSheetId="26">#REF!</definedName>
    <definedName name="________obl1822" localSheetId="27">#REF!</definedName>
    <definedName name="________obl1822" localSheetId="11">#REF!</definedName>
    <definedName name="________obl1822" localSheetId="13">#REF!</definedName>
    <definedName name="________obl1822" localSheetId="18">#REF!</definedName>
    <definedName name="________obl1822" localSheetId="29">#REF!</definedName>
    <definedName name="________obl1822" localSheetId="30">#REF!</definedName>
    <definedName name="________obl1822" localSheetId="31">#REF!</definedName>
    <definedName name="________obl1822">#REF!</definedName>
    <definedName name="________obl1823" localSheetId="10">#REF!</definedName>
    <definedName name="________obl1823" localSheetId="23">#REF!</definedName>
    <definedName name="________obl1823" localSheetId="24">#REF!</definedName>
    <definedName name="________obl1823" localSheetId="28">#REF!</definedName>
    <definedName name="________obl1823" localSheetId="26">#REF!</definedName>
    <definedName name="________obl1823" localSheetId="27">#REF!</definedName>
    <definedName name="________obl1823" localSheetId="11">#REF!</definedName>
    <definedName name="________obl1823" localSheetId="13">#REF!</definedName>
    <definedName name="________obl1823" localSheetId="18">#REF!</definedName>
    <definedName name="________obl1823" localSheetId="29">#REF!</definedName>
    <definedName name="________obl1823" localSheetId="30">#REF!</definedName>
    <definedName name="________obl1823" localSheetId="31">#REF!</definedName>
    <definedName name="________obl1823">#REF!</definedName>
    <definedName name="________obl1824" localSheetId="10">#REF!</definedName>
    <definedName name="________obl1824" localSheetId="23">#REF!</definedName>
    <definedName name="________obl1824" localSheetId="24">#REF!</definedName>
    <definedName name="________obl1824" localSheetId="28">#REF!</definedName>
    <definedName name="________obl1824" localSheetId="26">#REF!</definedName>
    <definedName name="________obl1824" localSheetId="27">#REF!</definedName>
    <definedName name="________obl1824" localSheetId="11">#REF!</definedName>
    <definedName name="________obl1824" localSheetId="13">#REF!</definedName>
    <definedName name="________obl1824" localSheetId="18">#REF!</definedName>
    <definedName name="________obl1824" localSheetId="29">#REF!</definedName>
    <definedName name="________obl1824" localSheetId="30">#REF!</definedName>
    <definedName name="________obl1824" localSheetId="31">#REF!</definedName>
    <definedName name="________obl1824">#REF!</definedName>
    <definedName name="________obl1825" localSheetId="10">#REF!</definedName>
    <definedName name="________obl1825" localSheetId="23">#REF!</definedName>
    <definedName name="________obl1825" localSheetId="24">#REF!</definedName>
    <definedName name="________obl1825" localSheetId="28">#REF!</definedName>
    <definedName name="________obl1825" localSheetId="26">#REF!</definedName>
    <definedName name="________obl1825" localSheetId="27">#REF!</definedName>
    <definedName name="________obl1825" localSheetId="11">#REF!</definedName>
    <definedName name="________obl1825" localSheetId="13">#REF!</definedName>
    <definedName name="________obl1825" localSheetId="18">#REF!</definedName>
    <definedName name="________obl1825" localSheetId="29">#REF!</definedName>
    <definedName name="________obl1825" localSheetId="30">#REF!</definedName>
    <definedName name="________obl1825" localSheetId="31">#REF!</definedName>
    <definedName name="________obl1825">#REF!</definedName>
    <definedName name="________obl1826" localSheetId="10">#REF!</definedName>
    <definedName name="________obl1826" localSheetId="23">#REF!</definedName>
    <definedName name="________obl1826" localSheetId="24">#REF!</definedName>
    <definedName name="________obl1826" localSheetId="28">#REF!</definedName>
    <definedName name="________obl1826" localSheetId="26">#REF!</definedName>
    <definedName name="________obl1826" localSheetId="27">#REF!</definedName>
    <definedName name="________obl1826" localSheetId="11">#REF!</definedName>
    <definedName name="________obl1826" localSheetId="13">#REF!</definedName>
    <definedName name="________obl1826" localSheetId="18">#REF!</definedName>
    <definedName name="________obl1826" localSheetId="29">#REF!</definedName>
    <definedName name="________obl1826" localSheetId="30">#REF!</definedName>
    <definedName name="________obl1826" localSheetId="31">#REF!</definedName>
    <definedName name="________obl1826">#REF!</definedName>
    <definedName name="________obl1827" localSheetId="10">#REF!</definedName>
    <definedName name="________obl1827" localSheetId="23">#REF!</definedName>
    <definedName name="________obl1827" localSheetId="24">#REF!</definedName>
    <definedName name="________obl1827" localSheetId="28">#REF!</definedName>
    <definedName name="________obl1827" localSheetId="26">#REF!</definedName>
    <definedName name="________obl1827" localSheetId="27">#REF!</definedName>
    <definedName name="________obl1827" localSheetId="11">#REF!</definedName>
    <definedName name="________obl1827" localSheetId="13">#REF!</definedName>
    <definedName name="________obl1827" localSheetId="18">#REF!</definedName>
    <definedName name="________obl1827" localSheetId="29">#REF!</definedName>
    <definedName name="________obl1827" localSheetId="30">#REF!</definedName>
    <definedName name="________obl1827" localSheetId="31">#REF!</definedName>
    <definedName name="________obl1827">#REF!</definedName>
    <definedName name="________obl1828" localSheetId="10">#REF!</definedName>
    <definedName name="________obl1828" localSheetId="23">#REF!</definedName>
    <definedName name="________obl1828" localSheetId="24">#REF!</definedName>
    <definedName name="________obl1828" localSheetId="28">#REF!</definedName>
    <definedName name="________obl1828" localSheetId="26">#REF!</definedName>
    <definedName name="________obl1828" localSheetId="27">#REF!</definedName>
    <definedName name="________obl1828" localSheetId="11">#REF!</definedName>
    <definedName name="________obl1828" localSheetId="13">#REF!</definedName>
    <definedName name="________obl1828" localSheetId="18">#REF!</definedName>
    <definedName name="________obl1828" localSheetId="29">#REF!</definedName>
    <definedName name="________obl1828" localSheetId="30">#REF!</definedName>
    <definedName name="________obl1828" localSheetId="31">#REF!</definedName>
    <definedName name="________obl1828">#REF!</definedName>
    <definedName name="________obl1829" localSheetId="10">#REF!</definedName>
    <definedName name="________obl1829" localSheetId="23">#REF!</definedName>
    <definedName name="________obl1829" localSheetId="24">#REF!</definedName>
    <definedName name="________obl1829" localSheetId="28">#REF!</definedName>
    <definedName name="________obl1829" localSheetId="26">#REF!</definedName>
    <definedName name="________obl1829" localSheetId="27">#REF!</definedName>
    <definedName name="________obl1829" localSheetId="11">#REF!</definedName>
    <definedName name="________obl1829" localSheetId="13">#REF!</definedName>
    <definedName name="________obl1829" localSheetId="18">#REF!</definedName>
    <definedName name="________obl1829" localSheetId="29">#REF!</definedName>
    <definedName name="________obl1829" localSheetId="30">#REF!</definedName>
    <definedName name="________obl1829" localSheetId="31">#REF!</definedName>
    <definedName name="________obl1829">#REF!</definedName>
    <definedName name="________obl183" localSheetId="10">#REF!</definedName>
    <definedName name="________obl183" localSheetId="23">#REF!</definedName>
    <definedName name="________obl183" localSheetId="24">#REF!</definedName>
    <definedName name="________obl183" localSheetId="28">#REF!</definedName>
    <definedName name="________obl183" localSheetId="26">#REF!</definedName>
    <definedName name="________obl183" localSheetId="27">#REF!</definedName>
    <definedName name="________obl183" localSheetId="11">#REF!</definedName>
    <definedName name="________obl183" localSheetId="13">#REF!</definedName>
    <definedName name="________obl183" localSheetId="18">#REF!</definedName>
    <definedName name="________obl183" localSheetId="29">#REF!</definedName>
    <definedName name="________obl183" localSheetId="30">#REF!</definedName>
    <definedName name="________obl183" localSheetId="31">#REF!</definedName>
    <definedName name="________obl183">#REF!</definedName>
    <definedName name="________obl1831" localSheetId="10">#REF!</definedName>
    <definedName name="________obl1831" localSheetId="23">#REF!</definedName>
    <definedName name="________obl1831" localSheetId="24">#REF!</definedName>
    <definedName name="________obl1831" localSheetId="28">#REF!</definedName>
    <definedName name="________obl1831" localSheetId="26">#REF!</definedName>
    <definedName name="________obl1831" localSheetId="27">#REF!</definedName>
    <definedName name="________obl1831" localSheetId="11">#REF!</definedName>
    <definedName name="________obl1831" localSheetId="13">#REF!</definedName>
    <definedName name="________obl1831" localSheetId="18">#REF!</definedName>
    <definedName name="________obl1831" localSheetId="29">#REF!</definedName>
    <definedName name="________obl1831" localSheetId="30">#REF!</definedName>
    <definedName name="________obl1831" localSheetId="31">#REF!</definedName>
    <definedName name="________obl1831">#REF!</definedName>
    <definedName name="________obl1832" localSheetId="10">#REF!</definedName>
    <definedName name="________obl1832" localSheetId="23">#REF!</definedName>
    <definedName name="________obl1832" localSheetId="24">#REF!</definedName>
    <definedName name="________obl1832" localSheetId="28">#REF!</definedName>
    <definedName name="________obl1832" localSheetId="26">#REF!</definedName>
    <definedName name="________obl1832" localSheetId="27">#REF!</definedName>
    <definedName name="________obl1832" localSheetId="11">#REF!</definedName>
    <definedName name="________obl1832" localSheetId="13">#REF!</definedName>
    <definedName name="________obl1832" localSheetId="18">#REF!</definedName>
    <definedName name="________obl1832" localSheetId="29">#REF!</definedName>
    <definedName name="________obl1832" localSheetId="30">#REF!</definedName>
    <definedName name="________obl1832" localSheetId="31">#REF!</definedName>
    <definedName name="________obl1832">#REF!</definedName>
    <definedName name="________obl184" localSheetId="10">#REF!</definedName>
    <definedName name="________obl184" localSheetId="23">#REF!</definedName>
    <definedName name="________obl184" localSheetId="24">#REF!</definedName>
    <definedName name="________obl184" localSheetId="28">#REF!</definedName>
    <definedName name="________obl184" localSheetId="26">#REF!</definedName>
    <definedName name="________obl184" localSheetId="27">#REF!</definedName>
    <definedName name="________obl184" localSheetId="11">#REF!</definedName>
    <definedName name="________obl184" localSheetId="13">#REF!</definedName>
    <definedName name="________obl184" localSheetId="18">#REF!</definedName>
    <definedName name="________obl184" localSheetId="29">#REF!</definedName>
    <definedName name="________obl184" localSheetId="30">#REF!</definedName>
    <definedName name="________obl184" localSheetId="31">#REF!</definedName>
    <definedName name="________obl184">#REF!</definedName>
    <definedName name="________obl185" localSheetId="10">#REF!</definedName>
    <definedName name="________obl185" localSheetId="23">#REF!</definedName>
    <definedName name="________obl185" localSheetId="24">#REF!</definedName>
    <definedName name="________obl185" localSheetId="28">#REF!</definedName>
    <definedName name="________obl185" localSheetId="26">#REF!</definedName>
    <definedName name="________obl185" localSheetId="27">#REF!</definedName>
    <definedName name="________obl185" localSheetId="11">#REF!</definedName>
    <definedName name="________obl185" localSheetId="13">#REF!</definedName>
    <definedName name="________obl185" localSheetId="18">#REF!</definedName>
    <definedName name="________obl185" localSheetId="29">#REF!</definedName>
    <definedName name="________obl185" localSheetId="30">#REF!</definedName>
    <definedName name="________obl185" localSheetId="31">#REF!</definedName>
    <definedName name="________obl185">#REF!</definedName>
    <definedName name="________obl186" localSheetId="10">#REF!</definedName>
    <definedName name="________obl186" localSheetId="23">#REF!</definedName>
    <definedName name="________obl186" localSheetId="24">#REF!</definedName>
    <definedName name="________obl186" localSheetId="28">#REF!</definedName>
    <definedName name="________obl186" localSheetId="26">#REF!</definedName>
    <definedName name="________obl186" localSheetId="27">#REF!</definedName>
    <definedName name="________obl186" localSheetId="11">#REF!</definedName>
    <definedName name="________obl186" localSheetId="13">#REF!</definedName>
    <definedName name="________obl186" localSheetId="18">#REF!</definedName>
    <definedName name="________obl186" localSheetId="29">#REF!</definedName>
    <definedName name="________obl186" localSheetId="30">#REF!</definedName>
    <definedName name="________obl186" localSheetId="31">#REF!</definedName>
    <definedName name="________obl186">#REF!</definedName>
    <definedName name="________obl187" localSheetId="10">#REF!</definedName>
    <definedName name="________obl187" localSheetId="23">#REF!</definedName>
    <definedName name="________obl187" localSheetId="24">#REF!</definedName>
    <definedName name="________obl187" localSheetId="28">#REF!</definedName>
    <definedName name="________obl187" localSheetId="26">#REF!</definedName>
    <definedName name="________obl187" localSheetId="27">#REF!</definedName>
    <definedName name="________obl187" localSheetId="11">#REF!</definedName>
    <definedName name="________obl187" localSheetId="13">#REF!</definedName>
    <definedName name="________obl187" localSheetId="18">#REF!</definedName>
    <definedName name="________obl187" localSheetId="29">#REF!</definedName>
    <definedName name="________obl187" localSheetId="30">#REF!</definedName>
    <definedName name="________obl187" localSheetId="31">#REF!</definedName>
    <definedName name="________obl187">#REF!</definedName>
    <definedName name="_______obl11" localSheetId="24">#REF!</definedName>
    <definedName name="_______obl11" localSheetId="28">#REF!</definedName>
    <definedName name="_______obl11" localSheetId="26">#REF!</definedName>
    <definedName name="_______obl11" localSheetId="27">#REF!</definedName>
    <definedName name="_______obl11" localSheetId="18">#REF!</definedName>
    <definedName name="_______obl11" localSheetId="29">#REF!</definedName>
    <definedName name="_______obl11" localSheetId="31">#REF!</definedName>
    <definedName name="_______obl11" localSheetId="35">#REF!</definedName>
    <definedName name="_______obl11" localSheetId="36">#REF!</definedName>
    <definedName name="_______obl11" localSheetId="37">#REF!</definedName>
    <definedName name="_______obl11">#REF!</definedName>
    <definedName name="_______obl12" localSheetId="24">#REF!</definedName>
    <definedName name="_______obl12" localSheetId="28">#REF!</definedName>
    <definedName name="_______obl12" localSheetId="26">#REF!</definedName>
    <definedName name="_______obl12" localSheetId="27">#REF!</definedName>
    <definedName name="_______obl12" localSheetId="18">#REF!</definedName>
    <definedName name="_______obl12" localSheetId="29">#REF!</definedName>
    <definedName name="_______obl12" localSheetId="31">#REF!</definedName>
    <definedName name="_______obl12" localSheetId="35">#REF!</definedName>
    <definedName name="_______obl12" localSheetId="36">#REF!</definedName>
    <definedName name="_______obl12" localSheetId="37">#REF!</definedName>
    <definedName name="_______obl12">#REF!</definedName>
    <definedName name="_______obl13" localSheetId="24">#REF!</definedName>
    <definedName name="_______obl13" localSheetId="28">#REF!</definedName>
    <definedName name="_______obl13" localSheetId="26">#REF!</definedName>
    <definedName name="_______obl13" localSheetId="27">#REF!</definedName>
    <definedName name="_______obl13" localSheetId="18">#REF!</definedName>
    <definedName name="_______obl13" localSheetId="29">#REF!</definedName>
    <definedName name="_______obl13" localSheetId="31">#REF!</definedName>
    <definedName name="_______obl13" localSheetId="35">#REF!</definedName>
    <definedName name="_______obl13" localSheetId="36">#REF!</definedName>
    <definedName name="_______obl13" localSheetId="37">#REF!</definedName>
    <definedName name="_______obl13">#REF!</definedName>
    <definedName name="_______obl14" localSheetId="24">#REF!</definedName>
    <definedName name="_______obl14" localSheetId="28">#REF!</definedName>
    <definedName name="_______obl14" localSheetId="26">#REF!</definedName>
    <definedName name="_______obl14" localSheetId="27">#REF!</definedName>
    <definedName name="_______obl14" localSheetId="18">#REF!</definedName>
    <definedName name="_______obl14" localSheetId="29">#REF!</definedName>
    <definedName name="_______obl14" localSheetId="31">#REF!</definedName>
    <definedName name="_______obl14" localSheetId="35">#REF!</definedName>
    <definedName name="_______obl14" localSheetId="36">#REF!</definedName>
    <definedName name="_______obl14" localSheetId="37">#REF!</definedName>
    <definedName name="_______obl14">#REF!</definedName>
    <definedName name="_______obl15" localSheetId="24">#REF!</definedName>
    <definedName name="_______obl15" localSheetId="28">#REF!</definedName>
    <definedName name="_______obl15" localSheetId="26">#REF!</definedName>
    <definedName name="_______obl15" localSheetId="27">#REF!</definedName>
    <definedName name="_______obl15" localSheetId="18">#REF!</definedName>
    <definedName name="_______obl15" localSheetId="29">#REF!</definedName>
    <definedName name="_______obl15" localSheetId="31">#REF!</definedName>
    <definedName name="_______obl15" localSheetId="35">#REF!</definedName>
    <definedName name="_______obl15" localSheetId="36">#REF!</definedName>
    <definedName name="_______obl15" localSheetId="37">#REF!</definedName>
    <definedName name="_______obl15">#REF!</definedName>
    <definedName name="_______obl16" localSheetId="24">#REF!</definedName>
    <definedName name="_______obl16" localSheetId="28">#REF!</definedName>
    <definedName name="_______obl16" localSheetId="26">#REF!</definedName>
    <definedName name="_______obl16" localSheetId="27">#REF!</definedName>
    <definedName name="_______obl16" localSheetId="18">#REF!</definedName>
    <definedName name="_______obl16" localSheetId="29">#REF!</definedName>
    <definedName name="_______obl16" localSheetId="31">#REF!</definedName>
    <definedName name="_______obl16" localSheetId="35">#REF!</definedName>
    <definedName name="_______obl16" localSheetId="36">#REF!</definedName>
    <definedName name="_______obl16" localSheetId="37">#REF!</definedName>
    <definedName name="_______obl16">#REF!</definedName>
    <definedName name="_______obl17" localSheetId="24">#REF!</definedName>
    <definedName name="_______obl17" localSheetId="28">#REF!</definedName>
    <definedName name="_______obl17" localSheetId="26">#REF!</definedName>
    <definedName name="_______obl17" localSheetId="27">#REF!</definedName>
    <definedName name="_______obl17" localSheetId="18">#REF!</definedName>
    <definedName name="_______obl17" localSheetId="29">#REF!</definedName>
    <definedName name="_______obl17" localSheetId="31">#REF!</definedName>
    <definedName name="_______obl17" localSheetId="35">#REF!</definedName>
    <definedName name="_______obl17" localSheetId="36">#REF!</definedName>
    <definedName name="_______obl17" localSheetId="37">#REF!</definedName>
    <definedName name="_______obl17">#REF!</definedName>
    <definedName name="_______obl1710" localSheetId="24">#REF!</definedName>
    <definedName name="_______obl1710" localSheetId="28">#REF!</definedName>
    <definedName name="_______obl1710" localSheetId="26">#REF!</definedName>
    <definedName name="_______obl1710" localSheetId="27">#REF!</definedName>
    <definedName name="_______obl1710" localSheetId="18">#REF!</definedName>
    <definedName name="_______obl1710" localSheetId="29">#REF!</definedName>
    <definedName name="_______obl1710" localSheetId="31">#REF!</definedName>
    <definedName name="_______obl1710" localSheetId="35">#REF!</definedName>
    <definedName name="_______obl1710" localSheetId="36">#REF!</definedName>
    <definedName name="_______obl1710" localSheetId="37">#REF!</definedName>
    <definedName name="_______obl1710">#REF!</definedName>
    <definedName name="_______obl1711" localSheetId="24">#REF!</definedName>
    <definedName name="_______obl1711" localSheetId="28">#REF!</definedName>
    <definedName name="_______obl1711" localSheetId="26">#REF!</definedName>
    <definedName name="_______obl1711" localSheetId="27">#REF!</definedName>
    <definedName name="_______obl1711" localSheetId="18">#REF!</definedName>
    <definedName name="_______obl1711" localSheetId="29">#REF!</definedName>
    <definedName name="_______obl1711" localSheetId="31">#REF!</definedName>
    <definedName name="_______obl1711" localSheetId="35">#REF!</definedName>
    <definedName name="_______obl1711" localSheetId="36">#REF!</definedName>
    <definedName name="_______obl1711" localSheetId="37">#REF!</definedName>
    <definedName name="_______obl1711">#REF!</definedName>
    <definedName name="_______obl1712" localSheetId="24">#REF!</definedName>
    <definedName name="_______obl1712" localSheetId="28">#REF!</definedName>
    <definedName name="_______obl1712" localSheetId="26">#REF!</definedName>
    <definedName name="_______obl1712" localSheetId="27">#REF!</definedName>
    <definedName name="_______obl1712" localSheetId="18">#REF!</definedName>
    <definedName name="_______obl1712" localSheetId="29">#REF!</definedName>
    <definedName name="_______obl1712" localSheetId="31">#REF!</definedName>
    <definedName name="_______obl1712" localSheetId="35">#REF!</definedName>
    <definedName name="_______obl1712" localSheetId="36">#REF!</definedName>
    <definedName name="_______obl1712" localSheetId="37">#REF!</definedName>
    <definedName name="_______obl1712">#REF!</definedName>
    <definedName name="_______obl1713" localSheetId="24">#REF!</definedName>
    <definedName name="_______obl1713" localSheetId="28">#REF!</definedName>
    <definedName name="_______obl1713" localSheetId="26">#REF!</definedName>
    <definedName name="_______obl1713" localSheetId="27">#REF!</definedName>
    <definedName name="_______obl1713" localSheetId="18">#REF!</definedName>
    <definedName name="_______obl1713" localSheetId="29">#REF!</definedName>
    <definedName name="_______obl1713" localSheetId="31">#REF!</definedName>
    <definedName name="_______obl1713" localSheetId="35">#REF!</definedName>
    <definedName name="_______obl1713" localSheetId="36">#REF!</definedName>
    <definedName name="_______obl1713" localSheetId="37">#REF!</definedName>
    <definedName name="_______obl1713">#REF!</definedName>
    <definedName name="_______obl1714" localSheetId="24">#REF!</definedName>
    <definedName name="_______obl1714" localSheetId="28">#REF!</definedName>
    <definedName name="_______obl1714" localSheetId="26">#REF!</definedName>
    <definedName name="_______obl1714" localSheetId="27">#REF!</definedName>
    <definedName name="_______obl1714" localSheetId="18">#REF!</definedName>
    <definedName name="_______obl1714" localSheetId="29">#REF!</definedName>
    <definedName name="_______obl1714" localSheetId="31">#REF!</definedName>
    <definedName name="_______obl1714" localSheetId="35">#REF!</definedName>
    <definedName name="_______obl1714" localSheetId="36">#REF!</definedName>
    <definedName name="_______obl1714" localSheetId="37">#REF!</definedName>
    <definedName name="_______obl1714">#REF!</definedName>
    <definedName name="_______obl1715" localSheetId="24">#REF!</definedName>
    <definedName name="_______obl1715" localSheetId="28">#REF!</definedName>
    <definedName name="_______obl1715" localSheetId="26">#REF!</definedName>
    <definedName name="_______obl1715" localSheetId="27">#REF!</definedName>
    <definedName name="_______obl1715" localSheetId="18">#REF!</definedName>
    <definedName name="_______obl1715" localSheetId="29">#REF!</definedName>
    <definedName name="_______obl1715" localSheetId="31">#REF!</definedName>
    <definedName name="_______obl1715" localSheetId="35">#REF!</definedName>
    <definedName name="_______obl1715" localSheetId="36">#REF!</definedName>
    <definedName name="_______obl1715" localSheetId="37">#REF!</definedName>
    <definedName name="_______obl1715">#REF!</definedName>
    <definedName name="_______obl1716" localSheetId="24">#REF!</definedName>
    <definedName name="_______obl1716" localSheetId="28">#REF!</definedName>
    <definedName name="_______obl1716" localSheetId="26">#REF!</definedName>
    <definedName name="_______obl1716" localSheetId="27">#REF!</definedName>
    <definedName name="_______obl1716" localSheetId="18">#REF!</definedName>
    <definedName name="_______obl1716" localSheetId="29">#REF!</definedName>
    <definedName name="_______obl1716" localSheetId="31">#REF!</definedName>
    <definedName name="_______obl1716" localSheetId="35">#REF!</definedName>
    <definedName name="_______obl1716" localSheetId="36">#REF!</definedName>
    <definedName name="_______obl1716" localSheetId="37">#REF!</definedName>
    <definedName name="_______obl1716">#REF!</definedName>
    <definedName name="_______obl1717" localSheetId="24">#REF!</definedName>
    <definedName name="_______obl1717" localSheetId="28">#REF!</definedName>
    <definedName name="_______obl1717" localSheetId="26">#REF!</definedName>
    <definedName name="_______obl1717" localSheetId="27">#REF!</definedName>
    <definedName name="_______obl1717" localSheetId="18">#REF!</definedName>
    <definedName name="_______obl1717" localSheetId="29">#REF!</definedName>
    <definedName name="_______obl1717" localSheetId="31">#REF!</definedName>
    <definedName name="_______obl1717" localSheetId="35">#REF!</definedName>
    <definedName name="_______obl1717" localSheetId="36">#REF!</definedName>
    <definedName name="_______obl1717" localSheetId="37">#REF!</definedName>
    <definedName name="_______obl1717">#REF!</definedName>
    <definedName name="_______obl1718" localSheetId="24">#REF!</definedName>
    <definedName name="_______obl1718" localSheetId="28">#REF!</definedName>
    <definedName name="_______obl1718" localSheetId="26">#REF!</definedName>
    <definedName name="_______obl1718" localSheetId="27">#REF!</definedName>
    <definedName name="_______obl1718" localSheetId="18">#REF!</definedName>
    <definedName name="_______obl1718" localSheetId="29">#REF!</definedName>
    <definedName name="_______obl1718" localSheetId="31">#REF!</definedName>
    <definedName name="_______obl1718" localSheetId="35">#REF!</definedName>
    <definedName name="_______obl1718" localSheetId="36">#REF!</definedName>
    <definedName name="_______obl1718" localSheetId="37">#REF!</definedName>
    <definedName name="_______obl1718">#REF!</definedName>
    <definedName name="_______obl1719" localSheetId="24">#REF!</definedName>
    <definedName name="_______obl1719" localSheetId="28">#REF!</definedName>
    <definedName name="_______obl1719" localSheetId="26">#REF!</definedName>
    <definedName name="_______obl1719" localSheetId="27">#REF!</definedName>
    <definedName name="_______obl1719" localSheetId="18">#REF!</definedName>
    <definedName name="_______obl1719" localSheetId="29">#REF!</definedName>
    <definedName name="_______obl1719" localSheetId="31">#REF!</definedName>
    <definedName name="_______obl1719" localSheetId="35">#REF!</definedName>
    <definedName name="_______obl1719" localSheetId="36">#REF!</definedName>
    <definedName name="_______obl1719" localSheetId="37">#REF!</definedName>
    <definedName name="_______obl1719">#REF!</definedName>
    <definedName name="_______obl173" localSheetId="24">#REF!</definedName>
    <definedName name="_______obl173" localSheetId="28">#REF!</definedName>
    <definedName name="_______obl173" localSheetId="26">#REF!</definedName>
    <definedName name="_______obl173" localSheetId="27">#REF!</definedName>
    <definedName name="_______obl173" localSheetId="18">#REF!</definedName>
    <definedName name="_______obl173" localSheetId="29">#REF!</definedName>
    <definedName name="_______obl173" localSheetId="31">#REF!</definedName>
    <definedName name="_______obl173" localSheetId="35">#REF!</definedName>
    <definedName name="_______obl173" localSheetId="36">#REF!</definedName>
    <definedName name="_______obl173" localSheetId="37">#REF!</definedName>
    <definedName name="_______obl173">#REF!</definedName>
    <definedName name="_______obl174" localSheetId="24">#REF!</definedName>
    <definedName name="_______obl174" localSheetId="28">#REF!</definedName>
    <definedName name="_______obl174" localSheetId="26">#REF!</definedName>
    <definedName name="_______obl174" localSheetId="27">#REF!</definedName>
    <definedName name="_______obl174" localSheetId="18">#REF!</definedName>
    <definedName name="_______obl174" localSheetId="29">#REF!</definedName>
    <definedName name="_______obl174" localSheetId="31">#REF!</definedName>
    <definedName name="_______obl174" localSheetId="35">#REF!</definedName>
    <definedName name="_______obl174" localSheetId="36">#REF!</definedName>
    <definedName name="_______obl174" localSheetId="37">#REF!</definedName>
    <definedName name="_______obl174">#REF!</definedName>
    <definedName name="_______obl175" localSheetId="24">#REF!</definedName>
    <definedName name="_______obl175" localSheetId="28">#REF!</definedName>
    <definedName name="_______obl175" localSheetId="26">#REF!</definedName>
    <definedName name="_______obl175" localSheetId="27">#REF!</definedName>
    <definedName name="_______obl175" localSheetId="18">#REF!</definedName>
    <definedName name="_______obl175" localSheetId="29">#REF!</definedName>
    <definedName name="_______obl175" localSheetId="31">#REF!</definedName>
    <definedName name="_______obl175" localSheetId="35">#REF!</definedName>
    <definedName name="_______obl175" localSheetId="36">#REF!</definedName>
    <definedName name="_______obl175" localSheetId="37">#REF!</definedName>
    <definedName name="_______obl175">#REF!</definedName>
    <definedName name="_______obl176" localSheetId="24">#REF!</definedName>
    <definedName name="_______obl176" localSheetId="28">#REF!</definedName>
    <definedName name="_______obl176" localSheetId="26">#REF!</definedName>
    <definedName name="_______obl176" localSheetId="27">#REF!</definedName>
    <definedName name="_______obl176" localSheetId="18">#REF!</definedName>
    <definedName name="_______obl176" localSheetId="29">#REF!</definedName>
    <definedName name="_______obl176" localSheetId="31">#REF!</definedName>
    <definedName name="_______obl176" localSheetId="35">#REF!</definedName>
    <definedName name="_______obl176" localSheetId="36">#REF!</definedName>
    <definedName name="_______obl176" localSheetId="37">#REF!</definedName>
    <definedName name="_______obl176">#REF!</definedName>
    <definedName name="_______obl177" localSheetId="24">#REF!</definedName>
    <definedName name="_______obl177" localSheetId="28">#REF!</definedName>
    <definedName name="_______obl177" localSheetId="26">#REF!</definedName>
    <definedName name="_______obl177" localSheetId="27">#REF!</definedName>
    <definedName name="_______obl177" localSheetId="18">#REF!</definedName>
    <definedName name="_______obl177" localSheetId="29">#REF!</definedName>
    <definedName name="_______obl177" localSheetId="31">#REF!</definedName>
    <definedName name="_______obl177" localSheetId="35">#REF!</definedName>
    <definedName name="_______obl177" localSheetId="36">#REF!</definedName>
    <definedName name="_______obl177" localSheetId="37">#REF!</definedName>
    <definedName name="_______obl177">#REF!</definedName>
    <definedName name="_______obl178" localSheetId="24">#REF!</definedName>
    <definedName name="_______obl178" localSheetId="28">#REF!</definedName>
    <definedName name="_______obl178" localSheetId="26">#REF!</definedName>
    <definedName name="_______obl178" localSheetId="27">#REF!</definedName>
    <definedName name="_______obl178" localSheetId="18">#REF!</definedName>
    <definedName name="_______obl178" localSheetId="29">#REF!</definedName>
    <definedName name="_______obl178" localSheetId="31">#REF!</definedName>
    <definedName name="_______obl178" localSheetId="35">#REF!</definedName>
    <definedName name="_______obl178" localSheetId="36">#REF!</definedName>
    <definedName name="_______obl178" localSheetId="37">#REF!</definedName>
    <definedName name="_______obl178">#REF!</definedName>
    <definedName name="_______obl179" localSheetId="24">#REF!</definedName>
    <definedName name="_______obl179" localSheetId="28">#REF!</definedName>
    <definedName name="_______obl179" localSheetId="26">#REF!</definedName>
    <definedName name="_______obl179" localSheetId="27">#REF!</definedName>
    <definedName name="_______obl179" localSheetId="18">#REF!</definedName>
    <definedName name="_______obl179" localSheetId="29">#REF!</definedName>
    <definedName name="_______obl179" localSheetId="31">#REF!</definedName>
    <definedName name="_______obl179" localSheetId="35">#REF!</definedName>
    <definedName name="_______obl179" localSheetId="36">#REF!</definedName>
    <definedName name="_______obl179" localSheetId="37">#REF!</definedName>
    <definedName name="_______obl179">#REF!</definedName>
    <definedName name="_______obl18" localSheetId="24">#REF!</definedName>
    <definedName name="_______obl18" localSheetId="28">#REF!</definedName>
    <definedName name="_______obl18" localSheetId="26">#REF!</definedName>
    <definedName name="_______obl18" localSheetId="27">#REF!</definedName>
    <definedName name="_______obl18" localSheetId="18">#REF!</definedName>
    <definedName name="_______obl18" localSheetId="29">#REF!</definedName>
    <definedName name="_______obl18" localSheetId="31">#REF!</definedName>
    <definedName name="_______obl18" localSheetId="35">#REF!</definedName>
    <definedName name="_______obl18" localSheetId="36">#REF!</definedName>
    <definedName name="_______obl18" localSheetId="37">#REF!</definedName>
    <definedName name="_______obl18">#REF!</definedName>
    <definedName name="_______obl181" localSheetId="24">#REF!</definedName>
    <definedName name="_______obl181" localSheetId="28">#REF!</definedName>
    <definedName name="_______obl181" localSheetId="26">#REF!</definedName>
    <definedName name="_______obl181" localSheetId="27">#REF!</definedName>
    <definedName name="_______obl181" localSheetId="18">#REF!</definedName>
    <definedName name="_______obl181" localSheetId="29">#REF!</definedName>
    <definedName name="_______obl181" localSheetId="31">#REF!</definedName>
    <definedName name="_______obl181" localSheetId="35">#REF!</definedName>
    <definedName name="_______obl181" localSheetId="36">#REF!</definedName>
    <definedName name="_______obl181" localSheetId="37">#REF!</definedName>
    <definedName name="_______obl181">#REF!</definedName>
    <definedName name="_______obl1816" localSheetId="24">#REF!</definedName>
    <definedName name="_______obl1816" localSheetId="28">#REF!</definedName>
    <definedName name="_______obl1816" localSheetId="26">#REF!</definedName>
    <definedName name="_______obl1816" localSheetId="27">#REF!</definedName>
    <definedName name="_______obl1816" localSheetId="18">#REF!</definedName>
    <definedName name="_______obl1816" localSheetId="29">#REF!</definedName>
    <definedName name="_______obl1816" localSheetId="31">#REF!</definedName>
    <definedName name="_______obl1816" localSheetId="35">#REF!</definedName>
    <definedName name="_______obl1816" localSheetId="36">#REF!</definedName>
    <definedName name="_______obl1816" localSheetId="37">#REF!</definedName>
    <definedName name="_______obl1816">#REF!</definedName>
    <definedName name="_______obl1820" localSheetId="24">#REF!</definedName>
    <definedName name="_______obl1820" localSheetId="28">#REF!</definedName>
    <definedName name="_______obl1820" localSheetId="26">#REF!</definedName>
    <definedName name="_______obl1820" localSheetId="27">#REF!</definedName>
    <definedName name="_______obl1820" localSheetId="18">#REF!</definedName>
    <definedName name="_______obl1820" localSheetId="29">#REF!</definedName>
    <definedName name="_______obl1820" localSheetId="31">#REF!</definedName>
    <definedName name="_______obl1820" localSheetId="35">#REF!</definedName>
    <definedName name="_______obl1820" localSheetId="36">#REF!</definedName>
    <definedName name="_______obl1820" localSheetId="37">#REF!</definedName>
    <definedName name="_______obl1820">#REF!</definedName>
    <definedName name="_______obl1821" localSheetId="24">#REF!</definedName>
    <definedName name="_______obl1821" localSheetId="28">#REF!</definedName>
    <definedName name="_______obl1821" localSheetId="26">#REF!</definedName>
    <definedName name="_______obl1821" localSheetId="27">#REF!</definedName>
    <definedName name="_______obl1821" localSheetId="18">#REF!</definedName>
    <definedName name="_______obl1821" localSheetId="29">#REF!</definedName>
    <definedName name="_______obl1821" localSheetId="31">#REF!</definedName>
    <definedName name="_______obl1821" localSheetId="35">#REF!</definedName>
    <definedName name="_______obl1821" localSheetId="36">#REF!</definedName>
    <definedName name="_______obl1821" localSheetId="37">#REF!</definedName>
    <definedName name="_______obl1821">#REF!</definedName>
    <definedName name="_______obl1822" localSheetId="24">#REF!</definedName>
    <definedName name="_______obl1822" localSheetId="28">#REF!</definedName>
    <definedName name="_______obl1822" localSheetId="26">#REF!</definedName>
    <definedName name="_______obl1822" localSheetId="27">#REF!</definedName>
    <definedName name="_______obl1822" localSheetId="18">#REF!</definedName>
    <definedName name="_______obl1822" localSheetId="29">#REF!</definedName>
    <definedName name="_______obl1822" localSheetId="31">#REF!</definedName>
    <definedName name="_______obl1822" localSheetId="35">#REF!</definedName>
    <definedName name="_______obl1822" localSheetId="36">#REF!</definedName>
    <definedName name="_______obl1822" localSheetId="37">#REF!</definedName>
    <definedName name="_______obl1822">#REF!</definedName>
    <definedName name="_______obl1823" localSheetId="24">#REF!</definedName>
    <definedName name="_______obl1823" localSheetId="28">#REF!</definedName>
    <definedName name="_______obl1823" localSheetId="26">#REF!</definedName>
    <definedName name="_______obl1823" localSheetId="27">#REF!</definedName>
    <definedName name="_______obl1823" localSheetId="18">#REF!</definedName>
    <definedName name="_______obl1823" localSheetId="29">#REF!</definedName>
    <definedName name="_______obl1823" localSheetId="31">#REF!</definedName>
    <definedName name="_______obl1823" localSheetId="35">#REF!</definedName>
    <definedName name="_______obl1823" localSheetId="36">#REF!</definedName>
    <definedName name="_______obl1823" localSheetId="37">#REF!</definedName>
    <definedName name="_______obl1823">#REF!</definedName>
    <definedName name="_______obl1824" localSheetId="24">#REF!</definedName>
    <definedName name="_______obl1824" localSheetId="28">#REF!</definedName>
    <definedName name="_______obl1824" localSheetId="26">#REF!</definedName>
    <definedName name="_______obl1824" localSheetId="27">#REF!</definedName>
    <definedName name="_______obl1824" localSheetId="18">#REF!</definedName>
    <definedName name="_______obl1824" localSheetId="29">#REF!</definedName>
    <definedName name="_______obl1824" localSheetId="31">#REF!</definedName>
    <definedName name="_______obl1824" localSheetId="35">#REF!</definedName>
    <definedName name="_______obl1824" localSheetId="36">#REF!</definedName>
    <definedName name="_______obl1824" localSheetId="37">#REF!</definedName>
    <definedName name="_______obl1824">#REF!</definedName>
    <definedName name="_______obl1825" localSheetId="24">#REF!</definedName>
    <definedName name="_______obl1825" localSheetId="28">#REF!</definedName>
    <definedName name="_______obl1825" localSheetId="26">#REF!</definedName>
    <definedName name="_______obl1825" localSheetId="27">#REF!</definedName>
    <definedName name="_______obl1825" localSheetId="18">#REF!</definedName>
    <definedName name="_______obl1825" localSheetId="29">#REF!</definedName>
    <definedName name="_______obl1825" localSheetId="31">#REF!</definedName>
    <definedName name="_______obl1825" localSheetId="35">#REF!</definedName>
    <definedName name="_______obl1825" localSheetId="36">#REF!</definedName>
    <definedName name="_______obl1825" localSheetId="37">#REF!</definedName>
    <definedName name="_______obl1825">#REF!</definedName>
    <definedName name="_______obl1826" localSheetId="24">#REF!</definedName>
    <definedName name="_______obl1826" localSheetId="28">#REF!</definedName>
    <definedName name="_______obl1826" localSheetId="26">#REF!</definedName>
    <definedName name="_______obl1826" localSheetId="27">#REF!</definedName>
    <definedName name="_______obl1826" localSheetId="18">#REF!</definedName>
    <definedName name="_______obl1826" localSheetId="29">#REF!</definedName>
    <definedName name="_______obl1826" localSheetId="31">#REF!</definedName>
    <definedName name="_______obl1826" localSheetId="35">#REF!</definedName>
    <definedName name="_______obl1826" localSheetId="36">#REF!</definedName>
    <definedName name="_______obl1826" localSheetId="37">#REF!</definedName>
    <definedName name="_______obl1826">#REF!</definedName>
    <definedName name="_______obl1827" localSheetId="24">#REF!</definedName>
    <definedName name="_______obl1827" localSheetId="28">#REF!</definedName>
    <definedName name="_______obl1827" localSheetId="26">#REF!</definedName>
    <definedName name="_______obl1827" localSheetId="27">#REF!</definedName>
    <definedName name="_______obl1827" localSheetId="18">#REF!</definedName>
    <definedName name="_______obl1827" localSheetId="29">#REF!</definedName>
    <definedName name="_______obl1827" localSheetId="31">#REF!</definedName>
    <definedName name="_______obl1827" localSheetId="35">#REF!</definedName>
    <definedName name="_______obl1827" localSheetId="36">#REF!</definedName>
    <definedName name="_______obl1827" localSheetId="37">#REF!</definedName>
    <definedName name="_______obl1827">#REF!</definedName>
    <definedName name="_______obl1828" localSheetId="24">#REF!</definedName>
    <definedName name="_______obl1828" localSheetId="28">#REF!</definedName>
    <definedName name="_______obl1828" localSheetId="26">#REF!</definedName>
    <definedName name="_______obl1828" localSheetId="27">#REF!</definedName>
    <definedName name="_______obl1828" localSheetId="18">#REF!</definedName>
    <definedName name="_______obl1828" localSheetId="29">#REF!</definedName>
    <definedName name="_______obl1828" localSheetId="31">#REF!</definedName>
    <definedName name="_______obl1828" localSheetId="35">#REF!</definedName>
    <definedName name="_______obl1828" localSheetId="36">#REF!</definedName>
    <definedName name="_______obl1828" localSheetId="37">#REF!</definedName>
    <definedName name="_______obl1828">#REF!</definedName>
    <definedName name="_______obl1829" localSheetId="24">#REF!</definedName>
    <definedName name="_______obl1829" localSheetId="28">#REF!</definedName>
    <definedName name="_______obl1829" localSheetId="26">#REF!</definedName>
    <definedName name="_______obl1829" localSheetId="27">#REF!</definedName>
    <definedName name="_______obl1829" localSheetId="18">#REF!</definedName>
    <definedName name="_______obl1829" localSheetId="29">#REF!</definedName>
    <definedName name="_______obl1829" localSheetId="31">#REF!</definedName>
    <definedName name="_______obl1829" localSheetId="35">#REF!</definedName>
    <definedName name="_______obl1829" localSheetId="36">#REF!</definedName>
    <definedName name="_______obl1829" localSheetId="37">#REF!</definedName>
    <definedName name="_______obl1829">#REF!</definedName>
    <definedName name="_______obl183" localSheetId="24">#REF!</definedName>
    <definedName name="_______obl183" localSheetId="28">#REF!</definedName>
    <definedName name="_______obl183" localSheetId="26">#REF!</definedName>
    <definedName name="_______obl183" localSheetId="27">#REF!</definedName>
    <definedName name="_______obl183" localSheetId="18">#REF!</definedName>
    <definedName name="_______obl183" localSheetId="29">#REF!</definedName>
    <definedName name="_______obl183" localSheetId="31">#REF!</definedName>
    <definedName name="_______obl183" localSheetId="35">#REF!</definedName>
    <definedName name="_______obl183" localSheetId="36">#REF!</definedName>
    <definedName name="_______obl183" localSheetId="37">#REF!</definedName>
    <definedName name="_______obl183">#REF!</definedName>
    <definedName name="_______obl1831" localSheetId="24">#REF!</definedName>
    <definedName name="_______obl1831" localSheetId="28">#REF!</definedName>
    <definedName name="_______obl1831" localSheetId="26">#REF!</definedName>
    <definedName name="_______obl1831" localSheetId="27">#REF!</definedName>
    <definedName name="_______obl1831" localSheetId="18">#REF!</definedName>
    <definedName name="_______obl1831" localSheetId="29">#REF!</definedName>
    <definedName name="_______obl1831" localSheetId="31">#REF!</definedName>
    <definedName name="_______obl1831" localSheetId="35">#REF!</definedName>
    <definedName name="_______obl1831" localSheetId="36">#REF!</definedName>
    <definedName name="_______obl1831" localSheetId="37">#REF!</definedName>
    <definedName name="_______obl1831">#REF!</definedName>
    <definedName name="_______obl1832" localSheetId="24">#REF!</definedName>
    <definedName name="_______obl1832" localSheetId="28">#REF!</definedName>
    <definedName name="_______obl1832" localSheetId="26">#REF!</definedName>
    <definedName name="_______obl1832" localSheetId="27">#REF!</definedName>
    <definedName name="_______obl1832" localSheetId="18">#REF!</definedName>
    <definedName name="_______obl1832" localSheetId="29">#REF!</definedName>
    <definedName name="_______obl1832" localSheetId="31">#REF!</definedName>
    <definedName name="_______obl1832" localSheetId="35">#REF!</definedName>
    <definedName name="_______obl1832" localSheetId="36">#REF!</definedName>
    <definedName name="_______obl1832" localSheetId="37">#REF!</definedName>
    <definedName name="_______obl1832">#REF!</definedName>
    <definedName name="_______obl184" localSheetId="24">#REF!</definedName>
    <definedName name="_______obl184" localSheetId="28">#REF!</definedName>
    <definedName name="_______obl184" localSheetId="26">#REF!</definedName>
    <definedName name="_______obl184" localSheetId="27">#REF!</definedName>
    <definedName name="_______obl184" localSheetId="18">#REF!</definedName>
    <definedName name="_______obl184" localSheetId="29">#REF!</definedName>
    <definedName name="_______obl184" localSheetId="31">#REF!</definedName>
    <definedName name="_______obl184" localSheetId="35">#REF!</definedName>
    <definedName name="_______obl184" localSheetId="36">#REF!</definedName>
    <definedName name="_______obl184" localSheetId="37">#REF!</definedName>
    <definedName name="_______obl184">#REF!</definedName>
    <definedName name="_______obl185" localSheetId="24">#REF!</definedName>
    <definedName name="_______obl185" localSheetId="28">#REF!</definedName>
    <definedName name="_______obl185" localSheetId="26">#REF!</definedName>
    <definedName name="_______obl185" localSheetId="27">#REF!</definedName>
    <definedName name="_______obl185" localSheetId="18">#REF!</definedName>
    <definedName name="_______obl185" localSheetId="29">#REF!</definedName>
    <definedName name="_______obl185" localSheetId="31">#REF!</definedName>
    <definedName name="_______obl185" localSheetId="35">#REF!</definedName>
    <definedName name="_______obl185" localSheetId="36">#REF!</definedName>
    <definedName name="_______obl185" localSheetId="37">#REF!</definedName>
    <definedName name="_______obl185">#REF!</definedName>
    <definedName name="_______obl186" localSheetId="24">#REF!</definedName>
    <definedName name="_______obl186" localSheetId="28">#REF!</definedName>
    <definedName name="_______obl186" localSheetId="26">#REF!</definedName>
    <definedName name="_______obl186" localSheetId="27">#REF!</definedName>
    <definedName name="_______obl186" localSheetId="18">#REF!</definedName>
    <definedName name="_______obl186" localSheetId="29">#REF!</definedName>
    <definedName name="_______obl186" localSheetId="31">#REF!</definedName>
    <definedName name="_______obl186" localSheetId="35">#REF!</definedName>
    <definedName name="_______obl186" localSheetId="36">#REF!</definedName>
    <definedName name="_______obl186" localSheetId="37">#REF!</definedName>
    <definedName name="_______obl186">#REF!</definedName>
    <definedName name="_______obl187" localSheetId="24">#REF!</definedName>
    <definedName name="_______obl187" localSheetId="28">#REF!</definedName>
    <definedName name="_______obl187" localSheetId="26">#REF!</definedName>
    <definedName name="_______obl187" localSheetId="27">#REF!</definedName>
    <definedName name="_______obl187" localSheetId="18">#REF!</definedName>
    <definedName name="_______obl187" localSheetId="29">#REF!</definedName>
    <definedName name="_______obl187" localSheetId="31">#REF!</definedName>
    <definedName name="_______obl187" localSheetId="35">#REF!</definedName>
    <definedName name="_______obl187" localSheetId="36">#REF!</definedName>
    <definedName name="_______obl187" localSheetId="37">#REF!</definedName>
    <definedName name="_______obl187">#REF!</definedName>
    <definedName name="______obl11" localSheetId="10">#REF!</definedName>
    <definedName name="______obl11" localSheetId="22">#REF!</definedName>
    <definedName name="______obl11" localSheetId="23">#REF!</definedName>
    <definedName name="______obl11" localSheetId="21">#REF!</definedName>
    <definedName name="______obl11" localSheetId="24">#REF!</definedName>
    <definedName name="______obl11" localSheetId="28">#REF!</definedName>
    <definedName name="______obl11" localSheetId="26">#REF!</definedName>
    <definedName name="______obl11" localSheetId="27">#REF!</definedName>
    <definedName name="______obl11" localSheetId="11">#REF!</definedName>
    <definedName name="______obl11" localSheetId="13">#REF!</definedName>
    <definedName name="______obl11" localSheetId="18">#REF!</definedName>
    <definedName name="______obl11" localSheetId="29">#REF!</definedName>
    <definedName name="______obl11" localSheetId="30">#REF!</definedName>
    <definedName name="______obl11" localSheetId="31">#REF!</definedName>
    <definedName name="______obl11" localSheetId="38">#REF!</definedName>
    <definedName name="______obl11">#REF!</definedName>
    <definedName name="______obl12" localSheetId="10">#REF!</definedName>
    <definedName name="______obl12" localSheetId="22">#REF!</definedName>
    <definedName name="______obl12" localSheetId="23">#REF!</definedName>
    <definedName name="______obl12" localSheetId="21">#REF!</definedName>
    <definedName name="______obl12" localSheetId="24">#REF!</definedName>
    <definedName name="______obl12" localSheetId="28">#REF!</definedName>
    <definedName name="______obl12" localSheetId="26">#REF!</definedName>
    <definedName name="______obl12" localSheetId="27">#REF!</definedName>
    <definedName name="______obl12" localSheetId="11">#REF!</definedName>
    <definedName name="______obl12" localSheetId="13">#REF!</definedName>
    <definedName name="______obl12" localSheetId="18">#REF!</definedName>
    <definedName name="______obl12" localSheetId="29">#REF!</definedName>
    <definedName name="______obl12" localSheetId="30">#REF!</definedName>
    <definedName name="______obl12" localSheetId="31">#REF!</definedName>
    <definedName name="______obl12" localSheetId="38">#REF!</definedName>
    <definedName name="______obl12">#REF!</definedName>
    <definedName name="______obl13" localSheetId="10">#REF!</definedName>
    <definedName name="______obl13" localSheetId="22">#REF!</definedName>
    <definedName name="______obl13" localSheetId="23">#REF!</definedName>
    <definedName name="______obl13" localSheetId="21">#REF!</definedName>
    <definedName name="______obl13" localSheetId="24">#REF!</definedName>
    <definedName name="______obl13" localSheetId="28">#REF!</definedName>
    <definedName name="______obl13" localSheetId="26">#REF!</definedName>
    <definedName name="______obl13" localSheetId="27">#REF!</definedName>
    <definedName name="______obl13" localSheetId="11">#REF!</definedName>
    <definedName name="______obl13" localSheetId="13">#REF!</definedName>
    <definedName name="______obl13" localSheetId="18">#REF!</definedName>
    <definedName name="______obl13" localSheetId="29">#REF!</definedName>
    <definedName name="______obl13" localSheetId="30">#REF!</definedName>
    <definedName name="______obl13" localSheetId="31">#REF!</definedName>
    <definedName name="______obl13" localSheetId="38">#REF!</definedName>
    <definedName name="______obl13">#REF!</definedName>
    <definedName name="______obl14" localSheetId="10">#REF!</definedName>
    <definedName name="______obl14" localSheetId="22">#REF!</definedName>
    <definedName name="______obl14" localSheetId="23">#REF!</definedName>
    <definedName name="______obl14" localSheetId="21">#REF!</definedName>
    <definedName name="______obl14" localSheetId="24">#REF!</definedName>
    <definedName name="______obl14" localSheetId="28">#REF!</definedName>
    <definedName name="______obl14" localSheetId="26">#REF!</definedName>
    <definedName name="______obl14" localSheetId="27">#REF!</definedName>
    <definedName name="______obl14" localSheetId="11">#REF!</definedName>
    <definedName name="______obl14" localSheetId="13">#REF!</definedName>
    <definedName name="______obl14" localSheetId="18">#REF!</definedName>
    <definedName name="______obl14" localSheetId="29">#REF!</definedName>
    <definedName name="______obl14" localSheetId="30">#REF!</definedName>
    <definedName name="______obl14" localSheetId="31">#REF!</definedName>
    <definedName name="______obl14" localSheetId="38">#REF!</definedName>
    <definedName name="______obl14">#REF!</definedName>
    <definedName name="______obl15" localSheetId="10">#REF!</definedName>
    <definedName name="______obl15" localSheetId="22">#REF!</definedName>
    <definedName name="______obl15" localSheetId="23">#REF!</definedName>
    <definedName name="______obl15" localSheetId="21">#REF!</definedName>
    <definedName name="______obl15" localSheetId="24">#REF!</definedName>
    <definedName name="______obl15" localSheetId="28">#REF!</definedName>
    <definedName name="______obl15" localSheetId="26">#REF!</definedName>
    <definedName name="______obl15" localSheetId="27">#REF!</definedName>
    <definedName name="______obl15" localSheetId="11">#REF!</definedName>
    <definedName name="______obl15" localSheetId="13">#REF!</definedName>
    <definedName name="______obl15" localSheetId="18">#REF!</definedName>
    <definedName name="______obl15" localSheetId="29">#REF!</definedName>
    <definedName name="______obl15" localSheetId="30">#REF!</definedName>
    <definedName name="______obl15" localSheetId="31">#REF!</definedName>
    <definedName name="______obl15" localSheetId="38">#REF!</definedName>
    <definedName name="______obl15">#REF!</definedName>
    <definedName name="______obl16" localSheetId="10">#REF!</definedName>
    <definedName name="______obl16" localSheetId="22">#REF!</definedName>
    <definedName name="______obl16" localSheetId="23">#REF!</definedName>
    <definedName name="______obl16" localSheetId="21">#REF!</definedName>
    <definedName name="______obl16" localSheetId="24">#REF!</definedName>
    <definedName name="______obl16" localSheetId="28">#REF!</definedName>
    <definedName name="______obl16" localSheetId="26">#REF!</definedName>
    <definedName name="______obl16" localSheetId="27">#REF!</definedName>
    <definedName name="______obl16" localSheetId="11">#REF!</definedName>
    <definedName name="______obl16" localSheetId="13">#REF!</definedName>
    <definedName name="______obl16" localSheetId="18">#REF!</definedName>
    <definedName name="______obl16" localSheetId="29">#REF!</definedName>
    <definedName name="______obl16" localSheetId="30">#REF!</definedName>
    <definedName name="______obl16" localSheetId="31">#REF!</definedName>
    <definedName name="______obl16" localSheetId="38">#REF!</definedName>
    <definedName name="______obl16">#REF!</definedName>
    <definedName name="______obl17" localSheetId="10">#REF!</definedName>
    <definedName name="______obl17" localSheetId="22">#REF!</definedName>
    <definedName name="______obl17" localSheetId="23">#REF!</definedName>
    <definedName name="______obl17" localSheetId="21">#REF!</definedName>
    <definedName name="______obl17" localSheetId="24">#REF!</definedName>
    <definedName name="______obl17" localSheetId="28">#REF!</definedName>
    <definedName name="______obl17" localSheetId="26">#REF!</definedName>
    <definedName name="______obl17" localSheetId="27">#REF!</definedName>
    <definedName name="______obl17" localSheetId="11">#REF!</definedName>
    <definedName name="______obl17" localSheetId="13">#REF!</definedName>
    <definedName name="______obl17" localSheetId="18">#REF!</definedName>
    <definedName name="______obl17" localSheetId="29">#REF!</definedName>
    <definedName name="______obl17" localSheetId="30">#REF!</definedName>
    <definedName name="______obl17" localSheetId="31">#REF!</definedName>
    <definedName name="______obl17" localSheetId="38">#REF!</definedName>
    <definedName name="______obl17">#REF!</definedName>
    <definedName name="______obl1710" localSheetId="10">#REF!</definedName>
    <definedName name="______obl1710" localSheetId="22">#REF!</definedName>
    <definedName name="______obl1710" localSheetId="23">#REF!</definedName>
    <definedName name="______obl1710" localSheetId="21">#REF!</definedName>
    <definedName name="______obl1710" localSheetId="24">#REF!</definedName>
    <definedName name="______obl1710" localSheetId="28">#REF!</definedName>
    <definedName name="______obl1710" localSheetId="26">#REF!</definedName>
    <definedName name="______obl1710" localSheetId="27">#REF!</definedName>
    <definedName name="______obl1710" localSheetId="11">#REF!</definedName>
    <definedName name="______obl1710" localSheetId="13">#REF!</definedName>
    <definedName name="______obl1710" localSheetId="18">#REF!</definedName>
    <definedName name="______obl1710" localSheetId="29">#REF!</definedName>
    <definedName name="______obl1710" localSheetId="30">#REF!</definedName>
    <definedName name="______obl1710" localSheetId="31">#REF!</definedName>
    <definedName name="______obl1710" localSheetId="38">#REF!</definedName>
    <definedName name="______obl1710">#REF!</definedName>
    <definedName name="______obl1711" localSheetId="10">#REF!</definedName>
    <definedName name="______obl1711" localSheetId="22">#REF!</definedName>
    <definedName name="______obl1711" localSheetId="23">#REF!</definedName>
    <definedName name="______obl1711" localSheetId="21">#REF!</definedName>
    <definedName name="______obl1711" localSheetId="24">#REF!</definedName>
    <definedName name="______obl1711" localSheetId="28">#REF!</definedName>
    <definedName name="______obl1711" localSheetId="26">#REF!</definedName>
    <definedName name="______obl1711" localSheetId="27">#REF!</definedName>
    <definedName name="______obl1711" localSheetId="11">#REF!</definedName>
    <definedName name="______obl1711" localSheetId="13">#REF!</definedName>
    <definedName name="______obl1711" localSheetId="18">#REF!</definedName>
    <definedName name="______obl1711" localSheetId="29">#REF!</definedName>
    <definedName name="______obl1711" localSheetId="30">#REF!</definedName>
    <definedName name="______obl1711" localSheetId="31">#REF!</definedName>
    <definedName name="______obl1711" localSheetId="38">#REF!</definedName>
    <definedName name="______obl1711">#REF!</definedName>
    <definedName name="______obl1712" localSheetId="10">#REF!</definedName>
    <definedName name="______obl1712" localSheetId="22">#REF!</definedName>
    <definedName name="______obl1712" localSheetId="23">#REF!</definedName>
    <definedName name="______obl1712" localSheetId="21">#REF!</definedName>
    <definedName name="______obl1712" localSheetId="24">#REF!</definedName>
    <definedName name="______obl1712" localSheetId="28">#REF!</definedName>
    <definedName name="______obl1712" localSheetId="26">#REF!</definedName>
    <definedName name="______obl1712" localSheetId="27">#REF!</definedName>
    <definedName name="______obl1712" localSheetId="11">#REF!</definedName>
    <definedName name="______obl1712" localSheetId="13">#REF!</definedName>
    <definedName name="______obl1712" localSheetId="18">#REF!</definedName>
    <definedName name="______obl1712" localSheetId="29">#REF!</definedName>
    <definedName name="______obl1712" localSheetId="30">#REF!</definedName>
    <definedName name="______obl1712" localSheetId="31">#REF!</definedName>
    <definedName name="______obl1712" localSheetId="38">#REF!</definedName>
    <definedName name="______obl1712">#REF!</definedName>
    <definedName name="______obl1713" localSheetId="10">#REF!</definedName>
    <definedName name="______obl1713" localSheetId="22">#REF!</definedName>
    <definedName name="______obl1713" localSheetId="23">#REF!</definedName>
    <definedName name="______obl1713" localSheetId="21">#REF!</definedName>
    <definedName name="______obl1713" localSheetId="24">#REF!</definedName>
    <definedName name="______obl1713" localSheetId="28">#REF!</definedName>
    <definedName name="______obl1713" localSheetId="26">#REF!</definedName>
    <definedName name="______obl1713" localSheetId="27">#REF!</definedName>
    <definedName name="______obl1713" localSheetId="11">#REF!</definedName>
    <definedName name="______obl1713" localSheetId="13">#REF!</definedName>
    <definedName name="______obl1713" localSheetId="18">#REF!</definedName>
    <definedName name="______obl1713" localSheetId="29">#REF!</definedName>
    <definedName name="______obl1713" localSheetId="30">#REF!</definedName>
    <definedName name="______obl1713" localSheetId="31">#REF!</definedName>
    <definedName name="______obl1713" localSheetId="38">#REF!</definedName>
    <definedName name="______obl1713">#REF!</definedName>
    <definedName name="______obl1714" localSheetId="10">#REF!</definedName>
    <definedName name="______obl1714" localSheetId="22">#REF!</definedName>
    <definedName name="______obl1714" localSheetId="23">#REF!</definedName>
    <definedName name="______obl1714" localSheetId="21">#REF!</definedName>
    <definedName name="______obl1714" localSheetId="24">#REF!</definedName>
    <definedName name="______obl1714" localSheetId="28">#REF!</definedName>
    <definedName name="______obl1714" localSheetId="26">#REF!</definedName>
    <definedName name="______obl1714" localSheetId="27">#REF!</definedName>
    <definedName name="______obl1714" localSheetId="11">#REF!</definedName>
    <definedName name="______obl1714" localSheetId="13">#REF!</definedName>
    <definedName name="______obl1714" localSheetId="18">#REF!</definedName>
    <definedName name="______obl1714" localSheetId="29">#REF!</definedName>
    <definedName name="______obl1714" localSheetId="30">#REF!</definedName>
    <definedName name="______obl1714" localSheetId="31">#REF!</definedName>
    <definedName name="______obl1714" localSheetId="38">#REF!</definedName>
    <definedName name="______obl1714">#REF!</definedName>
    <definedName name="______obl1715" localSheetId="10">#REF!</definedName>
    <definedName name="______obl1715" localSheetId="22">#REF!</definedName>
    <definedName name="______obl1715" localSheetId="23">#REF!</definedName>
    <definedName name="______obl1715" localSheetId="21">#REF!</definedName>
    <definedName name="______obl1715" localSheetId="24">#REF!</definedName>
    <definedName name="______obl1715" localSheetId="28">#REF!</definedName>
    <definedName name="______obl1715" localSheetId="26">#REF!</definedName>
    <definedName name="______obl1715" localSheetId="27">#REF!</definedName>
    <definedName name="______obl1715" localSheetId="11">#REF!</definedName>
    <definedName name="______obl1715" localSheetId="13">#REF!</definedName>
    <definedName name="______obl1715" localSheetId="18">#REF!</definedName>
    <definedName name="______obl1715" localSheetId="29">#REF!</definedName>
    <definedName name="______obl1715" localSheetId="30">#REF!</definedName>
    <definedName name="______obl1715" localSheetId="31">#REF!</definedName>
    <definedName name="______obl1715" localSheetId="38">#REF!</definedName>
    <definedName name="______obl1715">#REF!</definedName>
    <definedName name="______obl1716" localSheetId="10">#REF!</definedName>
    <definedName name="______obl1716" localSheetId="22">#REF!</definedName>
    <definedName name="______obl1716" localSheetId="23">#REF!</definedName>
    <definedName name="______obl1716" localSheetId="21">#REF!</definedName>
    <definedName name="______obl1716" localSheetId="24">#REF!</definedName>
    <definedName name="______obl1716" localSheetId="28">#REF!</definedName>
    <definedName name="______obl1716" localSheetId="26">#REF!</definedName>
    <definedName name="______obl1716" localSheetId="27">#REF!</definedName>
    <definedName name="______obl1716" localSheetId="11">#REF!</definedName>
    <definedName name="______obl1716" localSheetId="13">#REF!</definedName>
    <definedName name="______obl1716" localSheetId="18">#REF!</definedName>
    <definedName name="______obl1716" localSheetId="29">#REF!</definedName>
    <definedName name="______obl1716" localSheetId="30">#REF!</definedName>
    <definedName name="______obl1716" localSheetId="31">#REF!</definedName>
    <definedName name="______obl1716" localSheetId="38">#REF!</definedName>
    <definedName name="______obl1716">#REF!</definedName>
    <definedName name="______obl1717" localSheetId="10">#REF!</definedName>
    <definedName name="______obl1717" localSheetId="22">#REF!</definedName>
    <definedName name="______obl1717" localSheetId="23">#REF!</definedName>
    <definedName name="______obl1717" localSheetId="21">#REF!</definedName>
    <definedName name="______obl1717" localSheetId="24">#REF!</definedName>
    <definedName name="______obl1717" localSheetId="28">#REF!</definedName>
    <definedName name="______obl1717" localSheetId="26">#REF!</definedName>
    <definedName name="______obl1717" localSheetId="27">#REF!</definedName>
    <definedName name="______obl1717" localSheetId="11">#REF!</definedName>
    <definedName name="______obl1717" localSheetId="13">#REF!</definedName>
    <definedName name="______obl1717" localSheetId="18">#REF!</definedName>
    <definedName name="______obl1717" localSheetId="29">#REF!</definedName>
    <definedName name="______obl1717" localSheetId="30">#REF!</definedName>
    <definedName name="______obl1717" localSheetId="31">#REF!</definedName>
    <definedName name="______obl1717" localSheetId="38">#REF!</definedName>
    <definedName name="______obl1717">#REF!</definedName>
    <definedName name="______obl1718" localSheetId="10">#REF!</definedName>
    <definedName name="______obl1718" localSheetId="22">#REF!</definedName>
    <definedName name="______obl1718" localSheetId="23">#REF!</definedName>
    <definedName name="______obl1718" localSheetId="21">#REF!</definedName>
    <definedName name="______obl1718" localSheetId="24">#REF!</definedName>
    <definedName name="______obl1718" localSheetId="28">#REF!</definedName>
    <definedName name="______obl1718" localSheetId="26">#REF!</definedName>
    <definedName name="______obl1718" localSheetId="27">#REF!</definedName>
    <definedName name="______obl1718" localSheetId="11">#REF!</definedName>
    <definedName name="______obl1718" localSheetId="13">#REF!</definedName>
    <definedName name="______obl1718" localSheetId="18">#REF!</definedName>
    <definedName name="______obl1718" localSheetId="29">#REF!</definedName>
    <definedName name="______obl1718" localSheetId="30">#REF!</definedName>
    <definedName name="______obl1718" localSheetId="31">#REF!</definedName>
    <definedName name="______obl1718" localSheetId="38">#REF!</definedName>
    <definedName name="______obl1718">#REF!</definedName>
    <definedName name="______obl1719" localSheetId="10">#REF!</definedName>
    <definedName name="______obl1719" localSheetId="22">#REF!</definedName>
    <definedName name="______obl1719" localSheetId="23">#REF!</definedName>
    <definedName name="______obl1719" localSheetId="21">#REF!</definedName>
    <definedName name="______obl1719" localSheetId="24">#REF!</definedName>
    <definedName name="______obl1719" localSheetId="28">#REF!</definedName>
    <definedName name="______obl1719" localSheetId="26">#REF!</definedName>
    <definedName name="______obl1719" localSheetId="27">#REF!</definedName>
    <definedName name="______obl1719" localSheetId="11">#REF!</definedName>
    <definedName name="______obl1719" localSheetId="13">#REF!</definedName>
    <definedName name="______obl1719" localSheetId="18">#REF!</definedName>
    <definedName name="______obl1719" localSheetId="29">#REF!</definedName>
    <definedName name="______obl1719" localSheetId="30">#REF!</definedName>
    <definedName name="______obl1719" localSheetId="31">#REF!</definedName>
    <definedName name="______obl1719" localSheetId="38">#REF!</definedName>
    <definedName name="______obl1719">#REF!</definedName>
    <definedName name="______obl173" localSheetId="10">#REF!</definedName>
    <definedName name="______obl173" localSheetId="22">#REF!</definedName>
    <definedName name="______obl173" localSheetId="23">#REF!</definedName>
    <definedName name="______obl173" localSheetId="21">#REF!</definedName>
    <definedName name="______obl173" localSheetId="24">#REF!</definedName>
    <definedName name="______obl173" localSheetId="28">#REF!</definedName>
    <definedName name="______obl173" localSheetId="26">#REF!</definedName>
    <definedName name="______obl173" localSheetId="27">#REF!</definedName>
    <definedName name="______obl173" localSheetId="11">#REF!</definedName>
    <definedName name="______obl173" localSheetId="13">#REF!</definedName>
    <definedName name="______obl173" localSheetId="18">#REF!</definedName>
    <definedName name="______obl173" localSheetId="29">#REF!</definedName>
    <definedName name="______obl173" localSheetId="30">#REF!</definedName>
    <definedName name="______obl173" localSheetId="31">#REF!</definedName>
    <definedName name="______obl173" localSheetId="38">#REF!</definedName>
    <definedName name="______obl173">#REF!</definedName>
    <definedName name="______obl174" localSheetId="10">#REF!</definedName>
    <definedName name="______obl174" localSheetId="22">#REF!</definedName>
    <definedName name="______obl174" localSheetId="23">#REF!</definedName>
    <definedName name="______obl174" localSheetId="21">#REF!</definedName>
    <definedName name="______obl174" localSheetId="24">#REF!</definedName>
    <definedName name="______obl174" localSheetId="28">#REF!</definedName>
    <definedName name="______obl174" localSheetId="26">#REF!</definedName>
    <definedName name="______obl174" localSheetId="27">#REF!</definedName>
    <definedName name="______obl174" localSheetId="11">#REF!</definedName>
    <definedName name="______obl174" localSheetId="13">#REF!</definedName>
    <definedName name="______obl174" localSheetId="18">#REF!</definedName>
    <definedName name="______obl174" localSheetId="29">#REF!</definedName>
    <definedName name="______obl174" localSheetId="30">#REF!</definedName>
    <definedName name="______obl174" localSheetId="31">#REF!</definedName>
    <definedName name="______obl174" localSheetId="38">#REF!</definedName>
    <definedName name="______obl174">#REF!</definedName>
    <definedName name="______obl175" localSheetId="10">#REF!</definedName>
    <definedName name="______obl175" localSheetId="22">#REF!</definedName>
    <definedName name="______obl175" localSheetId="23">#REF!</definedName>
    <definedName name="______obl175" localSheetId="21">#REF!</definedName>
    <definedName name="______obl175" localSheetId="24">#REF!</definedName>
    <definedName name="______obl175" localSheetId="28">#REF!</definedName>
    <definedName name="______obl175" localSheetId="26">#REF!</definedName>
    <definedName name="______obl175" localSheetId="27">#REF!</definedName>
    <definedName name="______obl175" localSheetId="11">#REF!</definedName>
    <definedName name="______obl175" localSheetId="13">#REF!</definedName>
    <definedName name="______obl175" localSheetId="18">#REF!</definedName>
    <definedName name="______obl175" localSheetId="29">#REF!</definedName>
    <definedName name="______obl175" localSheetId="30">#REF!</definedName>
    <definedName name="______obl175" localSheetId="31">#REF!</definedName>
    <definedName name="______obl175" localSheetId="38">#REF!</definedName>
    <definedName name="______obl175">#REF!</definedName>
    <definedName name="______obl176" localSheetId="10">#REF!</definedName>
    <definedName name="______obl176" localSheetId="22">#REF!</definedName>
    <definedName name="______obl176" localSheetId="23">#REF!</definedName>
    <definedName name="______obl176" localSheetId="21">#REF!</definedName>
    <definedName name="______obl176" localSheetId="24">#REF!</definedName>
    <definedName name="______obl176" localSheetId="28">#REF!</definedName>
    <definedName name="______obl176" localSheetId="26">#REF!</definedName>
    <definedName name="______obl176" localSheetId="27">#REF!</definedName>
    <definedName name="______obl176" localSheetId="11">#REF!</definedName>
    <definedName name="______obl176" localSheetId="13">#REF!</definedName>
    <definedName name="______obl176" localSheetId="18">#REF!</definedName>
    <definedName name="______obl176" localSheetId="29">#REF!</definedName>
    <definedName name="______obl176" localSheetId="30">#REF!</definedName>
    <definedName name="______obl176" localSheetId="31">#REF!</definedName>
    <definedName name="______obl176" localSheetId="38">#REF!</definedName>
    <definedName name="______obl176">#REF!</definedName>
    <definedName name="______obl177" localSheetId="10">#REF!</definedName>
    <definedName name="______obl177" localSheetId="22">#REF!</definedName>
    <definedName name="______obl177" localSheetId="23">#REF!</definedName>
    <definedName name="______obl177" localSheetId="21">#REF!</definedName>
    <definedName name="______obl177" localSheetId="24">#REF!</definedName>
    <definedName name="______obl177" localSheetId="28">#REF!</definedName>
    <definedName name="______obl177" localSheetId="26">#REF!</definedName>
    <definedName name="______obl177" localSheetId="27">#REF!</definedName>
    <definedName name="______obl177" localSheetId="11">#REF!</definedName>
    <definedName name="______obl177" localSheetId="13">#REF!</definedName>
    <definedName name="______obl177" localSheetId="18">#REF!</definedName>
    <definedName name="______obl177" localSheetId="29">#REF!</definedName>
    <definedName name="______obl177" localSheetId="30">#REF!</definedName>
    <definedName name="______obl177" localSheetId="31">#REF!</definedName>
    <definedName name="______obl177" localSheetId="38">#REF!</definedName>
    <definedName name="______obl177">#REF!</definedName>
    <definedName name="______obl178" localSheetId="10">#REF!</definedName>
    <definedName name="______obl178" localSheetId="22">#REF!</definedName>
    <definedName name="______obl178" localSheetId="23">#REF!</definedName>
    <definedName name="______obl178" localSheetId="21">#REF!</definedName>
    <definedName name="______obl178" localSheetId="24">#REF!</definedName>
    <definedName name="______obl178" localSheetId="28">#REF!</definedName>
    <definedName name="______obl178" localSheetId="26">#REF!</definedName>
    <definedName name="______obl178" localSheetId="27">#REF!</definedName>
    <definedName name="______obl178" localSheetId="11">#REF!</definedName>
    <definedName name="______obl178" localSheetId="13">#REF!</definedName>
    <definedName name="______obl178" localSheetId="18">#REF!</definedName>
    <definedName name="______obl178" localSheetId="29">#REF!</definedName>
    <definedName name="______obl178" localSheetId="30">#REF!</definedName>
    <definedName name="______obl178" localSheetId="31">#REF!</definedName>
    <definedName name="______obl178" localSheetId="38">#REF!</definedName>
    <definedName name="______obl178">#REF!</definedName>
    <definedName name="______obl179" localSheetId="10">#REF!</definedName>
    <definedName name="______obl179" localSheetId="22">#REF!</definedName>
    <definedName name="______obl179" localSheetId="23">#REF!</definedName>
    <definedName name="______obl179" localSheetId="21">#REF!</definedName>
    <definedName name="______obl179" localSheetId="24">#REF!</definedName>
    <definedName name="______obl179" localSheetId="28">#REF!</definedName>
    <definedName name="______obl179" localSheetId="26">#REF!</definedName>
    <definedName name="______obl179" localSheetId="27">#REF!</definedName>
    <definedName name="______obl179" localSheetId="11">#REF!</definedName>
    <definedName name="______obl179" localSheetId="13">#REF!</definedName>
    <definedName name="______obl179" localSheetId="18">#REF!</definedName>
    <definedName name="______obl179" localSheetId="29">#REF!</definedName>
    <definedName name="______obl179" localSheetId="30">#REF!</definedName>
    <definedName name="______obl179" localSheetId="31">#REF!</definedName>
    <definedName name="______obl179" localSheetId="38">#REF!</definedName>
    <definedName name="______obl179">#REF!</definedName>
    <definedName name="______obl18" localSheetId="10">#REF!</definedName>
    <definedName name="______obl18" localSheetId="22">#REF!</definedName>
    <definedName name="______obl18" localSheetId="23">#REF!</definedName>
    <definedName name="______obl18" localSheetId="21">#REF!</definedName>
    <definedName name="______obl18" localSheetId="24">#REF!</definedName>
    <definedName name="______obl18" localSheetId="28">#REF!</definedName>
    <definedName name="______obl18" localSheetId="26">#REF!</definedName>
    <definedName name="______obl18" localSheetId="27">#REF!</definedName>
    <definedName name="______obl18" localSheetId="11">#REF!</definedName>
    <definedName name="______obl18" localSheetId="13">#REF!</definedName>
    <definedName name="______obl18" localSheetId="18">#REF!</definedName>
    <definedName name="______obl18" localSheetId="29">#REF!</definedName>
    <definedName name="______obl18" localSheetId="30">#REF!</definedName>
    <definedName name="______obl18" localSheetId="31">#REF!</definedName>
    <definedName name="______obl18" localSheetId="38">#REF!</definedName>
    <definedName name="______obl18">#REF!</definedName>
    <definedName name="______obl181" localSheetId="10">#REF!</definedName>
    <definedName name="______obl181" localSheetId="22">#REF!</definedName>
    <definedName name="______obl181" localSheetId="23">#REF!</definedName>
    <definedName name="______obl181" localSheetId="21">#REF!</definedName>
    <definedName name="______obl181" localSheetId="24">#REF!</definedName>
    <definedName name="______obl181" localSheetId="28">#REF!</definedName>
    <definedName name="______obl181" localSheetId="26">#REF!</definedName>
    <definedName name="______obl181" localSheetId="27">#REF!</definedName>
    <definedName name="______obl181" localSheetId="11">#REF!</definedName>
    <definedName name="______obl181" localSheetId="13">#REF!</definedName>
    <definedName name="______obl181" localSheetId="18">#REF!</definedName>
    <definedName name="______obl181" localSheetId="29">#REF!</definedName>
    <definedName name="______obl181" localSheetId="30">#REF!</definedName>
    <definedName name="______obl181" localSheetId="31">#REF!</definedName>
    <definedName name="______obl181" localSheetId="38">#REF!</definedName>
    <definedName name="______obl181">#REF!</definedName>
    <definedName name="______obl1816" localSheetId="10">#REF!</definedName>
    <definedName name="______obl1816" localSheetId="22">#REF!</definedName>
    <definedName name="______obl1816" localSheetId="23">#REF!</definedName>
    <definedName name="______obl1816" localSheetId="21">#REF!</definedName>
    <definedName name="______obl1816" localSheetId="24">#REF!</definedName>
    <definedName name="______obl1816" localSheetId="28">#REF!</definedName>
    <definedName name="______obl1816" localSheetId="26">#REF!</definedName>
    <definedName name="______obl1816" localSheetId="27">#REF!</definedName>
    <definedName name="______obl1816" localSheetId="11">#REF!</definedName>
    <definedName name="______obl1816" localSheetId="13">#REF!</definedName>
    <definedName name="______obl1816" localSheetId="18">#REF!</definedName>
    <definedName name="______obl1816" localSheetId="29">#REF!</definedName>
    <definedName name="______obl1816" localSheetId="30">#REF!</definedName>
    <definedName name="______obl1816" localSheetId="31">#REF!</definedName>
    <definedName name="______obl1816" localSheetId="38">#REF!</definedName>
    <definedName name="______obl1816">#REF!</definedName>
    <definedName name="______obl1820" localSheetId="10">#REF!</definedName>
    <definedName name="______obl1820" localSheetId="22">#REF!</definedName>
    <definedName name="______obl1820" localSheetId="23">#REF!</definedName>
    <definedName name="______obl1820" localSheetId="21">#REF!</definedName>
    <definedName name="______obl1820" localSheetId="24">#REF!</definedName>
    <definedName name="______obl1820" localSheetId="28">#REF!</definedName>
    <definedName name="______obl1820" localSheetId="26">#REF!</definedName>
    <definedName name="______obl1820" localSheetId="27">#REF!</definedName>
    <definedName name="______obl1820" localSheetId="11">#REF!</definedName>
    <definedName name="______obl1820" localSheetId="13">#REF!</definedName>
    <definedName name="______obl1820" localSheetId="18">#REF!</definedName>
    <definedName name="______obl1820" localSheetId="29">#REF!</definedName>
    <definedName name="______obl1820" localSheetId="30">#REF!</definedName>
    <definedName name="______obl1820" localSheetId="31">#REF!</definedName>
    <definedName name="______obl1820" localSheetId="38">#REF!</definedName>
    <definedName name="______obl1820">#REF!</definedName>
    <definedName name="______obl1821" localSheetId="10">#REF!</definedName>
    <definedName name="______obl1821" localSheetId="22">#REF!</definedName>
    <definedName name="______obl1821" localSheetId="23">#REF!</definedName>
    <definedName name="______obl1821" localSheetId="21">#REF!</definedName>
    <definedName name="______obl1821" localSheetId="24">#REF!</definedName>
    <definedName name="______obl1821" localSheetId="28">#REF!</definedName>
    <definedName name="______obl1821" localSheetId="26">#REF!</definedName>
    <definedName name="______obl1821" localSheetId="27">#REF!</definedName>
    <definedName name="______obl1821" localSheetId="11">#REF!</definedName>
    <definedName name="______obl1821" localSheetId="13">#REF!</definedName>
    <definedName name="______obl1821" localSheetId="18">#REF!</definedName>
    <definedName name="______obl1821" localSheetId="29">#REF!</definedName>
    <definedName name="______obl1821" localSheetId="30">#REF!</definedName>
    <definedName name="______obl1821" localSheetId="31">#REF!</definedName>
    <definedName name="______obl1821" localSheetId="38">#REF!</definedName>
    <definedName name="______obl1821">#REF!</definedName>
    <definedName name="______obl1822" localSheetId="10">#REF!</definedName>
    <definedName name="______obl1822" localSheetId="22">#REF!</definedName>
    <definedName name="______obl1822" localSheetId="23">#REF!</definedName>
    <definedName name="______obl1822" localSheetId="21">#REF!</definedName>
    <definedName name="______obl1822" localSheetId="24">#REF!</definedName>
    <definedName name="______obl1822" localSheetId="28">#REF!</definedName>
    <definedName name="______obl1822" localSheetId="26">#REF!</definedName>
    <definedName name="______obl1822" localSheetId="27">#REF!</definedName>
    <definedName name="______obl1822" localSheetId="11">#REF!</definedName>
    <definedName name="______obl1822" localSheetId="13">#REF!</definedName>
    <definedName name="______obl1822" localSheetId="18">#REF!</definedName>
    <definedName name="______obl1822" localSheetId="29">#REF!</definedName>
    <definedName name="______obl1822" localSheetId="30">#REF!</definedName>
    <definedName name="______obl1822" localSheetId="31">#REF!</definedName>
    <definedName name="______obl1822" localSheetId="38">#REF!</definedName>
    <definedName name="______obl1822">#REF!</definedName>
    <definedName name="______obl1823" localSheetId="10">#REF!</definedName>
    <definedName name="______obl1823" localSheetId="22">#REF!</definedName>
    <definedName name="______obl1823" localSheetId="23">#REF!</definedName>
    <definedName name="______obl1823" localSheetId="21">#REF!</definedName>
    <definedName name="______obl1823" localSheetId="24">#REF!</definedName>
    <definedName name="______obl1823" localSheetId="28">#REF!</definedName>
    <definedName name="______obl1823" localSheetId="26">#REF!</definedName>
    <definedName name="______obl1823" localSheetId="27">#REF!</definedName>
    <definedName name="______obl1823" localSheetId="11">#REF!</definedName>
    <definedName name="______obl1823" localSheetId="13">#REF!</definedName>
    <definedName name="______obl1823" localSheetId="18">#REF!</definedName>
    <definedName name="______obl1823" localSheetId="29">#REF!</definedName>
    <definedName name="______obl1823" localSheetId="30">#REF!</definedName>
    <definedName name="______obl1823" localSheetId="31">#REF!</definedName>
    <definedName name="______obl1823" localSheetId="38">#REF!</definedName>
    <definedName name="______obl1823">#REF!</definedName>
    <definedName name="______obl1824" localSheetId="10">#REF!</definedName>
    <definedName name="______obl1824" localSheetId="22">#REF!</definedName>
    <definedName name="______obl1824" localSheetId="23">#REF!</definedName>
    <definedName name="______obl1824" localSheetId="21">#REF!</definedName>
    <definedName name="______obl1824" localSheetId="24">#REF!</definedName>
    <definedName name="______obl1824" localSheetId="28">#REF!</definedName>
    <definedName name="______obl1824" localSheetId="26">#REF!</definedName>
    <definedName name="______obl1824" localSheetId="27">#REF!</definedName>
    <definedName name="______obl1824" localSheetId="11">#REF!</definedName>
    <definedName name="______obl1824" localSheetId="13">#REF!</definedName>
    <definedName name="______obl1824" localSheetId="18">#REF!</definedName>
    <definedName name="______obl1824" localSheetId="29">#REF!</definedName>
    <definedName name="______obl1824" localSheetId="30">#REF!</definedName>
    <definedName name="______obl1824" localSheetId="31">#REF!</definedName>
    <definedName name="______obl1824" localSheetId="38">#REF!</definedName>
    <definedName name="______obl1824">#REF!</definedName>
    <definedName name="______obl1825" localSheetId="10">#REF!</definedName>
    <definedName name="______obl1825" localSheetId="22">#REF!</definedName>
    <definedName name="______obl1825" localSheetId="23">#REF!</definedName>
    <definedName name="______obl1825" localSheetId="21">#REF!</definedName>
    <definedName name="______obl1825" localSheetId="24">#REF!</definedName>
    <definedName name="______obl1825" localSheetId="28">#REF!</definedName>
    <definedName name="______obl1825" localSheetId="26">#REF!</definedName>
    <definedName name="______obl1825" localSheetId="27">#REF!</definedName>
    <definedName name="______obl1825" localSheetId="11">#REF!</definedName>
    <definedName name="______obl1825" localSheetId="13">#REF!</definedName>
    <definedName name="______obl1825" localSheetId="18">#REF!</definedName>
    <definedName name="______obl1825" localSheetId="29">#REF!</definedName>
    <definedName name="______obl1825" localSheetId="30">#REF!</definedName>
    <definedName name="______obl1825" localSheetId="31">#REF!</definedName>
    <definedName name="______obl1825" localSheetId="38">#REF!</definedName>
    <definedName name="______obl1825">#REF!</definedName>
    <definedName name="______obl1826" localSheetId="10">#REF!</definedName>
    <definedName name="______obl1826" localSheetId="22">#REF!</definedName>
    <definedName name="______obl1826" localSheetId="23">#REF!</definedName>
    <definedName name="______obl1826" localSheetId="21">#REF!</definedName>
    <definedName name="______obl1826" localSheetId="24">#REF!</definedName>
    <definedName name="______obl1826" localSheetId="28">#REF!</definedName>
    <definedName name="______obl1826" localSheetId="26">#REF!</definedName>
    <definedName name="______obl1826" localSheetId="27">#REF!</definedName>
    <definedName name="______obl1826" localSheetId="11">#REF!</definedName>
    <definedName name="______obl1826" localSheetId="13">#REF!</definedName>
    <definedName name="______obl1826" localSheetId="18">#REF!</definedName>
    <definedName name="______obl1826" localSheetId="29">#REF!</definedName>
    <definedName name="______obl1826" localSheetId="30">#REF!</definedName>
    <definedName name="______obl1826" localSheetId="31">#REF!</definedName>
    <definedName name="______obl1826" localSheetId="38">#REF!</definedName>
    <definedName name="______obl1826">#REF!</definedName>
    <definedName name="______obl1827" localSheetId="10">#REF!</definedName>
    <definedName name="______obl1827" localSheetId="22">#REF!</definedName>
    <definedName name="______obl1827" localSheetId="23">#REF!</definedName>
    <definedName name="______obl1827" localSheetId="21">#REF!</definedName>
    <definedName name="______obl1827" localSheetId="24">#REF!</definedName>
    <definedName name="______obl1827" localSheetId="28">#REF!</definedName>
    <definedName name="______obl1827" localSheetId="26">#REF!</definedName>
    <definedName name="______obl1827" localSheetId="27">#REF!</definedName>
    <definedName name="______obl1827" localSheetId="11">#REF!</definedName>
    <definedName name="______obl1827" localSheetId="13">#REF!</definedName>
    <definedName name="______obl1827" localSheetId="18">#REF!</definedName>
    <definedName name="______obl1827" localSheetId="29">#REF!</definedName>
    <definedName name="______obl1827" localSheetId="30">#REF!</definedName>
    <definedName name="______obl1827" localSheetId="31">#REF!</definedName>
    <definedName name="______obl1827" localSheetId="38">#REF!</definedName>
    <definedName name="______obl1827">#REF!</definedName>
    <definedName name="______obl1828" localSheetId="10">#REF!</definedName>
    <definedName name="______obl1828" localSheetId="22">#REF!</definedName>
    <definedName name="______obl1828" localSheetId="23">#REF!</definedName>
    <definedName name="______obl1828" localSheetId="21">#REF!</definedName>
    <definedName name="______obl1828" localSheetId="24">#REF!</definedName>
    <definedName name="______obl1828" localSheetId="28">#REF!</definedName>
    <definedName name="______obl1828" localSheetId="26">#REF!</definedName>
    <definedName name="______obl1828" localSheetId="27">#REF!</definedName>
    <definedName name="______obl1828" localSheetId="11">#REF!</definedName>
    <definedName name="______obl1828" localSheetId="13">#REF!</definedName>
    <definedName name="______obl1828" localSheetId="18">#REF!</definedName>
    <definedName name="______obl1828" localSheetId="29">#REF!</definedName>
    <definedName name="______obl1828" localSheetId="30">#REF!</definedName>
    <definedName name="______obl1828" localSheetId="31">#REF!</definedName>
    <definedName name="______obl1828" localSheetId="38">#REF!</definedName>
    <definedName name="______obl1828">#REF!</definedName>
    <definedName name="______obl1829" localSheetId="10">#REF!</definedName>
    <definedName name="______obl1829" localSheetId="22">#REF!</definedName>
    <definedName name="______obl1829" localSheetId="23">#REF!</definedName>
    <definedName name="______obl1829" localSheetId="21">#REF!</definedName>
    <definedName name="______obl1829" localSheetId="24">#REF!</definedName>
    <definedName name="______obl1829" localSheetId="28">#REF!</definedName>
    <definedName name="______obl1829" localSheetId="26">#REF!</definedName>
    <definedName name="______obl1829" localSheetId="27">#REF!</definedName>
    <definedName name="______obl1829" localSheetId="11">#REF!</definedName>
    <definedName name="______obl1829" localSheetId="13">#REF!</definedName>
    <definedName name="______obl1829" localSheetId="18">#REF!</definedName>
    <definedName name="______obl1829" localSheetId="29">#REF!</definedName>
    <definedName name="______obl1829" localSheetId="30">#REF!</definedName>
    <definedName name="______obl1829" localSheetId="31">#REF!</definedName>
    <definedName name="______obl1829" localSheetId="38">#REF!</definedName>
    <definedName name="______obl1829">#REF!</definedName>
    <definedName name="______obl183" localSheetId="10">#REF!</definedName>
    <definedName name="______obl183" localSheetId="22">#REF!</definedName>
    <definedName name="______obl183" localSheetId="23">#REF!</definedName>
    <definedName name="______obl183" localSheetId="21">#REF!</definedName>
    <definedName name="______obl183" localSheetId="24">#REF!</definedName>
    <definedName name="______obl183" localSheetId="28">#REF!</definedName>
    <definedName name="______obl183" localSheetId="26">#REF!</definedName>
    <definedName name="______obl183" localSheetId="27">#REF!</definedName>
    <definedName name="______obl183" localSheetId="11">#REF!</definedName>
    <definedName name="______obl183" localSheetId="13">#REF!</definedName>
    <definedName name="______obl183" localSheetId="18">#REF!</definedName>
    <definedName name="______obl183" localSheetId="29">#REF!</definedName>
    <definedName name="______obl183" localSheetId="30">#REF!</definedName>
    <definedName name="______obl183" localSheetId="31">#REF!</definedName>
    <definedName name="______obl183" localSheetId="38">#REF!</definedName>
    <definedName name="______obl183">#REF!</definedName>
    <definedName name="______obl1831" localSheetId="10">#REF!</definedName>
    <definedName name="______obl1831" localSheetId="22">#REF!</definedName>
    <definedName name="______obl1831" localSheetId="23">#REF!</definedName>
    <definedName name="______obl1831" localSheetId="21">#REF!</definedName>
    <definedName name="______obl1831" localSheetId="24">#REF!</definedName>
    <definedName name="______obl1831" localSheetId="28">#REF!</definedName>
    <definedName name="______obl1831" localSheetId="26">#REF!</definedName>
    <definedName name="______obl1831" localSheetId="27">#REF!</definedName>
    <definedName name="______obl1831" localSheetId="11">#REF!</definedName>
    <definedName name="______obl1831" localSheetId="13">#REF!</definedName>
    <definedName name="______obl1831" localSheetId="18">#REF!</definedName>
    <definedName name="______obl1831" localSheetId="29">#REF!</definedName>
    <definedName name="______obl1831" localSheetId="30">#REF!</definedName>
    <definedName name="______obl1831" localSheetId="31">#REF!</definedName>
    <definedName name="______obl1831" localSheetId="38">#REF!</definedName>
    <definedName name="______obl1831">#REF!</definedName>
    <definedName name="______obl1832" localSheetId="10">#REF!</definedName>
    <definedName name="______obl1832" localSheetId="22">#REF!</definedName>
    <definedName name="______obl1832" localSheetId="23">#REF!</definedName>
    <definedName name="______obl1832" localSheetId="21">#REF!</definedName>
    <definedName name="______obl1832" localSheetId="24">#REF!</definedName>
    <definedName name="______obl1832" localSheetId="28">#REF!</definedName>
    <definedName name="______obl1832" localSheetId="26">#REF!</definedName>
    <definedName name="______obl1832" localSheetId="27">#REF!</definedName>
    <definedName name="______obl1832" localSheetId="11">#REF!</definedName>
    <definedName name="______obl1832" localSheetId="13">#REF!</definedName>
    <definedName name="______obl1832" localSheetId="18">#REF!</definedName>
    <definedName name="______obl1832" localSheetId="29">#REF!</definedName>
    <definedName name="______obl1832" localSheetId="30">#REF!</definedName>
    <definedName name="______obl1832" localSheetId="31">#REF!</definedName>
    <definedName name="______obl1832" localSheetId="38">#REF!</definedName>
    <definedName name="______obl1832">#REF!</definedName>
    <definedName name="______obl184" localSheetId="10">#REF!</definedName>
    <definedName name="______obl184" localSheetId="22">#REF!</definedName>
    <definedName name="______obl184" localSheetId="23">#REF!</definedName>
    <definedName name="______obl184" localSheetId="21">#REF!</definedName>
    <definedName name="______obl184" localSheetId="24">#REF!</definedName>
    <definedName name="______obl184" localSheetId="28">#REF!</definedName>
    <definedName name="______obl184" localSheetId="26">#REF!</definedName>
    <definedName name="______obl184" localSheetId="27">#REF!</definedName>
    <definedName name="______obl184" localSheetId="11">#REF!</definedName>
    <definedName name="______obl184" localSheetId="13">#REF!</definedName>
    <definedName name="______obl184" localSheetId="18">#REF!</definedName>
    <definedName name="______obl184" localSheetId="29">#REF!</definedName>
    <definedName name="______obl184" localSheetId="30">#REF!</definedName>
    <definedName name="______obl184" localSheetId="31">#REF!</definedName>
    <definedName name="______obl184" localSheetId="38">#REF!</definedName>
    <definedName name="______obl184">#REF!</definedName>
    <definedName name="______obl185" localSheetId="10">#REF!</definedName>
    <definedName name="______obl185" localSheetId="22">#REF!</definedName>
    <definedName name="______obl185" localSheetId="23">#REF!</definedName>
    <definedName name="______obl185" localSheetId="21">#REF!</definedName>
    <definedName name="______obl185" localSheetId="24">#REF!</definedName>
    <definedName name="______obl185" localSheetId="28">#REF!</definedName>
    <definedName name="______obl185" localSheetId="26">#REF!</definedName>
    <definedName name="______obl185" localSheetId="27">#REF!</definedName>
    <definedName name="______obl185" localSheetId="11">#REF!</definedName>
    <definedName name="______obl185" localSheetId="13">#REF!</definedName>
    <definedName name="______obl185" localSheetId="18">#REF!</definedName>
    <definedName name="______obl185" localSheetId="29">#REF!</definedName>
    <definedName name="______obl185" localSheetId="30">#REF!</definedName>
    <definedName name="______obl185" localSheetId="31">#REF!</definedName>
    <definedName name="______obl185" localSheetId="38">#REF!</definedName>
    <definedName name="______obl185">#REF!</definedName>
    <definedName name="______obl186" localSheetId="10">#REF!</definedName>
    <definedName name="______obl186" localSheetId="22">#REF!</definedName>
    <definedName name="______obl186" localSheetId="23">#REF!</definedName>
    <definedName name="______obl186" localSheetId="21">#REF!</definedName>
    <definedName name="______obl186" localSheetId="24">#REF!</definedName>
    <definedName name="______obl186" localSheetId="28">#REF!</definedName>
    <definedName name="______obl186" localSheetId="26">#REF!</definedName>
    <definedName name="______obl186" localSheetId="27">#REF!</definedName>
    <definedName name="______obl186" localSheetId="11">#REF!</definedName>
    <definedName name="______obl186" localSheetId="13">#REF!</definedName>
    <definedName name="______obl186" localSheetId="18">#REF!</definedName>
    <definedName name="______obl186" localSheetId="29">#REF!</definedName>
    <definedName name="______obl186" localSheetId="30">#REF!</definedName>
    <definedName name="______obl186" localSheetId="31">#REF!</definedName>
    <definedName name="______obl186" localSheetId="38">#REF!</definedName>
    <definedName name="______obl186">#REF!</definedName>
    <definedName name="______obl187" localSheetId="10">#REF!</definedName>
    <definedName name="______obl187" localSheetId="22">#REF!</definedName>
    <definedName name="______obl187" localSheetId="23">#REF!</definedName>
    <definedName name="______obl187" localSheetId="21">#REF!</definedName>
    <definedName name="______obl187" localSheetId="24">#REF!</definedName>
    <definedName name="______obl187" localSheetId="28">#REF!</definedName>
    <definedName name="______obl187" localSheetId="26">#REF!</definedName>
    <definedName name="______obl187" localSheetId="27">#REF!</definedName>
    <definedName name="______obl187" localSheetId="11">#REF!</definedName>
    <definedName name="______obl187" localSheetId="13">#REF!</definedName>
    <definedName name="______obl187" localSheetId="18">#REF!</definedName>
    <definedName name="______obl187" localSheetId="29">#REF!</definedName>
    <definedName name="______obl187" localSheetId="30">#REF!</definedName>
    <definedName name="______obl187" localSheetId="31">#REF!</definedName>
    <definedName name="______obl187" localSheetId="38">#REF!</definedName>
    <definedName name="______obl187">#REF!</definedName>
    <definedName name="_____obl11" localSheetId="10">#REF!</definedName>
    <definedName name="_____obl11" localSheetId="24">#REF!</definedName>
    <definedName name="_____obl11" localSheetId="11">#REF!</definedName>
    <definedName name="_____obl11" localSheetId="13">#REF!</definedName>
    <definedName name="_____obl11" localSheetId="18">#REF!</definedName>
    <definedName name="_____obl11" localSheetId="29">#REF!</definedName>
    <definedName name="_____obl11" localSheetId="30">#REF!</definedName>
    <definedName name="_____obl11" localSheetId="31">#REF!</definedName>
    <definedName name="_____obl11">#REF!</definedName>
    <definedName name="_____obl12" localSheetId="10">#REF!</definedName>
    <definedName name="_____obl12" localSheetId="24">#REF!</definedName>
    <definedName name="_____obl12" localSheetId="11">#REF!</definedName>
    <definedName name="_____obl12" localSheetId="13">#REF!</definedName>
    <definedName name="_____obl12" localSheetId="18">#REF!</definedName>
    <definedName name="_____obl12" localSheetId="29">#REF!</definedName>
    <definedName name="_____obl12" localSheetId="30">#REF!</definedName>
    <definedName name="_____obl12" localSheetId="31">#REF!</definedName>
    <definedName name="_____obl12">#REF!</definedName>
    <definedName name="_____obl13" localSheetId="10">#REF!</definedName>
    <definedName name="_____obl13" localSheetId="24">#REF!</definedName>
    <definedName name="_____obl13" localSheetId="11">#REF!</definedName>
    <definedName name="_____obl13" localSheetId="13">#REF!</definedName>
    <definedName name="_____obl13" localSheetId="18">#REF!</definedName>
    <definedName name="_____obl13" localSheetId="29">#REF!</definedName>
    <definedName name="_____obl13" localSheetId="30">#REF!</definedName>
    <definedName name="_____obl13" localSheetId="31">#REF!</definedName>
    <definedName name="_____obl13">#REF!</definedName>
    <definedName name="_____obl14" localSheetId="10">#REF!</definedName>
    <definedName name="_____obl14" localSheetId="24">#REF!</definedName>
    <definedName name="_____obl14" localSheetId="11">#REF!</definedName>
    <definedName name="_____obl14" localSheetId="13">#REF!</definedName>
    <definedName name="_____obl14" localSheetId="18">#REF!</definedName>
    <definedName name="_____obl14" localSheetId="29">#REF!</definedName>
    <definedName name="_____obl14" localSheetId="30">#REF!</definedName>
    <definedName name="_____obl14" localSheetId="31">#REF!</definedName>
    <definedName name="_____obl14">#REF!</definedName>
    <definedName name="_____obl15" localSheetId="10">#REF!</definedName>
    <definedName name="_____obl15" localSheetId="24">#REF!</definedName>
    <definedName name="_____obl15" localSheetId="11">#REF!</definedName>
    <definedName name="_____obl15" localSheetId="13">#REF!</definedName>
    <definedName name="_____obl15" localSheetId="18">#REF!</definedName>
    <definedName name="_____obl15" localSheetId="29">#REF!</definedName>
    <definedName name="_____obl15" localSheetId="30">#REF!</definedName>
    <definedName name="_____obl15" localSheetId="31">#REF!</definedName>
    <definedName name="_____obl15">#REF!</definedName>
    <definedName name="_____obl16" localSheetId="10">#REF!</definedName>
    <definedName name="_____obl16" localSheetId="24">#REF!</definedName>
    <definedName name="_____obl16" localSheetId="11">#REF!</definedName>
    <definedName name="_____obl16" localSheetId="13">#REF!</definedName>
    <definedName name="_____obl16" localSheetId="18">#REF!</definedName>
    <definedName name="_____obl16" localSheetId="29">#REF!</definedName>
    <definedName name="_____obl16" localSheetId="30">#REF!</definedName>
    <definedName name="_____obl16" localSheetId="31">#REF!</definedName>
    <definedName name="_____obl16">#REF!</definedName>
    <definedName name="_____obl17" localSheetId="10">#REF!</definedName>
    <definedName name="_____obl17" localSheetId="24">#REF!</definedName>
    <definedName name="_____obl17" localSheetId="11">#REF!</definedName>
    <definedName name="_____obl17" localSheetId="13">#REF!</definedName>
    <definedName name="_____obl17" localSheetId="18">#REF!</definedName>
    <definedName name="_____obl17" localSheetId="29">#REF!</definedName>
    <definedName name="_____obl17" localSheetId="30">#REF!</definedName>
    <definedName name="_____obl17" localSheetId="31">#REF!</definedName>
    <definedName name="_____obl17">#REF!</definedName>
    <definedName name="_____obl1710" localSheetId="10">#REF!</definedName>
    <definedName name="_____obl1710" localSheetId="24">#REF!</definedName>
    <definedName name="_____obl1710" localSheetId="11">#REF!</definedName>
    <definedName name="_____obl1710" localSheetId="13">#REF!</definedName>
    <definedName name="_____obl1710" localSheetId="18">#REF!</definedName>
    <definedName name="_____obl1710" localSheetId="29">#REF!</definedName>
    <definedName name="_____obl1710" localSheetId="30">#REF!</definedName>
    <definedName name="_____obl1710" localSheetId="31">#REF!</definedName>
    <definedName name="_____obl1710">#REF!</definedName>
    <definedName name="_____obl1711" localSheetId="10">#REF!</definedName>
    <definedName name="_____obl1711" localSheetId="24">#REF!</definedName>
    <definedName name="_____obl1711" localSheetId="11">#REF!</definedName>
    <definedName name="_____obl1711" localSheetId="13">#REF!</definedName>
    <definedName name="_____obl1711" localSheetId="18">#REF!</definedName>
    <definedName name="_____obl1711" localSheetId="29">#REF!</definedName>
    <definedName name="_____obl1711" localSheetId="30">#REF!</definedName>
    <definedName name="_____obl1711" localSheetId="31">#REF!</definedName>
    <definedName name="_____obl1711">#REF!</definedName>
    <definedName name="_____obl1712" localSheetId="10">#REF!</definedName>
    <definedName name="_____obl1712" localSheetId="24">#REF!</definedName>
    <definedName name="_____obl1712" localSheetId="11">#REF!</definedName>
    <definedName name="_____obl1712" localSheetId="13">#REF!</definedName>
    <definedName name="_____obl1712" localSheetId="18">#REF!</definedName>
    <definedName name="_____obl1712" localSheetId="29">#REF!</definedName>
    <definedName name="_____obl1712" localSheetId="30">#REF!</definedName>
    <definedName name="_____obl1712" localSheetId="31">#REF!</definedName>
    <definedName name="_____obl1712">#REF!</definedName>
    <definedName name="_____obl1713" localSheetId="10">#REF!</definedName>
    <definedName name="_____obl1713" localSheetId="24">#REF!</definedName>
    <definedName name="_____obl1713" localSheetId="11">#REF!</definedName>
    <definedName name="_____obl1713" localSheetId="13">#REF!</definedName>
    <definedName name="_____obl1713" localSheetId="18">#REF!</definedName>
    <definedName name="_____obl1713" localSheetId="29">#REF!</definedName>
    <definedName name="_____obl1713" localSheetId="30">#REF!</definedName>
    <definedName name="_____obl1713" localSheetId="31">#REF!</definedName>
    <definedName name="_____obl1713">#REF!</definedName>
    <definedName name="_____obl1714" localSheetId="10">#REF!</definedName>
    <definedName name="_____obl1714" localSheetId="24">#REF!</definedName>
    <definedName name="_____obl1714" localSheetId="11">#REF!</definedName>
    <definedName name="_____obl1714" localSheetId="13">#REF!</definedName>
    <definedName name="_____obl1714" localSheetId="18">#REF!</definedName>
    <definedName name="_____obl1714" localSheetId="29">#REF!</definedName>
    <definedName name="_____obl1714" localSheetId="30">#REF!</definedName>
    <definedName name="_____obl1714" localSheetId="31">#REF!</definedName>
    <definedName name="_____obl1714">#REF!</definedName>
    <definedName name="_____obl1715" localSheetId="10">#REF!</definedName>
    <definedName name="_____obl1715" localSheetId="24">#REF!</definedName>
    <definedName name="_____obl1715" localSheetId="11">#REF!</definedName>
    <definedName name="_____obl1715" localSheetId="13">#REF!</definedName>
    <definedName name="_____obl1715" localSheetId="18">#REF!</definedName>
    <definedName name="_____obl1715" localSheetId="29">#REF!</definedName>
    <definedName name="_____obl1715" localSheetId="30">#REF!</definedName>
    <definedName name="_____obl1715" localSheetId="31">#REF!</definedName>
    <definedName name="_____obl1715">#REF!</definedName>
    <definedName name="_____obl1716" localSheetId="10">#REF!</definedName>
    <definedName name="_____obl1716" localSheetId="24">#REF!</definedName>
    <definedName name="_____obl1716" localSheetId="11">#REF!</definedName>
    <definedName name="_____obl1716" localSheetId="13">#REF!</definedName>
    <definedName name="_____obl1716" localSheetId="18">#REF!</definedName>
    <definedName name="_____obl1716" localSheetId="29">#REF!</definedName>
    <definedName name="_____obl1716" localSheetId="30">#REF!</definedName>
    <definedName name="_____obl1716" localSheetId="31">#REF!</definedName>
    <definedName name="_____obl1716">#REF!</definedName>
    <definedName name="_____obl1717" localSheetId="10">#REF!</definedName>
    <definedName name="_____obl1717" localSheetId="24">#REF!</definedName>
    <definedName name="_____obl1717" localSheetId="11">#REF!</definedName>
    <definedName name="_____obl1717" localSheetId="13">#REF!</definedName>
    <definedName name="_____obl1717" localSheetId="18">#REF!</definedName>
    <definedName name="_____obl1717" localSheetId="29">#REF!</definedName>
    <definedName name="_____obl1717" localSheetId="30">#REF!</definedName>
    <definedName name="_____obl1717" localSheetId="31">#REF!</definedName>
    <definedName name="_____obl1717">#REF!</definedName>
    <definedName name="_____obl1718" localSheetId="10">#REF!</definedName>
    <definedName name="_____obl1718" localSheetId="24">#REF!</definedName>
    <definedName name="_____obl1718" localSheetId="11">#REF!</definedName>
    <definedName name="_____obl1718" localSheetId="13">#REF!</definedName>
    <definedName name="_____obl1718" localSheetId="18">#REF!</definedName>
    <definedName name="_____obl1718" localSheetId="29">#REF!</definedName>
    <definedName name="_____obl1718" localSheetId="30">#REF!</definedName>
    <definedName name="_____obl1718" localSheetId="31">#REF!</definedName>
    <definedName name="_____obl1718">#REF!</definedName>
    <definedName name="_____obl1719" localSheetId="10">#REF!</definedName>
    <definedName name="_____obl1719" localSheetId="24">#REF!</definedName>
    <definedName name="_____obl1719" localSheetId="11">#REF!</definedName>
    <definedName name="_____obl1719" localSheetId="13">#REF!</definedName>
    <definedName name="_____obl1719" localSheetId="18">#REF!</definedName>
    <definedName name="_____obl1719" localSheetId="29">#REF!</definedName>
    <definedName name="_____obl1719" localSheetId="30">#REF!</definedName>
    <definedName name="_____obl1719" localSheetId="31">#REF!</definedName>
    <definedName name="_____obl1719">#REF!</definedName>
    <definedName name="_____obl173" localSheetId="10">#REF!</definedName>
    <definedName name="_____obl173" localSheetId="24">#REF!</definedName>
    <definedName name="_____obl173" localSheetId="11">#REF!</definedName>
    <definedName name="_____obl173" localSheetId="13">#REF!</definedName>
    <definedName name="_____obl173" localSheetId="18">#REF!</definedName>
    <definedName name="_____obl173" localSheetId="29">#REF!</definedName>
    <definedName name="_____obl173" localSheetId="30">#REF!</definedName>
    <definedName name="_____obl173" localSheetId="31">#REF!</definedName>
    <definedName name="_____obl173">#REF!</definedName>
    <definedName name="_____obl174" localSheetId="10">#REF!</definedName>
    <definedName name="_____obl174" localSheetId="24">#REF!</definedName>
    <definedName name="_____obl174" localSheetId="11">#REF!</definedName>
    <definedName name="_____obl174" localSheetId="13">#REF!</definedName>
    <definedName name="_____obl174" localSheetId="18">#REF!</definedName>
    <definedName name="_____obl174" localSheetId="29">#REF!</definedName>
    <definedName name="_____obl174" localSheetId="30">#REF!</definedName>
    <definedName name="_____obl174" localSheetId="31">#REF!</definedName>
    <definedName name="_____obl174">#REF!</definedName>
    <definedName name="_____obl175" localSheetId="10">#REF!</definedName>
    <definedName name="_____obl175" localSheetId="24">#REF!</definedName>
    <definedName name="_____obl175" localSheetId="11">#REF!</definedName>
    <definedName name="_____obl175" localSheetId="13">#REF!</definedName>
    <definedName name="_____obl175" localSheetId="18">#REF!</definedName>
    <definedName name="_____obl175" localSheetId="29">#REF!</definedName>
    <definedName name="_____obl175" localSheetId="30">#REF!</definedName>
    <definedName name="_____obl175" localSheetId="31">#REF!</definedName>
    <definedName name="_____obl175">#REF!</definedName>
    <definedName name="_____obl176" localSheetId="10">#REF!</definedName>
    <definedName name="_____obl176" localSheetId="24">#REF!</definedName>
    <definedName name="_____obl176" localSheetId="11">#REF!</definedName>
    <definedName name="_____obl176" localSheetId="13">#REF!</definedName>
    <definedName name="_____obl176" localSheetId="18">#REF!</definedName>
    <definedName name="_____obl176" localSheetId="29">#REF!</definedName>
    <definedName name="_____obl176" localSheetId="30">#REF!</definedName>
    <definedName name="_____obl176" localSheetId="31">#REF!</definedName>
    <definedName name="_____obl176">#REF!</definedName>
    <definedName name="_____obl177" localSheetId="10">#REF!</definedName>
    <definedName name="_____obl177" localSheetId="24">#REF!</definedName>
    <definedName name="_____obl177" localSheetId="11">#REF!</definedName>
    <definedName name="_____obl177" localSheetId="13">#REF!</definedName>
    <definedName name="_____obl177" localSheetId="18">#REF!</definedName>
    <definedName name="_____obl177" localSheetId="29">#REF!</definedName>
    <definedName name="_____obl177" localSheetId="30">#REF!</definedName>
    <definedName name="_____obl177" localSheetId="31">#REF!</definedName>
    <definedName name="_____obl177">#REF!</definedName>
    <definedName name="_____obl178" localSheetId="10">#REF!</definedName>
    <definedName name="_____obl178" localSheetId="24">#REF!</definedName>
    <definedName name="_____obl178" localSheetId="11">#REF!</definedName>
    <definedName name="_____obl178" localSheetId="13">#REF!</definedName>
    <definedName name="_____obl178" localSheetId="18">#REF!</definedName>
    <definedName name="_____obl178" localSheetId="29">#REF!</definedName>
    <definedName name="_____obl178" localSheetId="30">#REF!</definedName>
    <definedName name="_____obl178" localSheetId="31">#REF!</definedName>
    <definedName name="_____obl178">#REF!</definedName>
    <definedName name="_____obl179" localSheetId="10">#REF!</definedName>
    <definedName name="_____obl179" localSheetId="24">#REF!</definedName>
    <definedName name="_____obl179" localSheetId="11">#REF!</definedName>
    <definedName name="_____obl179" localSheetId="13">#REF!</definedName>
    <definedName name="_____obl179" localSheetId="18">#REF!</definedName>
    <definedName name="_____obl179" localSheetId="29">#REF!</definedName>
    <definedName name="_____obl179" localSheetId="30">#REF!</definedName>
    <definedName name="_____obl179" localSheetId="31">#REF!</definedName>
    <definedName name="_____obl179">#REF!</definedName>
    <definedName name="_____obl18" localSheetId="10">#REF!</definedName>
    <definedName name="_____obl18" localSheetId="24">#REF!</definedName>
    <definedName name="_____obl18" localSheetId="11">#REF!</definedName>
    <definedName name="_____obl18" localSheetId="13">#REF!</definedName>
    <definedName name="_____obl18" localSheetId="18">#REF!</definedName>
    <definedName name="_____obl18" localSheetId="29">#REF!</definedName>
    <definedName name="_____obl18" localSheetId="30">#REF!</definedName>
    <definedName name="_____obl18" localSheetId="31">#REF!</definedName>
    <definedName name="_____obl18">#REF!</definedName>
    <definedName name="_____obl181" localSheetId="10">#REF!</definedName>
    <definedName name="_____obl181" localSheetId="24">#REF!</definedName>
    <definedName name="_____obl181" localSheetId="11">#REF!</definedName>
    <definedName name="_____obl181" localSheetId="13">#REF!</definedName>
    <definedName name="_____obl181" localSheetId="18">#REF!</definedName>
    <definedName name="_____obl181" localSheetId="29">#REF!</definedName>
    <definedName name="_____obl181" localSheetId="30">#REF!</definedName>
    <definedName name="_____obl181" localSheetId="31">#REF!</definedName>
    <definedName name="_____obl181">#REF!</definedName>
    <definedName name="_____obl1816" localSheetId="10">#REF!</definedName>
    <definedName name="_____obl1816" localSheetId="24">#REF!</definedName>
    <definedName name="_____obl1816" localSheetId="11">#REF!</definedName>
    <definedName name="_____obl1816" localSheetId="13">#REF!</definedName>
    <definedName name="_____obl1816" localSheetId="18">#REF!</definedName>
    <definedName name="_____obl1816" localSheetId="29">#REF!</definedName>
    <definedName name="_____obl1816" localSheetId="30">#REF!</definedName>
    <definedName name="_____obl1816" localSheetId="31">#REF!</definedName>
    <definedName name="_____obl1816">#REF!</definedName>
    <definedName name="_____obl1820" localSheetId="10">#REF!</definedName>
    <definedName name="_____obl1820" localSheetId="24">#REF!</definedName>
    <definedName name="_____obl1820" localSheetId="11">#REF!</definedName>
    <definedName name="_____obl1820" localSheetId="13">#REF!</definedName>
    <definedName name="_____obl1820" localSheetId="18">#REF!</definedName>
    <definedName name="_____obl1820" localSheetId="29">#REF!</definedName>
    <definedName name="_____obl1820" localSheetId="30">#REF!</definedName>
    <definedName name="_____obl1820" localSheetId="31">#REF!</definedName>
    <definedName name="_____obl1820">#REF!</definedName>
    <definedName name="_____obl1821" localSheetId="10">#REF!</definedName>
    <definedName name="_____obl1821" localSheetId="24">#REF!</definedName>
    <definedName name="_____obl1821" localSheetId="11">#REF!</definedName>
    <definedName name="_____obl1821" localSheetId="13">#REF!</definedName>
    <definedName name="_____obl1821" localSheetId="18">#REF!</definedName>
    <definedName name="_____obl1821" localSheetId="29">#REF!</definedName>
    <definedName name="_____obl1821" localSheetId="30">#REF!</definedName>
    <definedName name="_____obl1821" localSheetId="31">#REF!</definedName>
    <definedName name="_____obl1821">#REF!</definedName>
    <definedName name="_____obl1822" localSheetId="10">#REF!</definedName>
    <definedName name="_____obl1822" localSheetId="24">#REF!</definedName>
    <definedName name="_____obl1822" localSheetId="11">#REF!</definedName>
    <definedName name="_____obl1822" localSheetId="13">#REF!</definedName>
    <definedName name="_____obl1822" localSheetId="18">#REF!</definedName>
    <definedName name="_____obl1822" localSheetId="29">#REF!</definedName>
    <definedName name="_____obl1822" localSheetId="30">#REF!</definedName>
    <definedName name="_____obl1822" localSheetId="31">#REF!</definedName>
    <definedName name="_____obl1822">#REF!</definedName>
    <definedName name="_____obl1823" localSheetId="10">#REF!</definedName>
    <definedName name="_____obl1823" localSheetId="24">#REF!</definedName>
    <definedName name="_____obl1823" localSheetId="11">#REF!</definedName>
    <definedName name="_____obl1823" localSheetId="13">#REF!</definedName>
    <definedName name="_____obl1823" localSheetId="18">#REF!</definedName>
    <definedName name="_____obl1823" localSheetId="29">#REF!</definedName>
    <definedName name="_____obl1823" localSheetId="30">#REF!</definedName>
    <definedName name="_____obl1823" localSheetId="31">#REF!</definedName>
    <definedName name="_____obl1823">#REF!</definedName>
    <definedName name="_____obl1824" localSheetId="10">#REF!</definedName>
    <definedName name="_____obl1824" localSheetId="24">#REF!</definedName>
    <definedName name="_____obl1824" localSheetId="11">#REF!</definedName>
    <definedName name="_____obl1824" localSheetId="13">#REF!</definedName>
    <definedName name="_____obl1824" localSheetId="18">#REF!</definedName>
    <definedName name="_____obl1824" localSheetId="29">#REF!</definedName>
    <definedName name="_____obl1824" localSheetId="30">#REF!</definedName>
    <definedName name="_____obl1824" localSheetId="31">#REF!</definedName>
    <definedName name="_____obl1824">#REF!</definedName>
    <definedName name="_____obl1825" localSheetId="10">#REF!</definedName>
    <definedName name="_____obl1825" localSheetId="24">#REF!</definedName>
    <definedName name="_____obl1825" localSheetId="11">#REF!</definedName>
    <definedName name="_____obl1825" localSheetId="13">#REF!</definedName>
    <definedName name="_____obl1825" localSheetId="18">#REF!</definedName>
    <definedName name="_____obl1825" localSheetId="29">#REF!</definedName>
    <definedName name="_____obl1825" localSheetId="30">#REF!</definedName>
    <definedName name="_____obl1825" localSheetId="31">#REF!</definedName>
    <definedName name="_____obl1825">#REF!</definedName>
    <definedName name="_____obl1826" localSheetId="10">#REF!</definedName>
    <definedName name="_____obl1826" localSheetId="24">#REF!</definedName>
    <definedName name="_____obl1826" localSheetId="11">#REF!</definedName>
    <definedName name="_____obl1826" localSheetId="13">#REF!</definedName>
    <definedName name="_____obl1826" localSheetId="18">#REF!</definedName>
    <definedName name="_____obl1826" localSheetId="29">#REF!</definedName>
    <definedName name="_____obl1826" localSheetId="30">#REF!</definedName>
    <definedName name="_____obl1826" localSheetId="31">#REF!</definedName>
    <definedName name="_____obl1826">#REF!</definedName>
    <definedName name="_____obl1827" localSheetId="10">#REF!</definedName>
    <definedName name="_____obl1827" localSheetId="24">#REF!</definedName>
    <definedName name="_____obl1827" localSheetId="11">#REF!</definedName>
    <definedName name="_____obl1827" localSheetId="13">#REF!</definedName>
    <definedName name="_____obl1827" localSheetId="18">#REF!</definedName>
    <definedName name="_____obl1827" localSheetId="29">#REF!</definedName>
    <definedName name="_____obl1827" localSheetId="30">#REF!</definedName>
    <definedName name="_____obl1827" localSheetId="31">#REF!</definedName>
    <definedName name="_____obl1827">#REF!</definedName>
    <definedName name="_____obl1828" localSheetId="10">#REF!</definedName>
    <definedName name="_____obl1828" localSheetId="24">#REF!</definedName>
    <definedName name="_____obl1828" localSheetId="11">#REF!</definedName>
    <definedName name="_____obl1828" localSheetId="13">#REF!</definedName>
    <definedName name="_____obl1828" localSheetId="18">#REF!</definedName>
    <definedName name="_____obl1828" localSheetId="29">#REF!</definedName>
    <definedName name="_____obl1828" localSheetId="30">#REF!</definedName>
    <definedName name="_____obl1828" localSheetId="31">#REF!</definedName>
    <definedName name="_____obl1828">#REF!</definedName>
    <definedName name="_____obl1829" localSheetId="10">#REF!</definedName>
    <definedName name="_____obl1829" localSheetId="24">#REF!</definedName>
    <definedName name="_____obl1829" localSheetId="11">#REF!</definedName>
    <definedName name="_____obl1829" localSheetId="13">#REF!</definedName>
    <definedName name="_____obl1829" localSheetId="18">#REF!</definedName>
    <definedName name="_____obl1829" localSheetId="29">#REF!</definedName>
    <definedName name="_____obl1829" localSheetId="30">#REF!</definedName>
    <definedName name="_____obl1829" localSheetId="31">#REF!</definedName>
    <definedName name="_____obl1829">#REF!</definedName>
    <definedName name="_____obl183" localSheetId="10">#REF!</definedName>
    <definedName name="_____obl183" localSheetId="24">#REF!</definedName>
    <definedName name="_____obl183" localSheetId="11">#REF!</definedName>
    <definedName name="_____obl183" localSheetId="13">#REF!</definedName>
    <definedName name="_____obl183" localSheetId="18">#REF!</definedName>
    <definedName name="_____obl183" localSheetId="29">#REF!</definedName>
    <definedName name="_____obl183" localSheetId="30">#REF!</definedName>
    <definedName name="_____obl183" localSheetId="31">#REF!</definedName>
    <definedName name="_____obl183">#REF!</definedName>
    <definedName name="_____obl1831" localSheetId="10">#REF!</definedName>
    <definedName name="_____obl1831" localSheetId="24">#REF!</definedName>
    <definedName name="_____obl1831" localSheetId="11">#REF!</definedName>
    <definedName name="_____obl1831" localSheetId="13">#REF!</definedName>
    <definedName name="_____obl1831" localSheetId="18">#REF!</definedName>
    <definedName name="_____obl1831" localSheetId="29">#REF!</definedName>
    <definedName name="_____obl1831" localSheetId="30">#REF!</definedName>
    <definedName name="_____obl1831" localSheetId="31">#REF!</definedName>
    <definedName name="_____obl1831">#REF!</definedName>
    <definedName name="_____obl1832" localSheetId="10">#REF!</definedName>
    <definedName name="_____obl1832" localSheetId="24">#REF!</definedName>
    <definedName name="_____obl1832" localSheetId="11">#REF!</definedName>
    <definedName name="_____obl1832" localSheetId="13">#REF!</definedName>
    <definedName name="_____obl1832" localSheetId="18">#REF!</definedName>
    <definedName name="_____obl1832" localSheetId="29">#REF!</definedName>
    <definedName name="_____obl1832" localSheetId="30">#REF!</definedName>
    <definedName name="_____obl1832" localSheetId="31">#REF!</definedName>
    <definedName name="_____obl1832">#REF!</definedName>
    <definedName name="_____obl184" localSheetId="10">#REF!</definedName>
    <definedName name="_____obl184" localSheetId="24">#REF!</definedName>
    <definedName name="_____obl184" localSheetId="11">#REF!</definedName>
    <definedName name="_____obl184" localSheetId="13">#REF!</definedName>
    <definedName name="_____obl184" localSheetId="18">#REF!</definedName>
    <definedName name="_____obl184" localSheetId="29">#REF!</definedName>
    <definedName name="_____obl184" localSheetId="30">#REF!</definedName>
    <definedName name="_____obl184" localSheetId="31">#REF!</definedName>
    <definedName name="_____obl184">#REF!</definedName>
    <definedName name="_____obl185" localSheetId="10">#REF!</definedName>
    <definedName name="_____obl185" localSheetId="24">#REF!</definedName>
    <definedName name="_____obl185" localSheetId="11">#REF!</definedName>
    <definedName name="_____obl185" localSheetId="13">#REF!</definedName>
    <definedName name="_____obl185" localSheetId="18">#REF!</definedName>
    <definedName name="_____obl185" localSheetId="29">#REF!</definedName>
    <definedName name="_____obl185" localSheetId="30">#REF!</definedName>
    <definedName name="_____obl185" localSheetId="31">#REF!</definedName>
    <definedName name="_____obl185">#REF!</definedName>
    <definedName name="_____obl186" localSheetId="10">#REF!</definedName>
    <definedName name="_____obl186" localSheetId="24">#REF!</definedName>
    <definedName name="_____obl186" localSheetId="11">#REF!</definedName>
    <definedName name="_____obl186" localSheetId="13">#REF!</definedName>
    <definedName name="_____obl186" localSheetId="18">#REF!</definedName>
    <definedName name="_____obl186" localSheetId="29">#REF!</definedName>
    <definedName name="_____obl186" localSheetId="30">#REF!</definedName>
    <definedName name="_____obl186" localSheetId="31">#REF!</definedName>
    <definedName name="_____obl186">#REF!</definedName>
    <definedName name="_____obl187" localSheetId="10">#REF!</definedName>
    <definedName name="_____obl187" localSheetId="24">#REF!</definedName>
    <definedName name="_____obl187" localSheetId="11">#REF!</definedName>
    <definedName name="_____obl187" localSheetId="13">#REF!</definedName>
    <definedName name="_____obl187" localSheetId="18">#REF!</definedName>
    <definedName name="_____obl187" localSheetId="29">#REF!</definedName>
    <definedName name="_____obl187" localSheetId="30">#REF!</definedName>
    <definedName name="_____obl187" localSheetId="31">#REF!</definedName>
    <definedName name="_____obl187">#REF!</definedName>
    <definedName name="____obl11" localSheetId="10">#REF!</definedName>
    <definedName name="____obl11" localSheetId="22">#REF!</definedName>
    <definedName name="____obl11" localSheetId="23">#REF!</definedName>
    <definedName name="____obl11" localSheetId="21">#REF!</definedName>
    <definedName name="____obl11" localSheetId="24">#REF!</definedName>
    <definedName name="____obl11" localSheetId="28">#REF!</definedName>
    <definedName name="____obl11" localSheetId="26">#REF!</definedName>
    <definedName name="____obl11" localSheetId="27">#REF!</definedName>
    <definedName name="____obl11" localSheetId="11">#REF!</definedName>
    <definedName name="____obl11" localSheetId="13">#REF!</definedName>
    <definedName name="____obl11" localSheetId="18">#REF!</definedName>
    <definedName name="____obl11" localSheetId="29">#REF!</definedName>
    <definedName name="____obl11" localSheetId="30">#REF!</definedName>
    <definedName name="____obl11" localSheetId="31">#REF!</definedName>
    <definedName name="____obl11" localSheetId="38">#REF!</definedName>
    <definedName name="____obl11" localSheetId="39">#REF!</definedName>
    <definedName name="____obl11" localSheetId="40">#REF!</definedName>
    <definedName name="____obl11" localSheetId="41">#REF!</definedName>
    <definedName name="____obl11" localSheetId="42">#REF!</definedName>
    <definedName name="____obl11">#REF!</definedName>
    <definedName name="____obl12" localSheetId="10">#REF!</definedName>
    <definedName name="____obl12" localSheetId="22">#REF!</definedName>
    <definedName name="____obl12" localSheetId="23">#REF!</definedName>
    <definedName name="____obl12" localSheetId="21">#REF!</definedName>
    <definedName name="____obl12" localSheetId="24">#REF!</definedName>
    <definedName name="____obl12" localSheetId="28">#REF!</definedName>
    <definedName name="____obl12" localSheetId="26">#REF!</definedName>
    <definedName name="____obl12" localSheetId="27">#REF!</definedName>
    <definedName name="____obl12" localSheetId="11">#REF!</definedName>
    <definedName name="____obl12" localSheetId="13">#REF!</definedName>
    <definedName name="____obl12" localSheetId="18">#REF!</definedName>
    <definedName name="____obl12" localSheetId="29">#REF!</definedName>
    <definedName name="____obl12" localSheetId="30">#REF!</definedName>
    <definedName name="____obl12" localSheetId="31">#REF!</definedName>
    <definedName name="____obl12" localSheetId="38">#REF!</definedName>
    <definedName name="____obl12" localSheetId="39">#REF!</definedName>
    <definedName name="____obl12" localSheetId="40">#REF!</definedName>
    <definedName name="____obl12" localSheetId="41">#REF!</definedName>
    <definedName name="____obl12" localSheetId="42">#REF!</definedName>
    <definedName name="____obl12">#REF!</definedName>
    <definedName name="____obl13" localSheetId="10">#REF!</definedName>
    <definedName name="____obl13" localSheetId="22">#REF!</definedName>
    <definedName name="____obl13" localSheetId="23">#REF!</definedName>
    <definedName name="____obl13" localSheetId="21">#REF!</definedName>
    <definedName name="____obl13" localSheetId="24">#REF!</definedName>
    <definedName name="____obl13" localSheetId="28">#REF!</definedName>
    <definedName name="____obl13" localSheetId="26">#REF!</definedName>
    <definedName name="____obl13" localSheetId="27">#REF!</definedName>
    <definedName name="____obl13" localSheetId="11">#REF!</definedName>
    <definedName name="____obl13" localSheetId="13">#REF!</definedName>
    <definedName name="____obl13" localSheetId="18">#REF!</definedName>
    <definedName name="____obl13" localSheetId="29">#REF!</definedName>
    <definedName name="____obl13" localSheetId="30">#REF!</definedName>
    <definedName name="____obl13" localSheetId="31">#REF!</definedName>
    <definedName name="____obl13" localSheetId="38">#REF!</definedName>
    <definedName name="____obl13" localSheetId="39">#REF!</definedName>
    <definedName name="____obl13" localSheetId="40">#REF!</definedName>
    <definedName name="____obl13" localSheetId="41">#REF!</definedName>
    <definedName name="____obl13" localSheetId="42">#REF!</definedName>
    <definedName name="____obl13">#REF!</definedName>
    <definedName name="____obl14" localSheetId="10">#REF!</definedName>
    <definedName name="____obl14" localSheetId="22">#REF!</definedName>
    <definedName name="____obl14" localSheetId="23">#REF!</definedName>
    <definedName name="____obl14" localSheetId="21">#REF!</definedName>
    <definedName name="____obl14" localSheetId="24">#REF!</definedName>
    <definedName name="____obl14" localSheetId="28">#REF!</definedName>
    <definedName name="____obl14" localSheetId="26">#REF!</definedName>
    <definedName name="____obl14" localSheetId="27">#REF!</definedName>
    <definedName name="____obl14" localSheetId="11">#REF!</definedName>
    <definedName name="____obl14" localSheetId="13">#REF!</definedName>
    <definedName name="____obl14" localSheetId="18">#REF!</definedName>
    <definedName name="____obl14" localSheetId="29">#REF!</definedName>
    <definedName name="____obl14" localSheetId="30">#REF!</definedName>
    <definedName name="____obl14" localSheetId="31">#REF!</definedName>
    <definedName name="____obl14" localSheetId="38">#REF!</definedName>
    <definedName name="____obl14" localSheetId="39">#REF!</definedName>
    <definedName name="____obl14" localSheetId="40">#REF!</definedName>
    <definedName name="____obl14" localSheetId="41">#REF!</definedName>
    <definedName name="____obl14">#REF!</definedName>
    <definedName name="____obl15" localSheetId="10">#REF!</definedName>
    <definedName name="____obl15" localSheetId="22">#REF!</definedName>
    <definedName name="____obl15" localSheetId="23">#REF!</definedName>
    <definedName name="____obl15" localSheetId="21">#REF!</definedName>
    <definedName name="____obl15" localSheetId="24">#REF!</definedName>
    <definedName name="____obl15" localSheetId="28">#REF!</definedName>
    <definedName name="____obl15" localSheetId="26">#REF!</definedName>
    <definedName name="____obl15" localSheetId="27">#REF!</definedName>
    <definedName name="____obl15" localSheetId="11">#REF!</definedName>
    <definedName name="____obl15" localSheetId="13">#REF!</definedName>
    <definedName name="____obl15" localSheetId="18">#REF!</definedName>
    <definedName name="____obl15" localSheetId="29">#REF!</definedName>
    <definedName name="____obl15" localSheetId="30">#REF!</definedName>
    <definedName name="____obl15" localSheetId="31">#REF!</definedName>
    <definedName name="____obl15" localSheetId="38">#REF!</definedName>
    <definedName name="____obl15" localSheetId="39">#REF!</definedName>
    <definedName name="____obl15" localSheetId="40">#REF!</definedName>
    <definedName name="____obl15" localSheetId="41">#REF!</definedName>
    <definedName name="____obl15">#REF!</definedName>
    <definedName name="____obl16" localSheetId="10">#REF!</definedName>
    <definedName name="____obl16" localSheetId="22">#REF!</definedName>
    <definedName name="____obl16" localSheetId="23">#REF!</definedName>
    <definedName name="____obl16" localSheetId="21">#REF!</definedName>
    <definedName name="____obl16" localSheetId="24">#REF!</definedName>
    <definedName name="____obl16" localSheetId="28">#REF!</definedName>
    <definedName name="____obl16" localSheetId="26">#REF!</definedName>
    <definedName name="____obl16" localSheetId="27">#REF!</definedName>
    <definedName name="____obl16" localSheetId="11">#REF!</definedName>
    <definedName name="____obl16" localSheetId="13">#REF!</definedName>
    <definedName name="____obl16" localSheetId="18">#REF!</definedName>
    <definedName name="____obl16" localSheetId="29">#REF!</definedName>
    <definedName name="____obl16" localSheetId="30">#REF!</definedName>
    <definedName name="____obl16" localSheetId="31">#REF!</definedName>
    <definedName name="____obl16" localSheetId="38">#REF!</definedName>
    <definedName name="____obl16" localSheetId="39">#REF!</definedName>
    <definedName name="____obl16" localSheetId="40">#REF!</definedName>
    <definedName name="____obl16" localSheetId="41">#REF!</definedName>
    <definedName name="____obl16">#REF!</definedName>
    <definedName name="____obl17" localSheetId="10">#REF!</definedName>
    <definedName name="____obl17" localSheetId="22">#REF!</definedName>
    <definedName name="____obl17" localSheetId="23">#REF!</definedName>
    <definedName name="____obl17" localSheetId="21">#REF!</definedName>
    <definedName name="____obl17" localSheetId="24">#REF!</definedName>
    <definedName name="____obl17" localSheetId="28">#REF!</definedName>
    <definedName name="____obl17" localSheetId="26">#REF!</definedName>
    <definedName name="____obl17" localSheetId="27">#REF!</definedName>
    <definedName name="____obl17" localSheetId="11">#REF!</definedName>
    <definedName name="____obl17" localSheetId="13">#REF!</definedName>
    <definedName name="____obl17" localSheetId="18">#REF!</definedName>
    <definedName name="____obl17" localSheetId="29">#REF!</definedName>
    <definedName name="____obl17" localSheetId="30">#REF!</definedName>
    <definedName name="____obl17" localSheetId="31">#REF!</definedName>
    <definedName name="____obl17" localSheetId="38">#REF!</definedName>
    <definedName name="____obl17" localSheetId="39">#REF!</definedName>
    <definedName name="____obl17" localSheetId="40">#REF!</definedName>
    <definedName name="____obl17" localSheetId="41">#REF!</definedName>
    <definedName name="____obl17">#REF!</definedName>
    <definedName name="____obl1710" localSheetId="10">#REF!</definedName>
    <definedName name="____obl1710" localSheetId="22">#REF!</definedName>
    <definedName name="____obl1710" localSheetId="23">#REF!</definedName>
    <definedName name="____obl1710" localSheetId="21">#REF!</definedName>
    <definedName name="____obl1710" localSheetId="24">#REF!</definedName>
    <definedName name="____obl1710" localSheetId="28">#REF!</definedName>
    <definedName name="____obl1710" localSheetId="26">#REF!</definedName>
    <definedName name="____obl1710" localSheetId="27">#REF!</definedName>
    <definedName name="____obl1710" localSheetId="11">#REF!</definedName>
    <definedName name="____obl1710" localSheetId="13">#REF!</definedName>
    <definedName name="____obl1710" localSheetId="18">#REF!</definedName>
    <definedName name="____obl1710" localSheetId="29">#REF!</definedName>
    <definedName name="____obl1710" localSheetId="30">#REF!</definedName>
    <definedName name="____obl1710" localSheetId="31">#REF!</definedName>
    <definedName name="____obl1710" localSheetId="38">#REF!</definedName>
    <definedName name="____obl1710" localSheetId="39">#REF!</definedName>
    <definedName name="____obl1710" localSheetId="40">#REF!</definedName>
    <definedName name="____obl1710" localSheetId="41">#REF!</definedName>
    <definedName name="____obl1710">#REF!</definedName>
    <definedName name="____obl1711" localSheetId="10">#REF!</definedName>
    <definedName name="____obl1711" localSheetId="22">#REF!</definedName>
    <definedName name="____obl1711" localSheetId="23">#REF!</definedName>
    <definedName name="____obl1711" localSheetId="21">#REF!</definedName>
    <definedName name="____obl1711" localSheetId="24">#REF!</definedName>
    <definedName name="____obl1711" localSheetId="28">#REF!</definedName>
    <definedName name="____obl1711" localSheetId="26">#REF!</definedName>
    <definedName name="____obl1711" localSheetId="27">#REF!</definedName>
    <definedName name="____obl1711" localSheetId="11">#REF!</definedName>
    <definedName name="____obl1711" localSheetId="13">#REF!</definedName>
    <definedName name="____obl1711" localSheetId="18">#REF!</definedName>
    <definedName name="____obl1711" localSheetId="29">#REF!</definedName>
    <definedName name="____obl1711" localSheetId="30">#REF!</definedName>
    <definedName name="____obl1711" localSheetId="31">#REF!</definedName>
    <definedName name="____obl1711" localSheetId="38">#REF!</definedName>
    <definedName name="____obl1711" localSheetId="39">#REF!</definedName>
    <definedName name="____obl1711" localSheetId="40">#REF!</definedName>
    <definedName name="____obl1711" localSheetId="41">#REF!</definedName>
    <definedName name="____obl1711">#REF!</definedName>
    <definedName name="____obl1712" localSheetId="10">#REF!</definedName>
    <definedName name="____obl1712" localSheetId="22">#REF!</definedName>
    <definedName name="____obl1712" localSheetId="23">#REF!</definedName>
    <definedName name="____obl1712" localSheetId="21">#REF!</definedName>
    <definedName name="____obl1712" localSheetId="24">#REF!</definedName>
    <definedName name="____obl1712" localSheetId="28">#REF!</definedName>
    <definedName name="____obl1712" localSheetId="26">#REF!</definedName>
    <definedName name="____obl1712" localSheetId="27">#REF!</definedName>
    <definedName name="____obl1712" localSheetId="11">#REF!</definedName>
    <definedName name="____obl1712" localSheetId="13">#REF!</definedName>
    <definedName name="____obl1712" localSheetId="18">#REF!</definedName>
    <definedName name="____obl1712" localSheetId="29">#REF!</definedName>
    <definedName name="____obl1712" localSheetId="30">#REF!</definedName>
    <definedName name="____obl1712" localSheetId="31">#REF!</definedName>
    <definedName name="____obl1712" localSheetId="38">#REF!</definedName>
    <definedName name="____obl1712" localSheetId="39">#REF!</definedName>
    <definedName name="____obl1712" localSheetId="40">#REF!</definedName>
    <definedName name="____obl1712" localSheetId="41">#REF!</definedName>
    <definedName name="____obl1712">#REF!</definedName>
    <definedName name="____obl1713" localSheetId="10">#REF!</definedName>
    <definedName name="____obl1713" localSheetId="22">#REF!</definedName>
    <definedName name="____obl1713" localSheetId="23">#REF!</definedName>
    <definedName name="____obl1713" localSheetId="21">#REF!</definedName>
    <definedName name="____obl1713" localSheetId="24">#REF!</definedName>
    <definedName name="____obl1713" localSheetId="28">#REF!</definedName>
    <definedName name="____obl1713" localSheetId="26">#REF!</definedName>
    <definedName name="____obl1713" localSheetId="27">#REF!</definedName>
    <definedName name="____obl1713" localSheetId="11">#REF!</definedName>
    <definedName name="____obl1713" localSheetId="13">#REF!</definedName>
    <definedName name="____obl1713" localSheetId="18">#REF!</definedName>
    <definedName name="____obl1713" localSheetId="29">#REF!</definedName>
    <definedName name="____obl1713" localSheetId="30">#REF!</definedName>
    <definedName name="____obl1713" localSheetId="31">#REF!</definedName>
    <definedName name="____obl1713" localSheetId="38">#REF!</definedName>
    <definedName name="____obl1713" localSheetId="39">#REF!</definedName>
    <definedName name="____obl1713" localSheetId="40">#REF!</definedName>
    <definedName name="____obl1713" localSheetId="41">#REF!</definedName>
    <definedName name="____obl1713">#REF!</definedName>
    <definedName name="____obl1714" localSheetId="10">#REF!</definedName>
    <definedName name="____obl1714" localSheetId="22">#REF!</definedName>
    <definedName name="____obl1714" localSheetId="23">#REF!</definedName>
    <definedName name="____obl1714" localSheetId="21">#REF!</definedName>
    <definedName name="____obl1714" localSheetId="24">#REF!</definedName>
    <definedName name="____obl1714" localSheetId="28">#REF!</definedName>
    <definedName name="____obl1714" localSheetId="26">#REF!</definedName>
    <definedName name="____obl1714" localSheetId="27">#REF!</definedName>
    <definedName name="____obl1714" localSheetId="11">#REF!</definedName>
    <definedName name="____obl1714" localSheetId="13">#REF!</definedName>
    <definedName name="____obl1714" localSheetId="18">#REF!</definedName>
    <definedName name="____obl1714" localSheetId="29">#REF!</definedName>
    <definedName name="____obl1714" localSheetId="30">#REF!</definedName>
    <definedName name="____obl1714" localSheetId="31">#REF!</definedName>
    <definedName name="____obl1714" localSheetId="38">#REF!</definedName>
    <definedName name="____obl1714" localSheetId="39">#REF!</definedName>
    <definedName name="____obl1714" localSheetId="40">#REF!</definedName>
    <definedName name="____obl1714" localSheetId="41">#REF!</definedName>
    <definedName name="____obl1714">#REF!</definedName>
    <definedName name="____obl1715" localSheetId="10">#REF!</definedName>
    <definedName name="____obl1715" localSheetId="22">#REF!</definedName>
    <definedName name="____obl1715" localSheetId="23">#REF!</definedName>
    <definedName name="____obl1715" localSheetId="21">#REF!</definedName>
    <definedName name="____obl1715" localSheetId="24">#REF!</definedName>
    <definedName name="____obl1715" localSheetId="28">#REF!</definedName>
    <definedName name="____obl1715" localSheetId="26">#REF!</definedName>
    <definedName name="____obl1715" localSheetId="27">#REF!</definedName>
    <definedName name="____obl1715" localSheetId="11">#REF!</definedName>
    <definedName name="____obl1715" localSheetId="13">#REF!</definedName>
    <definedName name="____obl1715" localSheetId="18">#REF!</definedName>
    <definedName name="____obl1715" localSheetId="29">#REF!</definedName>
    <definedName name="____obl1715" localSheetId="30">#REF!</definedName>
    <definedName name="____obl1715" localSheetId="31">#REF!</definedName>
    <definedName name="____obl1715" localSheetId="38">#REF!</definedName>
    <definedName name="____obl1715" localSheetId="39">#REF!</definedName>
    <definedName name="____obl1715" localSheetId="40">#REF!</definedName>
    <definedName name="____obl1715" localSheetId="41">#REF!</definedName>
    <definedName name="____obl1715">#REF!</definedName>
    <definedName name="____obl1716" localSheetId="10">#REF!</definedName>
    <definedName name="____obl1716" localSheetId="22">#REF!</definedName>
    <definedName name="____obl1716" localSheetId="23">#REF!</definedName>
    <definedName name="____obl1716" localSheetId="21">#REF!</definedName>
    <definedName name="____obl1716" localSheetId="24">#REF!</definedName>
    <definedName name="____obl1716" localSheetId="28">#REF!</definedName>
    <definedName name="____obl1716" localSheetId="26">#REF!</definedName>
    <definedName name="____obl1716" localSheetId="27">#REF!</definedName>
    <definedName name="____obl1716" localSheetId="11">#REF!</definedName>
    <definedName name="____obl1716" localSheetId="13">#REF!</definedName>
    <definedName name="____obl1716" localSheetId="18">#REF!</definedName>
    <definedName name="____obl1716" localSheetId="29">#REF!</definedName>
    <definedName name="____obl1716" localSheetId="30">#REF!</definedName>
    <definedName name="____obl1716" localSheetId="31">#REF!</definedName>
    <definedName name="____obl1716" localSheetId="38">#REF!</definedName>
    <definedName name="____obl1716" localSheetId="39">#REF!</definedName>
    <definedName name="____obl1716" localSheetId="40">#REF!</definedName>
    <definedName name="____obl1716" localSheetId="41">#REF!</definedName>
    <definedName name="____obl1716">#REF!</definedName>
    <definedName name="____obl1717" localSheetId="10">#REF!</definedName>
    <definedName name="____obl1717" localSheetId="22">#REF!</definedName>
    <definedName name="____obl1717" localSheetId="23">#REF!</definedName>
    <definedName name="____obl1717" localSheetId="21">#REF!</definedName>
    <definedName name="____obl1717" localSheetId="24">#REF!</definedName>
    <definedName name="____obl1717" localSheetId="28">#REF!</definedName>
    <definedName name="____obl1717" localSheetId="26">#REF!</definedName>
    <definedName name="____obl1717" localSheetId="27">#REF!</definedName>
    <definedName name="____obl1717" localSheetId="11">#REF!</definedName>
    <definedName name="____obl1717" localSheetId="13">#REF!</definedName>
    <definedName name="____obl1717" localSheetId="18">#REF!</definedName>
    <definedName name="____obl1717" localSheetId="29">#REF!</definedName>
    <definedName name="____obl1717" localSheetId="30">#REF!</definedName>
    <definedName name="____obl1717" localSheetId="31">#REF!</definedName>
    <definedName name="____obl1717" localSheetId="38">#REF!</definedName>
    <definedName name="____obl1717" localSheetId="39">#REF!</definedName>
    <definedName name="____obl1717" localSheetId="40">#REF!</definedName>
    <definedName name="____obl1717" localSheetId="41">#REF!</definedName>
    <definedName name="____obl1717">#REF!</definedName>
    <definedName name="____obl1718" localSheetId="10">#REF!</definedName>
    <definedName name="____obl1718" localSheetId="22">#REF!</definedName>
    <definedName name="____obl1718" localSheetId="23">#REF!</definedName>
    <definedName name="____obl1718" localSheetId="21">#REF!</definedName>
    <definedName name="____obl1718" localSheetId="24">#REF!</definedName>
    <definedName name="____obl1718" localSheetId="28">#REF!</definedName>
    <definedName name="____obl1718" localSheetId="26">#REF!</definedName>
    <definedName name="____obl1718" localSheetId="27">#REF!</definedName>
    <definedName name="____obl1718" localSheetId="11">#REF!</definedName>
    <definedName name="____obl1718" localSheetId="13">#REF!</definedName>
    <definedName name="____obl1718" localSheetId="18">#REF!</definedName>
    <definedName name="____obl1718" localSheetId="29">#REF!</definedName>
    <definedName name="____obl1718" localSheetId="30">#REF!</definedName>
    <definedName name="____obl1718" localSheetId="31">#REF!</definedName>
    <definedName name="____obl1718" localSheetId="38">#REF!</definedName>
    <definedName name="____obl1718" localSheetId="39">#REF!</definedName>
    <definedName name="____obl1718" localSheetId="40">#REF!</definedName>
    <definedName name="____obl1718" localSheetId="41">#REF!</definedName>
    <definedName name="____obl1718">#REF!</definedName>
    <definedName name="____obl1719" localSheetId="10">#REF!</definedName>
    <definedName name="____obl1719" localSheetId="22">#REF!</definedName>
    <definedName name="____obl1719" localSheetId="23">#REF!</definedName>
    <definedName name="____obl1719" localSheetId="21">#REF!</definedName>
    <definedName name="____obl1719" localSheetId="24">#REF!</definedName>
    <definedName name="____obl1719" localSheetId="28">#REF!</definedName>
    <definedName name="____obl1719" localSheetId="26">#REF!</definedName>
    <definedName name="____obl1719" localSheetId="27">#REF!</definedName>
    <definedName name="____obl1719" localSheetId="11">#REF!</definedName>
    <definedName name="____obl1719" localSheetId="13">#REF!</definedName>
    <definedName name="____obl1719" localSheetId="18">#REF!</definedName>
    <definedName name="____obl1719" localSheetId="29">#REF!</definedName>
    <definedName name="____obl1719" localSheetId="30">#REF!</definedName>
    <definedName name="____obl1719" localSheetId="31">#REF!</definedName>
    <definedName name="____obl1719" localSheetId="38">#REF!</definedName>
    <definedName name="____obl1719" localSheetId="39">#REF!</definedName>
    <definedName name="____obl1719" localSheetId="40">#REF!</definedName>
    <definedName name="____obl1719" localSheetId="41">#REF!</definedName>
    <definedName name="____obl1719">#REF!</definedName>
    <definedName name="____obl173" localSheetId="10">#REF!</definedName>
    <definedName name="____obl173" localSheetId="22">#REF!</definedName>
    <definedName name="____obl173" localSheetId="23">#REF!</definedName>
    <definedName name="____obl173" localSheetId="21">#REF!</definedName>
    <definedName name="____obl173" localSheetId="24">#REF!</definedName>
    <definedName name="____obl173" localSheetId="28">#REF!</definedName>
    <definedName name="____obl173" localSheetId="26">#REF!</definedName>
    <definedName name="____obl173" localSheetId="27">#REF!</definedName>
    <definedName name="____obl173" localSheetId="11">#REF!</definedName>
    <definedName name="____obl173" localSheetId="13">#REF!</definedName>
    <definedName name="____obl173" localSheetId="18">#REF!</definedName>
    <definedName name="____obl173" localSheetId="29">#REF!</definedName>
    <definedName name="____obl173" localSheetId="30">#REF!</definedName>
    <definedName name="____obl173" localSheetId="31">#REF!</definedName>
    <definedName name="____obl173" localSheetId="38">#REF!</definedName>
    <definedName name="____obl173" localSheetId="39">#REF!</definedName>
    <definedName name="____obl173" localSheetId="40">#REF!</definedName>
    <definedName name="____obl173" localSheetId="41">#REF!</definedName>
    <definedName name="____obl173">#REF!</definedName>
    <definedName name="____obl174" localSheetId="10">#REF!</definedName>
    <definedName name="____obl174" localSheetId="22">#REF!</definedName>
    <definedName name="____obl174" localSheetId="23">#REF!</definedName>
    <definedName name="____obl174" localSheetId="21">#REF!</definedName>
    <definedName name="____obl174" localSheetId="24">#REF!</definedName>
    <definedName name="____obl174" localSheetId="28">#REF!</definedName>
    <definedName name="____obl174" localSheetId="26">#REF!</definedName>
    <definedName name="____obl174" localSheetId="27">#REF!</definedName>
    <definedName name="____obl174" localSheetId="11">#REF!</definedName>
    <definedName name="____obl174" localSheetId="13">#REF!</definedName>
    <definedName name="____obl174" localSheetId="18">#REF!</definedName>
    <definedName name="____obl174" localSheetId="29">#REF!</definedName>
    <definedName name="____obl174" localSheetId="30">#REF!</definedName>
    <definedName name="____obl174" localSheetId="31">#REF!</definedName>
    <definedName name="____obl174" localSheetId="38">#REF!</definedName>
    <definedName name="____obl174" localSheetId="39">#REF!</definedName>
    <definedName name="____obl174" localSheetId="40">#REF!</definedName>
    <definedName name="____obl174" localSheetId="41">#REF!</definedName>
    <definedName name="____obl174">#REF!</definedName>
    <definedName name="____obl175" localSheetId="10">#REF!</definedName>
    <definedName name="____obl175" localSheetId="22">#REF!</definedName>
    <definedName name="____obl175" localSheetId="23">#REF!</definedName>
    <definedName name="____obl175" localSheetId="21">#REF!</definedName>
    <definedName name="____obl175" localSheetId="24">#REF!</definedName>
    <definedName name="____obl175" localSheetId="28">#REF!</definedName>
    <definedName name="____obl175" localSheetId="26">#REF!</definedName>
    <definedName name="____obl175" localSheetId="27">#REF!</definedName>
    <definedName name="____obl175" localSheetId="11">#REF!</definedName>
    <definedName name="____obl175" localSheetId="13">#REF!</definedName>
    <definedName name="____obl175" localSheetId="18">#REF!</definedName>
    <definedName name="____obl175" localSheetId="29">#REF!</definedName>
    <definedName name="____obl175" localSheetId="30">#REF!</definedName>
    <definedName name="____obl175" localSheetId="31">#REF!</definedName>
    <definedName name="____obl175" localSheetId="38">#REF!</definedName>
    <definedName name="____obl175" localSheetId="39">#REF!</definedName>
    <definedName name="____obl175" localSheetId="40">#REF!</definedName>
    <definedName name="____obl175" localSheetId="41">#REF!</definedName>
    <definedName name="____obl175">#REF!</definedName>
    <definedName name="____obl176" localSheetId="10">#REF!</definedName>
    <definedName name="____obl176" localSheetId="22">#REF!</definedName>
    <definedName name="____obl176" localSheetId="23">#REF!</definedName>
    <definedName name="____obl176" localSheetId="21">#REF!</definedName>
    <definedName name="____obl176" localSheetId="24">#REF!</definedName>
    <definedName name="____obl176" localSheetId="28">#REF!</definedName>
    <definedName name="____obl176" localSheetId="26">#REF!</definedName>
    <definedName name="____obl176" localSheetId="27">#REF!</definedName>
    <definedName name="____obl176" localSheetId="11">#REF!</definedName>
    <definedName name="____obl176" localSheetId="13">#REF!</definedName>
    <definedName name="____obl176" localSheetId="18">#REF!</definedName>
    <definedName name="____obl176" localSheetId="29">#REF!</definedName>
    <definedName name="____obl176" localSheetId="30">#REF!</definedName>
    <definedName name="____obl176" localSheetId="31">#REF!</definedName>
    <definedName name="____obl176" localSheetId="38">#REF!</definedName>
    <definedName name="____obl176" localSheetId="39">#REF!</definedName>
    <definedName name="____obl176" localSheetId="40">#REF!</definedName>
    <definedName name="____obl176" localSheetId="41">#REF!</definedName>
    <definedName name="____obl176">#REF!</definedName>
    <definedName name="____obl177" localSheetId="10">#REF!</definedName>
    <definedName name="____obl177" localSheetId="22">#REF!</definedName>
    <definedName name="____obl177" localSheetId="23">#REF!</definedName>
    <definedName name="____obl177" localSheetId="21">#REF!</definedName>
    <definedName name="____obl177" localSheetId="24">#REF!</definedName>
    <definedName name="____obl177" localSheetId="28">#REF!</definedName>
    <definedName name="____obl177" localSheetId="26">#REF!</definedName>
    <definedName name="____obl177" localSheetId="27">#REF!</definedName>
    <definedName name="____obl177" localSheetId="11">#REF!</definedName>
    <definedName name="____obl177" localSheetId="13">#REF!</definedName>
    <definedName name="____obl177" localSheetId="18">#REF!</definedName>
    <definedName name="____obl177" localSheetId="29">#REF!</definedName>
    <definedName name="____obl177" localSheetId="30">#REF!</definedName>
    <definedName name="____obl177" localSheetId="31">#REF!</definedName>
    <definedName name="____obl177" localSheetId="38">#REF!</definedName>
    <definedName name="____obl177" localSheetId="39">#REF!</definedName>
    <definedName name="____obl177" localSheetId="40">#REF!</definedName>
    <definedName name="____obl177" localSheetId="41">#REF!</definedName>
    <definedName name="____obl177">#REF!</definedName>
    <definedName name="____obl178" localSheetId="10">#REF!</definedName>
    <definedName name="____obl178" localSheetId="22">#REF!</definedName>
    <definedName name="____obl178" localSheetId="23">#REF!</definedName>
    <definedName name="____obl178" localSheetId="21">#REF!</definedName>
    <definedName name="____obl178" localSheetId="24">#REF!</definedName>
    <definedName name="____obl178" localSheetId="28">#REF!</definedName>
    <definedName name="____obl178" localSheetId="26">#REF!</definedName>
    <definedName name="____obl178" localSheetId="27">#REF!</definedName>
    <definedName name="____obl178" localSheetId="11">#REF!</definedName>
    <definedName name="____obl178" localSheetId="13">#REF!</definedName>
    <definedName name="____obl178" localSheetId="18">#REF!</definedName>
    <definedName name="____obl178" localSheetId="29">#REF!</definedName>
    <definedName name="____obl178" localSheetId="30">#REF!</definedName>
    <definedName name="____obl178" localSheetId="31">#REF!</definedName>
    <definedName name="____obl178" localSheetId="38">#REF!</definedName>
    <definedName name="____obl178" localSheetId="39">#REF!</definedName>
    <definedName name="____obl178" localSheetId="40">#REF!</definedName>
    <definedName name="____obl178" localSheetId="41">#REF!</definedName>
    <definedName name="____obl178">#REF!</definedName>
    <definedName name="____obl179" localSheetId="10">#REF!</definedName>
    <definedName name="____obl179" localSheetId="22">#REF!</definedName>
    <definedName name="____obl179" localSheetId="23">#REF!</definedName>
    <definedName name="____obl179" localSheetId="21">#REF!</definedName>
    <definedName name="____obl179" localSheetId="24">#REF!</definedName>
    <definedName name="____obl179" localSheetId="28">#REF!</definedName>
    <definedName name="____obl179" localSheetId="26">#REF!</definedName>
    <definedName name="____obl179" localSheetId="27">#REF!</definedName>
    <definedName name="____obl179" localSheetId="11">#REF!</definedName>
    <definedName name="____obl179" localSheetId="13">#REF!</definedName>
    <definedName name="____obl179" localSheetId="18">#REF!</definedName>
    <definedName name="____obl179" localSheetId="29">#REF!</definedName>
    <definedName name="____obl179" localSheetId="30">#REF!</definedName>
    <definedName name="____obl179" localSheetId="31">#REF!</definedName>
    <definedName name="____obl179" localSheetId="38">#REF!</definedName>
    <definedName name="____obl179" localSheetId="39">#REF!</definedName>
    <definedName name="____obl179" localSheetId="40">#REF!</definedName>
    <definedName name="____obl179" localSheetId="41">#REF!</definedName>
    <definedName name="____obl179">#REF!</definedName>
    <definedName name="____obl18" localSheetId="10">#REF!</definedName>
    <definedName name="____obl18" localSheetId="22">#REF!</definedName>
    <definedName name="____obl18" localSheetId="23">#REF!</definedName>
    <definedName name="____obl18" localSheetId="21">#REF!</definedName>
    <definedName name="____obl18" localSheetId="24">#REF!</definedName>
    <definedName name="____obl18" localSheetId="28">#REF!</definedName>
    <definedName name="____obl18" localSheetId="26">#REF!</definedName>
    <definedName name="____obl18" localSheetId="27">#REF!</definedName>
    <definedName name="____obl18" localSheetId="11">#REF!</definedName>
    <definedName name="____obl18" localSheetId="13">#REF!</definedName>
    <definedName name="____obl18" localSheetId="18">#REF!</definedName>
    <definedName name="____obl18" localSheetId="29">#REF!</definedName>
    <definedName name="____obl18" localSheetId="30">#REF!</definedName>
    <definedName name="____obl18" localSheetId="31">#REF!</definedName>
    <definedName name="____obl18" localSheetId="38">#REF!</definedName>
    <definedName name="____obl18" localSheetId="39">#REF!</definedName>
    <definedName name="____obl18" localSheetId="40">#REF!</definedName>
    <definedName name="____obl18" localSheetId="41">#REF!</definedName>
    <definedName name="____obl18">#REF!</definedName>
    <definedName name="____obl181" localSheetId="10">#REF!</definedName>
    <definedName name="____obl181" localSheetId="22">#REF!</definedName>
    <definedName name="____obl181" localSheetId="23">#REF!</definedName>
    <definedName name="____obl181" localSheetId="21">#REF!</definedName>
    <definedName name="____obl181" localSheetId="24">#REF!</definedName>
    <definedName name="____obl181" localSheetId="28">#REF!</definedName>
    <definedName name="____obl181" localSheetId="26">#REF!</definedName>
    <definedName name="____obl181" localSheetId="27">#REF!</definedName>
    <definedName name="____obl181" localSheetId="11">#REF!</definedName>
    <definedName name="____obl181" localSheetId="13">#REF!</definedName>
    <definedName name="____obl181" localSheetId="18">#REF!</definedName>
    <definedName name="____obl181" localSheetId="29">#REF!</definedName>
    <definedName name="____obl181" localSheetId="30">#REF!</definedName>
    <definedName name="____obl181" localSheetId="31">#REF!</definedName>
    <definedName name="____obl181" localSheetId="38">#REF!</definedName>
    <definedName name="____obl181" localSheetId="39">#REF!</definedName>
    <definedName name="____obl181" localSheetId="40">#REF!</definedName>
    <definedName name="____obl181" localSheetId="41">#REF!</definedName>
    <definedName name="____obl181">#REF!</definedName>
    <definedName name="____obl1816" localSheetId="10">#REF!</definedName>
    <definedName name="____obl1816" localSheetId="22">#REF!</definedName>
    <definedName name="____obl1816" localSheetId="23">#REF!</definedName>
    <definedName name="____obl1816" localSheetId="21">#REF!</definedName>
    <definedName name="____obl1816" localSheetId="24">#REF!</definedName>
    <definedName name="____obl1816" localSheetId="28">#REF!</definedName>
    <definedName name="____obl1816" localSheetId="26">#REF!</definedName>
    <definedName name="____obl1816" localSheetId="27">#REF!</definedName>
    <definedName name="____obl1816" localSheetId="11">#REF!</definedName>
    <definedName name="____obl1816" localSheetId="13">#REF!</definedName>
    <definedName name="____obl1816" localSheetId="18">#REF!</definedName>
    <definedName name="____obl1816" localSheetId="29">#REF!</definedName>
    <definedName name="____obl1816" localSheetId="30">#REF!</definedName>
    <definedName name="____obl1816" localSheetId="31">#REF!</definedName>
    <definedName name="____obl1816" localSheetId="38">#REF!</definedName>
    <definedName name="____obl1816" localSheetId="39">#REF!</definedName>
    <definedName name="____obl1816" localSheetId="40">#REF!</definedName>
    <definedName name="____obl1816" localSheetId="41">#REF!</definedName>
    <definedName name="____obl1816">#REF!</definedName>
    <definedName name="____obl1820" localSheetId="10">#REF!</definedName>
    <definedName name="____obl1820" localSheetId="22">#REF!</definedName>
    <definedName name="____obl1820" localSheetId="23">#REF!</definedName>
    <definedName name="____obl1820" localSheetId="21">#REF!</definedName>
    <definedName name="____obl1820" localSheetId="24">#REF!</definedName>
    <definedName name="____obl1820" localSheetId="28">#REF!</definedName>
    <definedName name="____obl1820" localSheetId="26">#REF!</definedName>
    <definedName name="____obl1820" localSheetId="27">#REF!</definedName>
    <definedName name="____obl1820" localSheetId="11">#REF!</definedName>
    <definedName name="____obl1820" localSheetId="13">#REF!</definedName>
    <definedName name="____obl1820" localSheetId="18">#REF!</definedName>
    <definedName name="____obl1820" localSheetId="29">#REF!</definedName>
    <definedName name="____obl1820" localSheetId="30">#REF!</definedName>
    <definedName name="____obl1820" localSheetId="31">#REF!</definedName>
    <definedName name="____obl1820" localSheetId="38">#REF!</definedName>
    <definedName name="____obl1820" localSheetId="39">#REF!</definedName>
    <definedName name="____obl1820" localSheetId="40">#REF!</definedName>
    <definedName name="____obl1820" localSheetId="41">#REF!</definedName>
    <definedName name="____obl1820">#REF!</definedName>
    <definedName name="____obl1821" localSheetId="10">#REF!</definedName>
    <definedName name="____obl1821" localSheetId="22">#REF!</definedName>
    <definedName name="____obl1821" localSheetId="23">#REF!</definedName>
    <definedName name="____obl1821" localSheetId="21">#REF!</definedName>
    <definedName name="____obl1821" localSheetId="24">#REF!</definedName>
    <definedName name="____obl1821" localSheetId="28">#REF!</definedName>
    <definedName name="____obl1821" localSheetId="26">#REF!</definedName>
    <definedName name="____obl1821" localSheetId="27">#REF!</definedName>
    <definedName name="____obl1821" localSheetId="11">#REF!</definedName>
    <definedName name="____obl1821" localSheetId="13">#REF!</definedName>
    <definedName name="____obl1821" localSheetId="18">#REF!</definedName>
    <definedName name="____obl1821" localSheetId="29">#REF!</definedName>
    <definedName name="____obl1821" localSheetId="30">#REF!</definedName>
    <definedName name="____obl1821" localSheetId="31">#REF!</definedName>
    <definedName name="____obl1821" localSheetId="38">#REF!</definedName>
    <definedName name="____obl1821" localSheetId="39">#REF!</definedName>
    <definedName name="____obl1821" localSheetId="40">#REF!</definedName>
    <definedName name="____obl1821" localSheetId="41">#REF!</definedName>
    <definedName name="____obl1821">#REF!</definedName>
    <definedName name="____obl1822" localSheetId="10">#REF!</definedName>
    <definedName name="____obl1822" localSheetId="22">#REF!</definedName>
    <definedName name="____obl1822" localSheetId="23">#REF!</definedName>
    <definedName name="____obl1822" localSheetId="21">#REF!</definedName>
    <definedName name="____obl1822" localSheetId="24">#REF!</definedName>
    <definedName name="____obl1822" localSheetId="28">#REF!</definedName>
    <definedName name="____obl1822" localSheetId="26">#REF!</definedName>
    <definedName name="____obl1822" localSheetId="27">#REF!</definedName>
    <definedName name="____obl1822" localSheetId="11">#REF!</definedName>
    <definedName name="____obl1822" localSheetId="13">#REF!</definedName>
    <definedName name="____obl1822" localSheetId="18">#REF!</definedName>
    <definedName name="____obl1822" localSheetId="29">#REF!</definedName>
    <definedName name="____obl1822" localSheetId="30">#REF!</definedName>
    <definedName name="____obl1822" localSheetId="31">#REF!</definedName>
    <definedName name="____obl1822" localSheetId="38">#REF!</definedName>
    <definedName name="____obl1822" localSheetId="39">#REF!</definedName>
    <definedName name="____obl1822" localSheetId="40">#REF!</definedName>
    <definedName name="____obl1822" localSheetId="41">#REF!</definedName>
    <definedName name="____obl1822">#REF!</definedName>
    <definedName name="____obl1823" localSheetId="10">#REF!</definedName>
    <definedName name="____obl1823" localSheetId="22">#REF!</definedName>
    <definedName name="____obl1823" localSheetId="23">#REF!</definedName>
    <definedName name="____obl1823" localSheetId="21">#REF!</definedName>
    <definedName name="____obl1823" localSheetId="24">#REF!</definedName>
    <definedName name="____obl1823" localSheetId="28">#REF!</definedName>
    <definedName name="____obl1823" localSheetId="26">#REF!</definedName>
    <definedName name="____obl1823" localSheetId="27">#REF!</definedName>
    <definedName name="____obl1823" localSheetId="11">#REF!</definedName>
    <definedName name="____obl1823" localSheetId="13">#REF!</definedName>
    <definedName name="____obl1823" localSheetId="18">#REF!</definedName>
    <definedName name="____obl1823" localSheetId="29">#REF!</definedName>
    <definedName name="____obl1823" localSheetId="30">#REF!</definedName>
    <definedName name="____obl1823" localSheetId="31">#REF!</definedName>
    <definedName name="____obl1823" localSheetId="38">#REF!</definedName>
    <definedName name="____obl1823" localSheetId="39">#REF!</definedName>
    <definedName name="____obl1823" localSheetId="40">#REF!</definedName>
    <definedName name="____obl1823" localSheetId="41">#REF!</definedName>
    <definedName name="____obl1823">#REF!</definedName>
    <definedName name="____obl1824" localSheetId="10">#REF!</definedName>
    <definedName name="____obl1824" localSheetId="22">#REF!</definedName>
    <definedName name="____obl1824" localSheetId="23">#REF!</definedName>
    <definedName name="____obl1824" localSheetId="21">#REF!</definedName>
    <definedName name="____obl1824" localSheetId="24">#REF!</definedName>
    <definedName name="____obl1824" localSheetId="28">#REF!</definedName>
    <definedName name="____obl1824" localSheetId="26">#REF!</definedName>
    <definedName name="____obl1824" localSheetId="27">#REF!</definedName>
    <definedName name="____obl1824" localSheetId="11">#REF!</definedName>
    <definedName name="____obl1824" localSheetId="13">#REF!</definedName>
    <definedName name="____obl1824" localSheetId="18">#REF!</definedName>
    <definedName name="____obl1824" localSheetId="29">#REF!</definedName>
    <definedName name="____obl1824" localSheetId="30">#REF!</definedName>
    <definedName name="____obl1824" localSheetId="31">#REF!</definedName>
    <definedName name="____obl1824" localSheetId="38">#REF!</definedName>
    <definedName name="____obl1824" localSheetId="39">#REF!</definedName>
    <definedName name="____obl1824" localSheetId="40">#REF!</definedName>
    <definedName name="____obl1824" localSheetId="41">#REF!</definedName>
    <definedName name="____obl1824">#REF!</definedName>
    <definedName name="____obl1825" localSheetId="10">#REF!</definedName>
    <definedName name="____obl1825" localSheetId="22">#REF!</definedName>
    <definedName name="____obl1825" localSheetId="23">#REF!</definedName>
    <definedName name="____obl1825" localSheetId="21">#REF!</definedName>
    <definedName name="____obl1825" localSheetId="24">#REF!</definedName>
    <definedName name="____obl1825" localSheetId="28">#REF!</definedName>
    <definedName name="____obl1825" localSheetId="26">#REF!</definedName>
    <definedName name="____obl1825" localSheetId="27">#REF!</definedName>
    <definedName name="____obl1825" localSheetId="11">#REF!</definedName>
    <definedName name="____obl1825" localSheetId="13">#REF!</definedName>
    <definedName name="____obl1825" localSheetId="18">#REF!</definedName>
    <definedName name="____obl1825" localSheetId="29">#REF!</definedName>
    <definedName name="____obl1825" localSheetId="30">#REF!</definedName>
    <definedName name="____obl1825" localSheetId="31">#REF!</definedName>
    <definedName name="____obl1825" localSheetId="38">#REF!</definedName>
    <definedName name="____obl1825" localSheetId="39">#REF!</definedName>
    <definedName name="____obl1825" localSheetId="40">#REF!</definedName>
    <definedName name="____obl1825" localSheetId="41">#REF!</definedName>
    <definedName name="____obl1825">#REF!</definedName>
    <definedName name="____obl1826" localSheetId="10">#REF!</definedName>
    <definedName name="____obl1826" localSheetId="22">#REF!</definedName>
    <definedName name="____obl1826" localSheetId="23">#REF!</definedName>
    <definedName name="____obl1826" localSheetId="21">#REF!</definedName>
    <definedName name="____obl1826" localSheetId="24">#REF!</definedName>
    <definedName name="____obl1826" localSheetId="28">#REF!</definedName>
    <definedName name="____obl1826" localSheetId="26">#REF!</definedName>
    <definedName name="____obl1826" localSheetId="27">#REF!</definedName>
    <definedName name="____obl1826" localSheetId="11">#REF!</definedName>
    <definedName name="____obl1826" localSheetId="13">#REF!</definedName>
    <definedName name="____obl1826" localSheetId="18">#REF!</definedName>
    <definedName name="____obl1826" localSheetId="29">#REF!</definedName>
    <definedName name="____obl1826" localSheetId="30">#REF!</definedName>
    <definedName name="____obl1826" localSheetId="31">#REF!</definedName>
    <definedName name="____obl1826" localSheetId="38">#REF!</definedName>
    <definedName name="____obl1826" localSheetId="39">#REF!</definedName>
    <definedName name="____obl1826" localSheetId="40">#REF!</definedName>
    <definedName name="____obl1826" localSheetId="41">#REF!</definedName>
    <definedName name="____obl1826">#REF!</definedName>
    <definedName name="____obl1827" localSheetId="10">#REF!</definedName>
    <definedName name="____obl1827" localSheetId="22">#REF!</definedName>
    <definedName name="____obl1827" localSheetId="23">#REF!</definedName>
    <definedName name="____obl1827" localSheetId="21">#REF!</definedName>
    <definedName name="____obl1827" localSheetId="24">#REF!</definedName>
    <definedName name="____obl1827" localSheetId="28">#REF!</definedName>
    <definedName name="____obl1827" localSheetId="26">#REF!</definedName>
    <definedName name="____obl1827" localSheetId="27">#REF!</definedName>
    <definedName name="____obl1827" localSheetId="11">#REF!</definedName>
    <definedName name="____obl1827" localSheetId="13">#REF!</definedName>
    <definedName name="____obl1827" localSheetId="18">#REF!</definedName>
    <definedName name="____obl1827" localSheetId="29">#REF!</definedName>
    <definedName name="____obl1827" localSheetId="30">#REF!</definedName>
    <definedName name="____obl1827" localSheetId="31">#REF!</definedName>
    <definedName name="____obl1827" localSheetId="38">#REF!</definedName>
    <definedName name="____obl1827" localSheetId="39">#REF!</definedName>
    <definedName name="____obl1827" localSheetId="40">#REF!</definedName>
    <definedName name="____obl1827" localSheetId="41">#REF!</definedName>
    <definedName name="____obl1827">#REF!</definedName>
    <definedName name="____obl1828" localSheetId="10">#REF!</definedName>
    <definedName name="____obl1828" localSheetId="22">#REF!</definedName>
    <definedName name="____obl1828" localSheetId="23">#REF!</definedName>
    <definedName name="____obl1828" localSheetId="21">#REF!</definedName>
    <definedName name="____obl1828" localSheetId="24">#REF!</definedName>
    <definedName name="____obl1828" localSheetId="28">#REF!</definedName>
    <definedName name="____obl1828" localSheetId="26">#REF!</definedName>
    <definedName name="____obl1828" localSheetId="27">#REF!</definedName>
    <definedName name="____obl1828" localSheetId="11">#REF!</definedName>
    <definedName name="____obl1828" localSheetId="13">#REF!</definedName>
    <definedName name="____obl1828" localSheetId="18">#REF!</definedName>
    <definedName name="____obl1828" localSheetId="29">#REF!</definedName>
    <definedName name="____obl1828" localSheetId="30">#REF!</definedName>
    <definedName name="____obl1828" localSheetId="31">#REF!</definedName>
    <definedName name="____obl1828" localSheetId="38">#REF!</definedName>
    <definedName name="____obl1828" localSheetId="39">#REF!</definedName>
    <definedName name="____obl1828" localSheetId="40">#REF!</definedName>
    <definedName name="____obl1828" localSheetId="41">#REF!</definedName>
    <definedName name="____obl1828">#REF!</definedName>
    <definedName name="____obl1829" localSheetId="10">#REF!</definedName>
    <definedName name="____obl1829" localSheetId="22">#REF!</definedName>
    <definedName name="____obl1829" localSheetId="23">#REF!</definedName>
    <definedName name="____obl1829" localSheetId="21">#REF!</definedName>
    <definedName name="____obl1829" localSheetId="24">#REF!</definedName>
    <definedName name="____obl1829" localSheetId="28">#REF!</definedName>
    <definedName name="____obl1829" localSheetId="26">#REF!</definedName>
    <definedName name="____obl1829" localSheetId="27">#REF!</definedName>
    <definedName name="____obl1829" localSheetId="11">#REF!</definedName>
    <definedName name="____obl1829" localSheetId="13">#REF!</definedName>
    <definedName name="____obl1829" localSheetId="18">#REF!</definedName>
    <definedName name="____obl1829" localSheetId="29">#REF!</definedName>
    <definedName name="____obl1829" localSheetId="30">#REF!</definedName>
    <definedName name="____obl1829" localSheetId="31">#REF!</definedName>
    <definedName name="____obl1829" localSheetId="38">#REF!</definedName>
    <definedName name="____obl1829" localSheetId="39">#REF!</definedName>
    <definedName name="____obl1829" localSheetId="40">#REF!</definedName>
    <definedName name="____obl1829" localSheetId="41">#REF!</definedName>
    <definedName name="____obl1829">#REF!</definedName>
    <definedName name="____obl183" localSheetId="10">#REF!</definedName>
    <definedName name="____obl183" localSheetId="22">#REF!</definedName>
    <definedName name="____obl183" localSheetId="23">#REF!</definedName>
    <definedName name="____obl183" localSheetId="21">#REF!</definedName>
    <definedName name="____obl183" localSheetId="24">#REF!</definedName>
    <definedName name="____obl183" localSheetId="28">#REF!</definedName>
    <definedName name="____obl183" localSheetId="26">#REF!</definedName>
    <definedName name="____obl183" localSheetId="27">#REF!</definedName>
    <definedName name="____obl183" localSheetId="11">#REF!</definedName>
    <definedName name="____obl183" localSheetId="13">#REF!</definedName>
    <definedName name="____obl183" localSheetId="18">#REF!</definedName>
    <definedName name="____obl183" localSheetId="29">#REF!</definedName>
    <definedName name="____obl183" localSheetId="30">#REF!</definedName>
    <definedName name="____obl183" localSheetId="31">#REF!</definedName>
    <definedName name="____obl183" localSheetId="38">#REF!</definedName>
    <definedName name="____obl183" localSheetId="39">#REF!</definedName>
    <definedName name="____obl183" localSheetId="40">#REF!</definedName>
    <definedName name="____obl183" localSheetId="41">#REF!</definedName>
    <definedName name="____obl183">#REF!</definedName>
    <definedName name="____obl1831" localSheetId="10">#REF!</definedName>
    <definedName name="____obl1831" localSheetId="22">#REF!</definedName>
    <definedName name="____obl1831" localSheetId="23">#REF!</definedName>
    <definedName name="____obl1831" localSheetId="21">#REF!</definedName>
    <definedName name="____obl1831" localSheetId="24">#REF!</definedName>
    <definedName name="____obl1831" localSheetId="28">#REF!</definedName>
    <definedName name="____obl1831" localSheetId="26">#REF!</definedName>
    <definedName name="____obl1831" localSheetId="27">#REF!</definedName>
    <definedName name="____obl1831" localSheetId="11">#REF!</definedName>
    <definedName name="____obl1831" localSheetId="13">#REF!</definedName>
    <definedName name="____obl1831" localSheetId="18">#REF!</definedName>
    <definedName name="____obl1831" localSheetId="29">#REF!</definedName>
    <definedName name="____obl1831" localSheetId="30">#REF!</definedName>
    <definedName name="____obl1831" localSheetId="31">#REF!</definedName>
    <definedName name="____obl1831" localSheetId="38">#REF!</definedName>
    <definedName name="____obl1831" localSheetId="39">#REF!</definedName>
    <definedName name="____obl1831" localSheetId="40">#REF!</definedName>
    <definedName name="____obl1831" localSheetId="41">#REF!</definedName>
    <definedName name="____obl1831">#REF!</definedName>
    <definedName name="____obl1832" localSheetId="10">#REF!</definedName>
    <definedName name="____obl1832" localSheetId="22">#REF!</definedName>
    <definedName name="____obl1832" localSheetId="23">#REF!</definedName>
    <definedName name="____obl1832" localSheetId="21">#REF!</definedName>
    <definedName name="____obl1832" localSheetId="24">#REF!</definedName>
    <definedName name="____obl1832" localSheetId="28">#REF!</definedName>
    <definedName name="____obl1832" localSheetId="26">#REF!</definedName>
    <definedName name="____obl1832" localSheetId="27">#REF!</definedName>
    <definedName name="____obl1832" localSheetId="11">#REF!</definedName>
    <definedName name="____obl1832" localSheetId="13">#REF!</definedName>
    <definedName name="____obl1832" localSheetId="18">#REF!</definedName>
    <definedName name="____obl1832" localSheetId="29">#REF!</definedName>
    <definedName name="____obl1832" localSheetId="30">#REF!</definedName>
    <definedName name="____obl1832" localSheetId="31">#REF!</definedName>
    <definedName name="____obl1832" localSheetId="38">#REF!</definedName>
    <definedName name="____obl1832" localSheetId="39">#REF!</definedName>
    <definedName name="____obl1832" localSheetId="40">#REF!</definedName>
    <definedName name="____obl1832" localSheetId="41">#REF!</definedName>
    <definedName name="____obl1832">#REF!</definedName>
    <definedName name="____obl184" localSheetId="10">#REF!</definedName>
    <definedName name="____obl184" localSheetId="22">#REF!</definedName>
    <definedName name="____obl184" localSheetId="23">#REF!</definedName>
    <definedName name="____obl184" localSheetId="21">#REF!</definedName>
    <definedName name="____obl184" localSheetId="24">#REF!</definedName>
    <definedName name="____obl184" localSheetId="28">#REF!</definedName>
    <definedName name="____obl184" localSheetId="26">#REF!</definedName>
    <definedName name="____obl184" localSheetId="27">#REF!</definedName>
    <definedName name="____obl184" localSheetId="11">#REF!</definedName>
    <definedName name="____obl184" localSheetId="13">#REF!</definedName>
    <definedName name="____obl184" localSheetId="18">#REF!</definedName>
    <definedName name="____obl184" localSheetId="29">#REF!</definedName>
    <definedName name="____obl184" localSheetId="30">#REF!</definedName>
    <definedName name="____obl184" localSheetId="31">#REF!</definedName>
    <definedName name="____obl184" localSheetId="38">#REF!</definedName>
    <definedName name="____obl184" localSheetId="39">#REF!</definedName>
    <definedName name="____obl184" localSheetId="40">#REF!</definedName>
    <definedName name="____obl184" localSheetId="41">#REF!</definedName>
    <definedName name="____obl184">#REF!</definedName>
    <definedName name="____obl185" localSheetId="10">#REF!</definedName>
    <definedName name="____obl185" localSheetId="22">#REF!</definedName>
    <definedName name="____obl185" localSheetId="23">#REF!</definedName>
    <definedName name="____obl185" localSheetId="21">#REF!</definedName>
    <definedName name="____obl185" localSheetId="24">#REF!</definedName>
    <definedName name="____obl185" localSheetId="28">#REF!</definedName>
    <definedName name="____obl185" localSheetId="26">#REF!</definedName>
    <definedName name="____obl185" localSheetId="27">#REF!</definedName>
    <definedName name="____obl185" localSheetId="11">#REF!</definedName>
    <definedName name="____obl185" localSheetId="13">#REF!</definedName>
    <definedName name="____obl185" localSheetId="18">#REF!</definedName>
    <definedName name="____obl185" localSheetId="29">#REF!</definedName>
    <definedName name="____obl185" localSheetId="30">#REF!</definedName>
    <definedName name="____obl185" localSheetId="31">#REF!</definedName>
    <definedName name="____obl185" localSheetId="38">#REF!</definedName>
    <definedName name="____obl185" localSheetId="39">#REF!</definedName>
    <definedName name="____obl185" localSheetId="40">#REF!</definedName>
    <definedName name="____obl185" localSheetId="41">#REF!</definedName>
    <definedName name="____obl185">#REF!</definedName>
    <definedName name="____obl186" localSheetId="10">#REF!</definedName>
    <definedName name="____obl186" localSheetId="22">#REF!</definedName>
    <definedName name="____obl186" localSheetId="23">#REF!</definedName>
    <definedName name="____obl186" localSheetId="21">#REF!</definedName>
    <definedName name="____obl186" localSheetId="24">#REF!</definedName>
    <definedName name="____obl186" localSheetId="28">#REF!</definedName>
    <definedName name="____obl186" localSheetId="26">#REF!</definedName>
    <definedName name="____obl186" localSheetId="27">#REF!</definedName>
    <definedName name="____obl186" localSheetId="11">#REF!</definedName>
    <definedName name="____obl186" localSheetId="13">#REF!</definedName>
    <definedName name="____obl186" localSheetId="18">#REF!</definedName>
    <definedName name="____obl186" localSheetId="29">#REF!</definedName>
    <definedName name="____obl186" localSheetId="30">#REF!</definedName>
    <definedName name="____obl186" localSheetId="31">#REF!</definedName>
    <definedName name="____obl186" localSheetId="38">#REF!</definedName>
    <definedName name="____obl186" localSheetId="39">#REF!</definedName>
    <definedName name="____obl186" localSheetId="40">#REF!</definedName>
    <definedName name="____obl186" localSheetId="41">#REF!</definedName>
    <definedName name="____obl186">#REF!</definedName>
    <definedName name="____obl187" localSheetId="10">#REF!</definedName>
    <definedName name="____obl187" localSheetId="22">#REF!</definedName>
    <definedName name="____obl187" localSheetId="23">#REF!</definedName>
    <definedName name="____obl187" localSheetId="21">#REF!</definedName>
    <definedName name="____obl187" localSheetId="24">#REF!</definedName>
    <definedName name="____obl187" localSheetId="28">#REF!</definedName>
    <definedName name="____obl187" localSheetId="26">#REF!</definedName>
    <definedName name="____obl187" localSheetId="27">#REF!</definedName>
    <definedName name="____obl187" localSheetId="11">#REF!</definedName>
    <definedName name="____obl187" localSheetId="13">#REF!</definedName>
    <definedName name="____obl187" localSheetId="18">#REF!</definedName>
    <definedName name="____obl187" localSheetId="29">#REF!</definedName>
    <definedName name="____obl187" localSheetId="30">#REF!</definedName>
    <definedName name="____obl187" localSheetId="31">#REF!</definedName>
    <definedName name="____obl187" localSheetId="38">#REF!</definedName>
    <definedName name="____obl187" localSheetId="39">#REF!</definedName>
    <definedName name="____obl187" localSheetId="40">#REF!</definedName>
    <definedName name="____obl187" localSheetId="41">#REF!</definedName>
    <definedName name="____obl187">#REF!</definedName>
    <definedName name="___obl11" localSheetId="10">#REF!</definedName>
    <definedName name="___obl11" localSheetId="23">#REF!</definedName>
    <definedName name="___obl11" localSheetId="24">#REF!</definedName>
    <definedName name="___obl11" localSheetId="28">#REF!</definedName>
    <definedName name="___obl11" localSheetId="26">#REF!</definedName>
    <definedName name="___obl11" localSheetId="27">#REF!</definedName>
    <definedName name="___obl11" localSheetId="11">#REF!</definedName>
    <definedName name="___obl11" localSheetId="13">#REF!</definedName>
    <definedName name="___obl11" localSheetId="18">#REF!</definedName>
    <definedName name="___obl11" localSheetId="29">#REF!</definedName>
    <definedName name="___obl11" localSheetId="30">#REF!</definedName>
    <definedName name="___obl11" localSheetId="31">#REF!</definedName>
    <definedName name="___obl11">#REF!</definedName>
    <definedName name="___obl12" localSheetId="10">#REF!</definedName>
    <definedName name="___obl12" localSheetId="23">#REF!</definedName>
    <definedName name="___obl12" localSheetId="24">#REF!</definedName>
    <definedName name="___obl12" localSheetId="28">#REF!</definedName>
    <definedName name="___obl12" localSheetId="26">#REF!</definedName>
    <definedName name="___obl12" localSheetId="27">#REF!</definedName>
    <definedName name="___obl12" localSheetId="11">#REF!</definedName>
    <definedName name="___obl12" localSheetId="13">#REF!</definedName>
    <definedName name="___obl12" localSheetId="18">#REF!</definedName>
    <definedName name="___obl12" localSheetId="29">#REF!</definedName>
    <definedName name="___obl12" localSheetId="30">#REF!</definedName>
    <definedName name="___obl12" localSheetId="31">#REF!</definedName>
    <definedName name="___obl12">#REF!</definedName>
    <definedName name="___obl13" localSheetId="10">#REF!</definedName>
    <definedName name="___obl13" localSheetId="23">#REF!</definedName>
    <definedName name="___obl13" localSheetId="24">#REF!</definedName>
    <definedName name="___obl13" localSheetId="28">#REF!</definedName>
    <definedName name="___obl13" localSheetId="26">#REF!</definedName>
    <definedName name="___obl13" localSheetId="27">#REF!</definedName>
    <definedName name="___obl13" localSheetId="11">#REF!</definedName>
    <definedName name="___obl13" localSheetId="13">#REF!</definedName>
    <definedName name="___obl13" localSheetId="18">#REF!</definedName>
    <definedName name="___obl13" localSheetId="29">#REF!</definedName>
    <definedName name="___obl13" localSheetId="30">#REF!</definedName>
    <definedName name="___obl13" localSheetId="31">#REF!</definedName>
    <definedName name="___obl13">#REF!</definedName>
    <definedName name="___obl14" localSheetId="10">#REF!</definedName>
    <definedName name="___obl14" localSheetId="23">#REF!</definedName>
    <definedName name="___obl14" localSheetId="24">#REF!</definedName>
    <definedName name="___obl14" localSheetId="28">#REF!</definedName>
    <definedName name="___obl14" localSheetId="26">#REF!</definedName>
    <definedName name="___obl14" localSheetId="27">#REF!</definedName>
    <definedName name="___obl14" localSheetId="11">#REF!</definedName>
    <definedName name="___obl14" localSheetId="13">#REF!</definedName>
    <definedName name="___obl14" localSheetId="18">#REF!</definedName>
    <definedName name="___obl14" localSheetId="29">#REF!</definedName>
    <definedName name="___obl14" localSheetId="30">#REF!</definedName>
    <definedName name="___obl14" localSheetId="31">#REF!</definedName>
    <definedName name="___obl14">#REF!</definedName>
    <definedName name="___obl15" localSheetId="10">#REF!</definedName>
    <definedName name="___obl15" localSheetId="23">#REF!</definedName>
    <definedName name="___obl15" localSheetId="24">#REF!</definedName>
    <definedName name="___obl15" localSheetId="28">#REF!</definedName>
    <definedName name="___obl15" localSheetId="26">#REF!</definedName>
    <definedName name="___obl15" localSheetId="27">#REF!</definedName>
    <definedName name="___obl15" localSheetId="11">#REF!</definedName>
    <definedName name="___obl15" localSheetId="13">#REF!</definedName>
    <definedName name="___obl15" localSheetId="18">#REF!</definedName>
    <definedName name="___obl15" localSheetId="29">#REF!</definedName>
    <definedName name="___obl15" localSheetId="30">#REF!</definedName>
    <definedName name="___obl15" localSheetId="31">#REF!</definedName>
    <definedName name="___obl15">#REF!</definedName>
    <definedName name="___obl16" localSheetId="10">#REF!</definedName>
    <definedName name="___obl16" localSheetId="23">#REF!</definedName>
    <definedName name="___obl16" localSheetId="24">#REF!</definedName>
    <definedName name="___obl16" localSheetId="28">#REF!</definedName>
    <definedName name="___obl16" localSheetId="26">#REF!</definedName>
    <definedName name="___obl16" localSheetId="27">#REF!</definedName>
    <definedName name="___obl16" localSheetId="11">#REF!</definedName>
    <definedName name="___obl16" localSheetId="13">#REF!</definedName>
    <definedName name="___obl16" localSheetId="18">#REF!</definedName>
    <definedName name="___obl16" localSheetId="29">#REF!</definedName>
    <definedName name="___obl16" localSheetId="30">#REF!</definedName>
    <definedName name="___obl16" localSheetId="31">#REF!</definedName>
    <definedName name="___obl16">#REF!</definedName>
    <definedName name="___obl17" localSheetId="10">#REF!</definedName>
    <definedName name="___obl17" localSheetId="23">#REF!</definedName>
    <definedName name="___obl17" localSheetId="24">#REF!</definedName>
    <definedName name="___obl17" localSheetId="28">#REF!</definedName>
    <definedName name="___obl17" localSheetId="26">#REF!</definedName>
    <definedName name="___obl17" localSheetId="27">#REF!</definedName>
    <definedName name="___obl17" localSheetId="11">#REF!</definedName>
    <definedName name="___obl17" localSheetId="13">#REF!</definedName>
    <definedName name="___obl17" localSheetId="18">#REF!</definedName>
    <definedName name="___obl17" localSheetId="29">#REF!</definedName>
    <definedName name="___obl17" localSheetId="30">#REF!</definedName>
    <definedName name="___obl17" localSheetId="31">#REF!</definedName>
    <definedName name="___obl17">#REF!</definedName>
    <definedName name="___obl1710" localSheetId="10">#REF!</definedName>
    <definedName name="___obl1710" localSheetId="23">#REF!</definedName>
    <definedName name="___obl1710" localSheetId="24">#REF!</definedName>
    <definedName name="___obl1710" localSheetId="28">#REF!</definedName>
    <definedName name="___obl1710" localSheetId="26">#REF!</definedName>
    <definedName name="___obl1710" localSheetId="27">#REF!</definedName>
    <definedName name="___obl1710" localSheetId="11">#REF!</definedName>
    <definedName name="___obl1710" localSheetId="13">#REF!</definedName>
    <definedName name="___obl1710" localSheetId="18">#REF!</definedName>
    <definedName name="___obl1710" localSheetId="29">#REF!</definedName>
    <definedName name="___obl1710" localSheetId="30">#REF!</definedName>
    <definedName name="___obl1710" localSheetId="31">#REF!</definedName>
    <definedName name="___obl1710">#REF!</definedName>
    <definedName name="___obl1711" localSheetId="10">#REF!</definedName>
    <definedName name="___obl1711" localSheetId="23">#REF!</definedName>
    <definedName name="___obl1711" localSheetId="24">#REF!</definedName>
    <definedName name="___obl1711" localSheetId="28">#REF!</definedName>
    <definedName name="___obl1711" localSheetId="26">#REF!</definedName>
    <definedName name="___obl1711" localSheetId="27">#REF!</definedName>
    <definedName name="___obl1711" localSheetId="11">#REF!</definedName>
    <definedName name="___obl1711" localSheetId="13">#REF!</definedName>
    <definedName name="___obl1711" localSheetId="18">#REF!</definedName>
    <definedName name="___obl1711" localSheetId="29">#REF!</definedName>
    <definedName name="___obl1711" localSheetId="30">#REF!</definedName>
    <definedName name="___obl1711" localSheetId="31">#REF!</definedName>
    <definedName name="___obl1711">#REF!</definedName>
    <definedName name="___obl1712" localSheetId="10">#REF!</definedName>
    <definedName name="___obl1712" localSheetId="23">#REF!</definedName>
    <definedName name="___obl1712" localSheetId="24">#REF!</definedName>
    <definedName name="___obl1712" localSheetId="28">#REF!</definedName>
    <definedName name="___obl1712" localSheetId="26">#REF!</definedName>
    <definedName name="___obl1712" localSheetId="27">#REF!</definedName>
    <definedName name="___obl1712" localSheetId="11">#REF!</definedName>
    <definedName name="___obl1712" localSheetId="13">#REF!</definedName>
    <definedName name="___obl1712" localSheetId="18">#REF!</definedName>
    <definedName name="___obl1712" localSheetId="29">#REF!</definedName>
    <definedName name="___obl1712" localSheetId="30">#REF!</definedName>
    <definedName name="___obl1712" localSheetId="31">#REF!</definedName>
    <definedName name="___obl1712">#REF!</definedName>
    <definedName name="___obl1713" localSheetId="10">#REF!</definedName>
    <definedName name="___obl1713" localSheetId="23">#REF!</definedName>
    <definedName name="___obl1713" localSheetId="24">#REF!</definedName>
    <definedName name="___obl1713" localSheetId="28">#REF!</definedName>
    <definedName name="___obl1713" localSheetId="26">#REF!</definedName>
    <definedName name="___obl1713" localSheetId="27">#REF!</definedName>
    <definedName name="___obl1713" localSheetId="11">#REF!</definedName>
    <definedName name="___obl1713" localSheetId="13">#REF!</definedName>
    <definedName name="___obl1713" localSheetId="18">#REF!</definedName>
    <definedName name="___obl1713" localSheetId="29">#REF!</definedName>
    <definedName name="___obl1713" localSheetId="30">#REF!</definedName>
    <definedName name="___obl1713" localSheetId="31">#REF!</definedName>
    <definedName name="___obl1713">#REF!</definedName>
    <definedName name="___obl1714" localSheetId="10">#REF!</definedName>
    <definedName name="___obl1714" localSheetId="23">#REF!</definedName>
    <definedName name="___obl1714" localSheetId="24">#REF!</definedName>
    <definedName name="___obl1714" localSheetId="28">#REF!</definedName>
    <definedName name="___obl1714" localSheetId="26">#REF!</definedName>
    <definedName name="___obl1714" localSheetId="27">#REF!</definedName>
    <definedName name="___obl1714" localSheetId="11">#REF!</definedName>
    <definedName name="___obl1714" localSheetId="13">#REF!</definedName>
    <definedName name="___obl1714" localSheetId="18">#REF!</definedName>
    <definedName name="___obl1714" localSheetId="29">#REF!</definedName>
    <definedName name="___obl1714" localSheetId="30">#REF!</definedName>
    <definedName name="___obl1714" localSheetId="31">#REF!</definedName>
    <definedName name="___obl1714">#REF!</definedName>
    <definedName name="___obl1715" localSheetId="10">#REF!</definedName>
    <definedName name="___obl1715" localSheetId="23">#REF!</definedName>
    <definedName name="___obl1715" localSheetId="24">#REF!</definedName>
    <definedName name="___obl1715" localSheetId="28">#REF!</definedName>
    <definedName name="___obl1715" localSheetId="26">#REF!</definedName>
    <definedName name="___obl1715" localSheetId="27">#REF!</definedName>
    <definedName name="___obl1715" localSheetId="11">#REF!</definedName>
    <definedName name="___obl1715" localSheetId="13">#REF!</definedName>
    <definedName name="___obl1715" localSheetId="18">#REF!</definedName>
    <definedName name="___obl1715" localSheetId="29">#REF!</definedName>
    <definedName name="___obl1715" localSheetId="30">#REF!</definedName>
    <definedName name="___obl1715" localSheetId="31">#REF!</definedName>
    <definedName name="___obl1715">#REF!</definedName>
    <definedName name="___obl1716" localSheetId="10">#REF!</definedName>
    <definedName name="___obl1716" localSheetId="23">#REF!</definedName>
    <definedName name="___obl1716" localSheetId="24">#REF!</definedName>
    <definedName name="___obl1716" localSheetId="28">#REF!</definedName>
    <definedName name="___obl1716" localSheetId="26">#REF!</definedName>
    <definedName name="___obl1716" localSheetId="27">#REF!</definedName>
    <definedName name="___obl1716" localSheetId="11">#REF!</definedName>
    <definedName name="___obl1716" localSheetId="13">#REF!</definedName>
    <definedName name="___obl1716" localSheetId="18">#REF!</definedName>
    <definedName name="___obl1716" localSheetId="29">#REF!</definedName>
    <definedName name="___obl1716" localSheetId="30">#REF!</definedName>
    <definedName name="___obl1716" localSheetId="31">#REF!</definedName>
    <definedName name="___obl1716">#REF!</definedName>
    <definedName name="___obl1717" localSheetId="10">#REF!</definedName>
    <definedName name="___obl1717" localSheetId="23">#REF!</definedName>
    <definedName name="___obl1717" localSheetId="24">#REF!</definedName>
    <definedName name="___obl1717" localSheetId="28">#REF!</definedName>
    <definedName name="___obl1717" localSheetId="26">#REF!</definedName>
    <definedName name="___obl1717" localSheetId="27">#REF!</definedName>
    <definedName name="___obl1717" localSheetId="11">#REF!</definedName>
    <definedName name="___obl1717" localSheetId="13">#REF!</definedName>
    <definedName name="___obl1717" localSheetId="18">#REF!</definedName>
    <definedName name="___obl1717" localSheetId="29">#REF!</definedName>
    <definedName name="___obl1717" localSheetId="30">#REF!</definedName>
    <definedName name="___obl1717" localSheetId="31">#REF!</definedName>
    <definedName name="___obl1717">#REF!</definedName>
    <definedName name="___obl1718" localSheetId="10">#REF!</definedName>
    <definedName name="___obl1718" localSheetId="23">#REF!</definedName>
    <definedName name="___obl1718" localSheetId="24">#REF!</definedName>
    <definedName name="___obl1718" localSheetId="28">#REF!</definedName>
    <definedName name="___obl1718" localSheetId="26">#REF!</definedName>
    <definedName name="___obl1718" localSheetId="27">#REF!</definedName>
    <definedName name="___obl1718" localSheetId="11">#REF!</definedName>
    <definedName name="___obl1718" localSheetId="13">#REF!</definedName>
    <definedName name="___obl1718" localSheetId="18">#REF!</definedName>
    <definedName name="___obl1718" localSheetId="29">#REF!</definedName>
    <definedName name="___obl1718" localSheetId="30">#REF!</definedName>
    <definedName name="___obl1718" localSheetId="31">#REF!</definedName>
    <definedName name="___obl1718">#REF!</definedName>
    <definedName name="___obl1719" localSheetId="10">#REF!</definedName>
    <definedName name="___obl1719" localSheetId="23">#REF!</definedName>
    <definedName name="___obl1719" localSheetId="24">#REF!</definedName>
    <definedName name="___obl1719" localSheetId="28">#REF!</definedName>
    <definedName name="___obl1719" localSheetId="26">#REF!</definedName>
    <definedName name="___obl1719" localSheetId="27">#REF!</definedName>
    <definedName name="___obl1719" localSheetId="11">#REF!</definedName>
    <definedName name="___obl1719" localSheetId="13">#REF!</definedName>
    <definedName name="___obl1719" localSheetId="18">#REF!</definedName>
    <definedName name="___obl1719" localSheetId="29">#REF!</definedName>
    <definedName name="___obl1719" localSheetId="30">#REF!</definedName>
    <definedName name="___obl1719" localSheetId="31">#REF!</definedName>
    <definedName name="___obl1719">#REF!</definedName>
    <definedName name="___obl173" localSheetId="10">#REF!</definedName>
    <definedName name="___obl173" localSheetId="23">#REF!</definedName>
    <definedName name="___obl173" localSheetId="24">#REF!</definedName>
    <definedName name="___obl173" localSheetId="28">#REF!</definedName>
    <definedName name="___obl173" localSheetId="26">#REF!</definedName>
    <definedName name="___obl173" localSheetId="27">#REF!</definedName>
    <definedName name="___obl173" localSheetId="11">#REF!</definedName>
    <definedName name="___obl173" localSheetId="13">#REF!</definedName>
    <definedName name="___obl173" localSheetId="18">#REF!</definedName>
    <definedName name="___obl173" localSheetId="29">#REF!</definedName>
    <definedName name="___obl173" localSheetId="30">#REF!</definedName>
    <definedName name="___obl173" localSheetId="31">#REF!</definedName>
    <definedName name="___obl173">#REF!</definedName>
    <definedName name="___obl174" localSheetId="10">#REF!</definedName>
    <definedName name="___obl174" localSheetId="23">#REF!</definedName>
    <definedName name="___obl174" localSheetId="24">#REF!</definedName>
    <definedName name="___obl174" localSheetId="28">#REF!</definedName>
    <definedName name="___obl174" localSheetId="26">#REF!</definedName>
    <definedName name="___obl174" localSheetId="27">#REF!</definedName>
    <definedName name="___obl174" localSheetId="11">#REF!</definedName>
    <definedName name="___obl174" localSheetId="13">#REF!</definedName>
    <definedName name="___obl174" localSheetId="18">#REF!</definedName>
    <definedName name="___obl174" localSheetId="29">#REF!</definedName>
    <definedName name="___obl174" localSheetId="30">#REF!</definedName>
    <definedName name="___obl174" localSheetId="31">#REF!</definedName>
    <definedName name="___obl174">#REF!</definedName>
    <definedName name="___obl175" localSheetId="10">#REF!</definedName>
    <definedName name="___obl175" localSheetId="23">#REF!</definedName>
    <definedName name="___obl175" localSheetId="24">#REF!</definedName>
    <definedName name="___obl175" localSheetId="28">#REF!</definedName>
    <definedName name="___obl175" localSheetId="26">#REF!</definedName>
    <definedName name="___obl175" localSheetId="27">#REF!</definedName>
    <definedName name="___obl175" localSheetId="11">#REF!</definedName>
    <definedName name="___obl175" localSheetId="13">#REF!</definedName>
    <definedName name="___obl175" localSheetId="18">#REF!</definedName>
    <definedName name="___obl175" localSheetId="29">#REF!</definedName>
    <definedName name="___obl175" localSheetId="30">#REF!</definedName>
    <definedName name="___obl175" localSheetId="31">#REF!</definedName>
    <definedName name="___obl175">#REF!</definedName>
    <definedName name="___obl176" localSheetId="10">#REF!</definedName>
    <definedName name="___obl176" localSheetId="23">#REF!</definedName>
    <definedName name="___obl176" localSheetId="24">#REF!</definedName>
    <definedName name="___obl176" localSheetId="28">#REF!</definedName>
    <definedName name="___obl176" localSheetId="26">#REF!</definedName>
    <definedName name="___obl176" localSheetId="27">#REF!</definedName>
    <definedName name="___obl176" localSheetId="11">#REF!</definedName>
    <definedName name="___obl176" localSheetId="13">#REF!</definedName>
    <definedName name="___obl176" localSheetId="18">#REF!</definedName>
    <definedName name="___obl176" localSheetId="29">#REF!</definedName>
    <definedName name="___obl176" localSheetId="30">#REF!</definedName>
    <definedName name="___obl176" localSheetId="31">#REF!</definedName>
    <definedName name="___obl176">#REF!</definedName>
    <definedName name="___obl177" localSheetId="10">#REF!</definedName>
    <definedName name="___obl177" localSheetId="23">#REF!</definedName>
    <definedName name="___obl177" localSheetId="24">#REF!</definedName>
    <definedName name="___obl177" localSheetId="28">#REF!</definedName>
    <definedName name="___obl177" localSheetId="26">#REF!</definedName>
    <definedName name="___obl177" localSheetId="27">#REF!</definedName>
    <definedName name="___obl177" localSheetId="11">#REF!</definedName>
    <definedName name="___obl177" localSheetId="13">#REF!</definedName>
    <definedName name="___obl177" localSheetId="18">#REF!</definedName>
    <definedName name="___obl177" localSheetId="29">#REF!</definedName>
    <definedName name="___obl177" localSheetId="30">#REF!</definedName>
    <definedName name="___obl177" localSheetId="31">#REF!</definedName>
    <definedName name="___obl177">#REF!</definedName>
    <definedName name="___obl178" localSheetId="10">#REF!</definedName>
    <definedName name="___obl178" localSheetId="23">#REF!</definedName>
    <definedName name="___obl178" localSheetId="24">#REF!</definedName>
    <definedName name="___obl178" localSheetId="28">#REF!</definedName>
    <definedName name="___obl178" localSheetId="26">#REF!</definedName>
    <definedName name="___obl178" localSheetId="27">#REF!</definedName>
    <definedName name="___obl178" localSheetId="11">#REF!</definedName>
    <definedName name="___obl178" localSheetId="13">#REF!</definedName>
    <definedName name="___obl178" localSheetId="18">#REF!</definedName>
    <definedName name="___obl178" localSheetId="29">#REF!</definedName>
    <definedName name="___obl178" localSheetId="30">#REF!</definedName>
    <definedName name="___obl178" localSheetId="31">#REF!</definedName>
    <definedName name="___obl178">#REF!</definedName>
    <definedName name="___obl179" localSheetId="10">#REF!</definedName>
    <definedName name="___obl179" localSheetId="23">#REF!</definedName>
    <definedName name="___obl179" localSheetId="24">#REF!</definedName>
    <definedName name="___obl179" localSheetId="28">#REF!</definedName>
    <definedName name="___obl179" localSheetId="26">#REF!</definedName>
    <definedName name="___obl179" localSheetId="27">#REF!</definedName>
    <definedName name="___obl179" localSheetId="11">#REF!</definedName>
    <definedName name="___obl179" localSheetId="13">#REF!</definedName>
    <definedName name="___obl179" localSheetId="18">#REF!</definedName>
    <definedName name="___obl179" localSheetId="29">#REF!</definedName>
    <definedName name="___obl179" localSheetId="30">#REF!</definedName>
    <definedName name="___obl179" localSheetId="31">#REF!</definedName>
    <definedName name="___obl179">#REF!</definedName>
    <definedName name="___obl18" localSheetId="10">#REF!</definedName>
    <definedName name="___obl18" localSheetId="23">#REF!</definedName>
    <definedName name="___obl18" localSheetId="24">#REF!</definedName>
    <definedName name="___obl18" localSheetId="28">#REF!</definedName>
    <definedName name="___obl18" localSheetId="26">#REF!</definedName>
    <definedName name="___obl18" localSheetId="27">#REF!</definedName>
    <definedName name="___obl18" localSheetId="11">#REF!</definedName>
    <definedName name="___obl18" localSheetId="13">#REF!</definedName>
    <definedName name="___obl18" localSheetId="18">#REF!</definedName>
    <definedName name="___obl18" localSheetId="29">#REF!</definedName>
    <definedName name="___obl18" localSheetId="30">#REF!</definedName>
    <definedName name="___obl18" localSheetId="31">#REF!</definedName>
    <definedName name="___obl18">#REF!</definedName>
    <definedName name="___obl181" localSheetId="10">#REF!</definedName>
    <definedName name="___obl181" localSheetId="23">#REF!</definedName>
    <definedName name="___obl181" localSheetId="24">#REF!</definedName>
    <definedName name="___obl181" localSheetId="28">#REF!</definedName>
    <definedName name="___obl181" localSheetId="26">#REF!</definedName>
    <definedName name="___obl181" localSheetId="27">#REF!</definedName>
    <definedName name="___obl181" localSheetId="11">#REF!</definedName>
    <definedName name="___obl181" localSheetId="13">#REF!</definedName>
    <definedName name="___obl181" localSheetId="18">#REF!</definedName>
    <definedName name="___obl181" localSheetId="29">#REF!</definedName>
    <definedName name="___obl181" localSheetId="30">#REF!</definedName>
    <definedName name="___obl181" localSheetId="31">#REF!</definedName>
    <definedName name="___obl181">#REF!</definedName>
    <definedName name="___obl1816" localSheetId="10">#REF!</definedName>
    <definedName name="___obl1816" localSheetId="23">#REF!</definedName>
    <definedName name="___obl1816" localSheetId="24">#REF!</definedName>
    <definedName name="___obl1816" localSheetId="28">#REF!</definedName>
    <definedName name="___obl1816" localSheetId="26">#REF!</definedName>
    <definedName name="___obl1816" localSheetId="27">#REF!</definedName>
    <definedName name="___obl1816" localSheetId="11">#REF!</definedName>
    <definedName name="___obl1816" localSheetId="13">#REF!</definedName>
    <definedName name="___obl1816" localSheetId="18">#REF!</definedName>
    <definedName name="___obl1816" localSheetId="29">#REF!</definedName>
    <definedName name="___obl1816" localSheetId="30">#REF!</definedName>
    <definedName name="___obl1816" localSheetId="31">#REF!</definedName>
    <definedName name="___obl1816">#REF!</definedName>
    <definedName name="___obl1820" localSheetId="10">#REF!</definedName>
    <definedName name="___obl1820" localSheetId="23">#REF!</definedName>
    <definedName name="___obl1820" localSheetId="24">#REF!</definedName>
    <definedName name="___obl1820" localSheetId="28">#REF!</definedName>
    <definedName name="___obl1820" localSheetId="26">#REF!</definedName>
    <definedName name="___obl1820" localSheetId="27">#REF!</definedName>
    <definedName name="___obl1820" localSheetId="11">#REF!</definedName>
    <definedName name="___obl1820" localSheetId="13">#REF!</definedName>
    <definedName name="___obl1820" localSheetId="18">#REF!</definedName>
    <definedName name="___obl1820" localSheetId="29">#REF!</definedName>
    <definedName name="___obl1820" localSheetId="30">#REF!</definedName>
    <definedName name="___obl1820" localSheetId="31">#REF!</definedName>
    <definedName name="___obl1820">#REF!</definedName>
    <definedName name="___obl1821" localSheetId="10">#REF!</definedName>
    <definedName name="___obl1821" localSheetId="23">#REF!</definedName>
    <definedName name="___obl1821" localSheetId="24">#REF!</definedName>
    <definedName name="___obl1821" localSheetId="28">#REF!</definedName>
    <definedName name="___obl1821" localSheetId="26">#REF!</definedName>
    <definedName name="___obl1821" localSheetId="27">#REF!</definedName>
    <definedName name="___obl1821" localSheetId="11">#REF!</definedName>
    <definedName name="___obl1821" localSheetId="13">#REF!</definedName>
    <definedName name="___obl1821" localSheetId="18">#REF!</definedName>
    <definedName name="___obl1821" localSheetId="29">#REF!</definedName>
    <definedName name="___obl1821" localSheetId="30">#REF!</definedName>
    <definedName name="___obl1821" localSheetId="31">#REF!</definedName>
    <definedName name="___obl1821">#REF!</definedName>
    <definedName name="___obl1822" localSheetId="10">#REF!</definedName>
    <definedName name="___obl1822" localSheetId="23">#REF!</definedName>
    <definedName name="___obl1822" localSheetId="24">#REF!</definedName>
    <definedName name="___obl1822" localSheetId="28">#REF!</definedName>
    <definedName name="___obl1822" localSheetId="26">#REF!</definedName>
    <definedName name="___obl1822" localSheetId="27">#REF!</definedName>
    <definedName name="___obl1822" localSheetId="11">#REF!</definedName>
    <definedName name="___obl1822" localSheetId="13">#REF!</definedName>
    <definedName name="___obl1822" localSheetId="18">#REF!</definedName>
    <definedName name="___obl1822" localSheetId="29">#REF!</definedName>
    <definedName name="___obl1822" localSheetId="30">#REF!</definedName>
    <definedName name="___obl1822" localSheetId="31">#REF!</definedName>
    <definedName name="___obl1822">#REF!</definedName>
    <definedName name="___obl1823" localSheetId="10">#REF!</definedName>
    <definedName name="___obl1823" localSheetId="23">#REF!</definedName>
    <definedName name="___obl1823" localSheetId="24">#REF!</definedName>
    <definedName name="___obl1823" localSheetId="28">#REF!</definedName>
    <definedName name="___obl1823" localSheetId="26">#REF!</definedName>
    <definedName name="___obl1823" localSheetId="27">#REF!</definedName>
    <definedName name="___obl1823" localSheetId="11">#REF!</definedName>
    <definedName name="___obl1823" localSheetId="13">#REF!</definedName>
    <definedName name="___obl1823" localSheetId="18">#REF!</definedName>
    <definedName name="___obl1823" localSheetId="29">#REF!</definedName>
    <definedName name="___obl1823" localSheetId="30">#REF!</definedName>
    <definedName name="___obl1823" localSheetId="31">#REF!</definedName>
    <definedName name="___obl1823">#REF!</definedName>
    <definedName name="___obl1824" localSheetId="10">#REF!</definedName>
    <definedName name="___obl1824" localSheetId="23">#REF!</definedName>
    <definedName name="___obl1824" localSheetId="24">#REF!</definedName>
    <definedName name="___obl1824" localSheetId="28">#REF!</definedName>
    <definedName name="___obl1824" localSheetId="26">#REF!</definedName>
    <definedName name="___obl1824" localSheetId="27">#REF!</definedName>
    <definedName name="___obl1824" localSheetId="11">#REF!</definedName>
    <definedName name="___obl1824" localSheetId="13">#REF!</definedName>
    <definedName name="___obl1824" localSheetId="18">#REF!</definedName>
    <definedName name="___obl1824" localSheetId="29">#REF!</definedName>
    <definedName name="___obl1824" localSheetId="30">#REF!</definedName>
    <definedName name="___obl1824" localSheetId="31">#REF!</definedName>
    <definedName name="___obl1824">#REF!</definedName>
    <definedName name="___obl1825" localSheetId="10">#REF!</definedName>
    <definedName name="___obl1825" localSheetId="23">#REF!</definedName>
    <definedName name="___obl1825" localSheetId="24">#REF!</definedName>
    <definedName name="___obl1825" localSheetId="28">#REF!</definedName>
    <definedName name="___obl1825" localSheetId="26">#REF!</definedName>
    <definedName name="___obl1825" localSheetId="27">#REF!</definedName>
    <definedName name="___obl1825" localSheetId="11">#REF!</definedName>
    <definedName name="___obl1825" localSheetId="13">#REF!</definedName>
    <definedName name="___obl1825" localSheetId="18">#REF!</definedName>
    <definedName name="___obl1825" localSheetId="29">#REF!</definedName>
    <definedName name="___obl1825" localSheetId="30">#REF!</definedName>
    <definedName name="___obl1825" localSheetId="31">#REF!</definedName>
    <definedName name="___obl1825">#REF!</definedName>
    <definedName name="___obl1826" localSheetId="10">#REF!</definedName>
    <definedName name="___obl1826" localSheetId="23">#REF!</definedName>
    <definedName name="___obl1826" localSheetId="24">#REF!</definedName>
    <definedName name="___obl1826" localSheetId="28">#REF!</definedName>
    <definedName name="___obl1826" localSheetId="26">#REF!</definedName>
    <definedName name="___obl1826" localSheetId="27">#REF!</definedName>
    <definedName name="___obl1826" localSheetId="11">#REF!</definedName>
    <definedName name="___obl1826" localSheetId="13">#REF!</definedName>
    <definedName name="___obl1826" localSheetId="18">#REF!</definedName>
    <definedName name="___obl1826" localSheetId="29">#REF!</definedName>
    <definedName name="___obl1826" localSheetId="30">#REF!</definedName>
    <definedName name="___obl1826" localSheetId="31">#REF!</definedName>
    <definedName name="___obl1826">#REF!</definedName>
    <definedName name="___obl1827" localSheetId="10">#REF!</definedName>
    <definedName name="___obl1827" localSheetId="23">#REF!</definedName>
    <definedName name="___obl1827" localSheetId="24">#REF!</definedName>
    <definedName name="___obl1827" localSheetId="28">#REF!</definedName>
    <definedName name="___obl1827" localSheetId="26">#REF!</definedName>
    <definedName name="___obl1827" localSheetId="27">#REF!</definedName>
    <definedName name="___obl1827" localSheetId="11">#REF!</definedName>
    <definedName name="___obl1827" localSheetId="13">#REF!</definedName>
    <definedName name="___obl1827" localSheetId="18">#REF!</definedName>
    <definedName name="___obl1827" localSheetId="29">#REF!</definedName>
    <definedName name="___obl1827" localSheetId="30">#REF!</definedName>
    <definedName name="___obl1827" localSheetId="31">#REF!</definedName>
    <definedName name="___obl1827">#REF!</definedName>
    <definedName name="___obl1828" localSheetId="10">#REF!</definedName>
    <definedName name="___obl1828" localSheetId="23">#REF!</definedName>
    <definedName name="___obl1828" localSheetId="24">#REF!</definedName>
    <definedName name="___obl1828" localSheetId="28">#REF!</definedName>
    <definedName name="___obl1828" localSheetId="26">#REF!</definedName>
    <definedName name="___obl1828" localSheetId="27">#REF!</definedName>
    <definedName name="___obl1828" localSheetId="11">#REF!</definedName>
    <definedName name="___obl1828" localSheetId="13">#REF!</definedName>
    <definedName name="___obl1828" localSheetId="18">#REF!</definedName>
    <definedName name="___obl1828" localSheetId="29">#REF!</definedName>
    <definedName name="___obl1828" localSheetId="30">#REF!</definedName>
    <definedName name="___obl1828" localSheetId="31">#REF!</definedName>
    <definedName name="___obl1828">#REF!</definedName>
    <definedName name="___obl1829" localSheetId="10">#REF!</definedName>
    <definedName name="___obl1829" localSheetId="23">#REF!</definedName>
    <definedName name="___obl1829" localSheetId="24">#REF!</definedName>
    <definedName name="___obl1829" localSheetId="28">#REF!</definedName>
    <definedName name="___obl1829" localSheetId="26">#REF!</definedName>
    <definedName name="___obl1829" localSheetId="27">#REF!</definedName>
    <definedName name="___obl1829" localSheetId="11">#REF!</definedName>
    <definedName name="___obl1829" localSheetId="13">#REF!</definedName>
    <definedName name="___obl1829" localSheetId="18">#REF!</definedName>
    <definedName name="___obl1829" localSheetId="29">#REF!</definedName>
    <definedName name="___obl1829" localSheetId="30">#REF!</definedName>
    <definedName name="___obl1829" localSheetId="31">#REF!</definedName>
    <definedName name="___obl1829">#REF!</definedName>
    <definedName name="___obl183" localSheetId="10">#REF!</definedName>
    <definedName name="___obl183" localSheetId="23">#REF!</definedName>
    <definedName name="___obl183" localSheetId="24">#REF!</definedName>
    <definedName name="___obl183" localSheetId="28">#REF!</definedName>
    <definedName name="___obl183" localSheetId="26">#REF!</definedName>
    <definedName name="___obl183" localSheetId="27">#REF!</definedName>
    <definedName name="___obl183" localSheetId="11">#REF!</definedName>
    <definedName name="___obl183" localSheetId="13">#REF!</definedName>
    <definedName name="___obl183" localSheetId="18">#REF!</definedName>
    <definedName name="___obl183" localSheetId="29">#REF!</definedName>
    <definedName name="___obl183" localSheetId="30">#REF!</definedName>
    <definedName name="___obl183" localSheetId="31">#REF!</definedName>
    <definedName name="___obl183">#REF!</definedName>
    <definedName name="___obl1831" localSheetId="10">#REF!</definedName>
    <definedName name="___obl1831" localSheetId="23">#REF!</definedName>
    <definedName name="___obl1831" localSheetId="24">#REF!</definedName>
    <definedName name="___obl1831" localSheetId="28">#REF!</definedName>
    <definedName name="___obl1831" localSheetId="26">#REF!</definedName>
    <definedName name="___obl1831" localSheetId="27">#REF!</definedName>
    <definedName name="___obl1831" localSheetId="11">#REF!</definedName>
    <definedName name="___obl1831" localSheetId="13">#REF!</definedName>
    <definedName name="___obl1831" localSheetId="18">#REF!</definedName>
    <definedName name="___obl1831" localSheetId="29">#REF!</definedName>
    <definedName name="___obl1831" localSheetId="30">#REF!</definedName>
    <definedName name="___obl1831" localSheetId="31">#REF!</definedName>
    <definedName name="___obl1831">#REF!</definedName>
    <definedName name="___obl1832" localSheetId="10">#REF!</definedName>
    <definedName name="___obl1832" localSheetId="23">#REF!</definedName>
    <definedName name="___obl1832" localSheetId="24">#REF!</definedName>
    <definedName name="___obl1832" localSheetId="28">#REF!</definedName>
    <definedName name="___obl1832" localSheetId="26">#REF!</definedName>
    <definedName name="___obl1832" localSheetId="27">#REF!</definedName>
    <definedName name="___obl1832" localSheetId="11">#REF!</definedName>
    <definedName name="___obl1832" localSheetId="13">#REF!</definedName>
    <definedName name="___obl1832" localSheetId="18">#REF!</definedName>
    <definedName name="___obl1832" localSheetId="29">#REF!</definedName>
    <definedName name="___obl1832" localSheetId="30">#REF!</definedName>
    <definedName name="___obl1832" localSheetId="31">#REF!</definedName>
    <definedName name="___obl1832">#REF!</definedName>
    <definedName name="___obl184" localSheetId="10">#REF!</definedName>
    <definedName name="___obl184" localSheetId="23">#REF!</definedName>
    <definedName name="___obl184" localSheetId="24">#REF!</definedName>
    <definedName name="___obl184" localSheetId="28">#REF!</definedName>
    <definedName name="___obl184" localSheetId="26">#REF!</definedName>
    <definedName name="___obl184" localSheetId="27">#REF!</definedName>
    <definedName name="___obl184" localSheetId="11">#REF!</definedName>
    <definedName name="___obl184" localSheetId="13">#REF!</definedName>
    <definedName name="___obl184" localSheetId="18">#REF!</definedName>
    <definedName name="___obl184" localSheetId="29">#REF!</definedName>
    <definedName name="___obl184" localSheetId="30">#REF!</definedName>
    <definedName name="___obl184" localSheetId="31">#REF!</definedName>
    <definedName name="___obl184">#REF!</definedName>
    <definedName name="___obl185" localSheetId="10">#REF!</definedName>
    <definedName name="___obl185" localSheetId="23">#REF!</definedName>
    <definedName name="___obl185" localSheetId="24">#REF!</definedName>
    <definedName name="___obl185" localSheetId="28">#REF!</definedName>
    <definedName name="___obl185" localSheetId="26">#REF!</definedName>
    <definedName name="___obl185" localSheetId="27">#REF!</definedName>
    <definedName name="___obl185" localSheetId="11">#REF!</definedName>
    <definedName name="___obl185" localSheetId="13">#REF!</definedName>
    <definedName name="___obl185" localSheetId="18">#REF!</definedName>
    <definedName name="___obl185" localSheetId="29">#REF!</definedName>
    <definedName name="___obl185" localSheetId="30">#REF!</definedName>
    <definedName name="___obl185" localSheetId="31">#REF!</definedName>
    <definedName name="___obl185">#REF!</definedName>
    <definedName name="___obl186" localSheetId="10">#REF!</definedName>
    <definedName name="___obl186" localSheetId="23">#REF!</definedName>
    <definedName name="___obl186" localSheetId="24">#REF!</definedName>
    <definedName name="___obl186" localSheetId="28">#REF!</definedName>
    <definedName name="___obl186" localSheetId="26">#REF!</definedName>
    <definedName name="___obl186" localSheetId="27">#REF!</definedName>
    <definedName name="___obl186" localSheetId="11">#REF!</definedName>
    <definedName name="___obl186" localSheetId="13">#REF!</definedName>
    <definedName name="___obl186" localSheetId="18">#REF!</definedName>
    <definedName name="___obl186" localSheetId="29">#REF!</definedName>
    <definedName name="___obl186" localSheetId="30">#REF!</definedName>
    <definedName name="___obl186" localSheetId="31">#REF!</definedName>
    <definedName name="___obl186">#REF!</definedName>
    <definedName name="___obl187" localSheetId="10">#REF!</definedName>
    <definedName name="___obl187" localSheetId="23">#REF!</definedName>
    <definedName name="___obl187" localSheetId="24">#REF!</definedName>
    <definedName name="___obl187" localSheetId="28">#REF!</definedName>
    <definedName name="___obl187" localSheetId="26">#REF!</definedName>
    <definedName name="___obl187" localSheetId="27">#REF!</definedName>
    <definedName name="___obl187" localSheetId="11">#REF!</definedName>
    <definedName name="___obl187" localSheetId="13">#REF!</definedName>
    <definedName name="___obl187" localSheetId="18">#REF!</definedName>
    <definedName name="___obl187" localSheetId="29">#REF!</definedName>
    <definedName name="___obl187" localSheetId="30">#REF!</definedName>
    <definedName name="___obl187" localSheetId="31">#REF!</definedName>
    <definedName name="___obl187">#REF!</definedName>
    <definedName name="__obl11" localSheetId="10">#REF!</definedName>
    <definedName name="__obl11" localSheetId="22">#REF!</definedName>
    <definedName name="__obl11" localSheetId="23">#REF!</definedName>
    <definedName name="__obl11" localSheetId="21">#REF!</definedName>
    <definedName name="__obl11" localSheetId="24">#REF!</definedName>
    <definedName name="__obl11" localSheetId="28">#REF!</definedName>
    <definedName name="__obl11" localSheetId="26">#REF!</definedName>
    <definedName name="__obl11" localSheetId="27">#REF!</definedName>
    <definedName name="__obl11" localSheetId="11">#REF!</definedName>
    <definedName name="__obl11" localSheetId="13">#REF!</definedName>
    <definedName name="__obl11" localSheetId="18">#REF!</definedName>
    <definedName name="__obl11" localSheetId="29">#REF!</definedName>
    <definedName name="__obl11" localSheetId="30">#REF!</definedName>
    <definedName name="__obl11" localSheetId="31">#REF!</definedName>
    <definedName name="__obl11" localSheetId="34">#REF!</definedName>
    <definedName name="__obl11" localSheetId="33">#REF!</definedName>
    <definedName name="__obl11" localSheetId="38">#REF!</definedName>
    <definedName name="__obl11" localSheetId="39">#REF!</definedName>
    <definedName name="__obl11" localSheetId="40">#REF!</definedName>
    <definedName name="__obl11" localSheetId="41">#REF!</definedName>
    <definedName name="__obl11" localSheetId="47">#REF!</definedName>
    <definedName name="__obl11" localSheetId="48">#REF!</definedName>
    <definedName name="__obl11" localSheetId="43">#REF!</definedName>
    <definedName name="__obl11" localSheetId="44">#REF!</definedName>
    <definedName name="__obl11" localSheetId="45">#REF!</definedName>
    <definedName name="__obl11" localSheetId="46">#REF!</definedName>
    <definedName name="__obl11" localSheetId="32">#REF!</definedName>
    <definedName name="__obl11" localSheetId="42">#REF!</definedName>
    <definedName name="__obl11" localSheetId="1">#REF!</definedName>
    <definedName name="__obl11">#REF!</definedName>
    <definedName name="__obl12" localSheetId="10">#REF!</definedName>
    <definedName name="__obl12" localSheetId="22">#REF!</definedName>
    <definedName name="__obl12" localSheetId="23">#REF!</definedName>
    <definedName name="__obl12" localSheetId="21">#REF!</definedName>
    <definedName name="__obl12" localSheetId="24">#REF!</definedName>
    <definedName name="__obl12" localSheetId="28">#REF!</definedName>
    <definedName name="__obl12" localSheetId="26">#REF!</definedName>
    <definedName name="__obl12" localSheetId="27">#REF!</definedName>
    <definedName name="__obl12" localSheetId="11">#REF!</definedName>
    <definedName name="__obl12" localSheetId="13">#REF!</definedName>
    <definedName name="__obl12" localSheetId="18">#REF!</definedName>
    <definedName name="__obl12" localSheetId="29">#REF!</definedName>
    <definedName name="__obl12" localSheetId="30">#REF!</definedName>
    <definedName name="__obl12" localSheetId="31">#REF!</definedName>
    <definedName name="__obl12" localSheetId="34">#REF!</definedName>
    <definedName name="__obl12" localSheetId="33">#REF!</definedName>
    <definedName name="__obl12" localSheetId="38">#REF!</definedName>
    <definedName name="__obl12" localSheetId="39">#REF!</definedName>
    <definedName name="__obl12" localSheetId="40">#REF!</definedName>
    <definedName name="__obl12" localSheetId="41">#REF!</definedName>
    <definedName name="__obl12" localSheetId="47">#REF!</definedName>
    <definedName name="__obl12" localSheetId="48">#REF!</definedName>
    <definedName name="__obl12" localSheetId="43">#REF!</definedName>
    <definedName name="__obl12" localSheetId="44">#REF!</definedName>
    <definedName name="__obl12" localSheetId="45">#REF!</definedName>
    <definedName name="__obl12" localSheetId="46">#REF!</definedName>
    <definedName name="__obl12" localSheetId="1">#REF!</definedName>
    <definedName name="__obl12">#REF!</definedName>
    <definedName name="__obl13" localSheetId="10">#REF!</definedName>
    <definedName name="__obl13" localSheetId="22">#REF!</definedName>
    <definedName name="__obl13" localSheetId="23">#REF!</definedName>
    <definedName name="__obl13" localSheetId="21">#REF!</definedName>
    <definedName name="__obl13" localSheetId="24">#REF!</definedName>
    <definedName name="__obl13" localSheetId="28">#REF!</definedName>
    <definedName name="__obl13" localSheetId="26">#REF!</definedName>
    <definedName name="__obl13" localSheetId="27">#REF!</definedName>
    <definedName name="__obl13" localSheetId="11">#REF!</definedName>
    <definedName name="__obl13" localSheetId="13">#REF!</definedName>
    <definedName name="__obl13" localSheetId="18">#REF!</definedName>
    <definedName name="__obl13" localSheetId="29">#REF!</definedName>
    <definedName name="__obl13" localSheetId="30">#REF!</definedName>
    <definedName name="__obl13" localSheetId="31">#REF!</definedName>
    <definedName name="__obl13" localSheetId="34">#REF!</definedName>
    <definedName name="__obl13" localSheetId="33">#REF!</definedName>
    <definedName name="__obl13" localSheetId="38">#REF!</definedName>
    <definedName name="__obl13" localSheetId="39">#REF!</definedName>
    <definedName name="__obl13" localSheetId="40">#REF!</definedName>
    <definedName name="__obl13" localSheetId="41">#REF!</definedName>
    <definedName name="__obl13" localSheetId="47">#REF!</definedName>
    <definedName name="__obl13" localSheetId="48">#REF!</definedName>
    <definedName name="__obl13" localSheetId="43">#REF!</definedName>
    <definedName name="__obl13" localSheetId="44">#REF!</definedName>
    <definedName name="__obl13" localSheetId="45">#REF!</definedName>
    <definedName name="__obl13" localSheetId="46">#REF!</definedName>
    <definedName name="__obl13" localSheetId="1">#REF!</definedName>
    <definedName name="__obl13">#REF!</definedName>
    <definedName name="__obl14" localSheetId="10">#REF!</definedName>
    <definedName name="__obl14" localSheetId="22">#REF!</definedName>
    <definedName name="__obl14" localSheetId="23">#REF!</definedName>
    <definedName name="__obl14" localSheetId="21">#REF!</definedName>
    <definedName name="__obl14" localSheetId="24">#REF!</definedName>
    <definedName name="__obl14" localSheetId="28">#REF!</definedName>
    <definedName name="__obl14" localSheetId="26">#REF!</definedName>
    <definedName name="__obl14" localSheetId="27">#REF!</definedName>
    <definedName name="__obl14" localSheetId="11">#REF!</definedName>
    <definedName name="__obl14" localSheetId="13">#REF!</definedName>
    <definedName name="__obl14" localSheetId="18">#REF!</definedName>
    <definedName name="__obl14" localSheetId="29">#REF!</definedName>
    <definedName name="__obl14" localSheetId="30">#REF!</definedName>
    <definedName name="__obl14" localSheetId="31">#REF!</definedName>
    <definedName name="__obl14" localSheetId="34">#REF!</definedName>
    <definedName name="__obl14" localSheetId="33">#REF!</definedName>
    <definedName name="__obl14" localSheetId="38">#REF!</definedName>
    <definedName name="__obl14" localSheetId="39">#REF!</definedName>
    <definedName name="__obl14" localSheetId="40">#REF!</definedName>
    <definedName name="__obl14" localSheetId="41">#REF!</definedName>
    <definedName name="__obl14" localSheetId="47">#REF!</definedName>
    <definedName name="__obl14" localSheetId="48">#REF!</definedName>
    <definedName name="__obl14" localSheetId="43">#REF!</definedName>
    <definedName name="__obl14" localSheetId="44">#REF!</definedName>
    <definedName name="__obl14" localSheetId="45">#REF!</definedName>
    <definedName name="__obl14" localSheetId="46">#REF!</definedName>
    <definedName name="__obl14">#REF!</definedName>
    <definedName name="__obl15" localSheetId="10">#REF!</definedName>
    <definedName name="__obl15" localSheetId="22">#REF!</definedName>
    <definedName name="__obl15" localSheetId="23">#REF!</definedName>
    <definedName name="__obl15" localSheetId="21">#REF!</definedName>
    <definedName name="__obl15" localSheetId="24">#REF!</definedName>
    <definedName name="__obl15" localSheetId="28">#REF!</definedName>
    <definedName name="__obl15" localSheetId="26">#REF!</definedName>
    <definedName name="__obl15" localSheetId="27">#REF!</definedName>
    <definedName name="__obl15" localSheetId="11">#REF!</definedName>
    <definedName name="__obl15" localSheetId="13">#REF!</definedName>
    <definedName name="__obl15" localSheetId="18">#REF!</definedName>
    <definedName name="__obl15" localSheetId="29">#REF!</definedName>
    <definedName name="__obl15" localSheetId="30">#REF!</definedName>
    <definedName name="__obl15" localSheetId="31">#REF!</definedName>
    <definedName name="__obl15" localSheetId="34">#REF!</definedName>
    <definedName name="__obl15" localSheetId="33">#REF!</definedName>
    <definedName name="__obl15" localSheetId="38">#REF!</definedName>
    <definedName name="__obl15" localSheetId="39">#REF!</definedName>
    <definedName name="__obl15" localSheetId="40">#REF!</definedName>
    <definedName name="__obl15" localSheetId="41">#REF!</definedName>
    <definedName name="__obl15" localSheetId="47">#REF!</definedName>
    <definedName name="__obl15" localSheetId="48">#REF!</definedName>
    <definedName name="__obl15" localSheetId="43">#REF!</definedName>
    <definedName name="__obl15" localSheetId="44">#REF!</definedName>
    <definedName name="__obl15" localSheetId="45">#REF!</definedName>
    <definedName name="__obl15" localSheetId="46">#REF!</definedName>
    <definedName name="__obl15">#REF!</definedName>
    <definedName name="__obl16" localSheetId="10">#REF!</definedName>
    <definedName name="__obl16" localSheetId="22">#REF!</definedName>
    <definedName name="__obl16" localSheetId="23">#REF!</definedName>
    <definedName name="__obl16" localSheetId="21">#REF!</definedName>
    <definedName name="__obl16" localSheetId="24">#REF!</definedName>
    <definedName name="__obl16" localSheetId="28">#REF!</definedName>
    <definedName name="__obl16" localSheetId="26">#REF!</definedName>
    <definedName name="__obl16" localSheetId="27">#REF!</definedName>
    <definedName name="__obl16" localSheetId="11">#REF!</definedName>
    <definedName name="__obl16" localSheetId="13">#REF!</definedName>
    <definedName name="__obl16" localSheetId="18">#REF!</definedName>
    <definedName name="__obl16" localSheetId="29">#REF!</definedName>
    <definedName name="__obl16" localSheetId="30">#REF!</definedName>
    <definedName name="__obl16" localSheetId="31">#REF!</definedName>
    <definedName name="__obl16" localSheetId="34">#REF!</definedName>
    <definedName name="__obl16" localSheetId="33">#REF!</definedName>
    <definedName name="__obl16" localSheetId="38">#REF!</definedName>
    <definedName name="__obl16" localSheetId="39">#REF!</definedName>
    <definedName name="__obl16" localSheetId="40">#REF!</definedName>
    <definedName name="__obl16" localSheetId="41">#REF!</definedName>
    <definedName name="__obl16" localSheetId="47">#REF!</definedName>
    <definedName name="__obl16" localSheetId="48">#REF!</definedName>
    <definedName name="__obl16" localSheetId="43">#REF!</definedName>
    <definedName name="__obl16" localSheetId="44">#REF!</definedName>
    <definedName name="__obl16" localSheetId="45">#REF!</definedName>
    <definedName name="__obl16" localSheetId="46">#REF!</definedName>
    <definedName name="__obl16">#REF!</definedName>
    <definedName name="__obl17" localSheetId="10">#REF!</definedName>
    <definedName name="__obl17" localSheetId="22">#REF!</definedName>
    <definedName name="__obl17" localSheetId="23">#REF!</definedName>
    <definedName name="__obl17" localSheetId="21">#REF!</definedName>
    <definedName name="__obl17" localSheetId="24">#REF!</definedName>
    <definedName name="__obl17" localSheetId="28">#REF!</definedName>
    <definedName name="__obl17" localSheetId="26">#REF!</definedName>
    <definedName name="__obl17" localSheetId="27">#REF!</definedName>
    <definedName name="__obl17" localSheetId="11">#REF!</definedName>
    <definedName name="__obl17" localSheetId="13">#REF!</definedName>
    <definedName name="__obl17" localSheetId="18">#REF!</definedName>
    <definedName name="__obl17" localSheetId="29">#REF!</definedName>
    <definedName name="__obl17" localSheetId="30">#REF!</definedName>
    <definedName name="__obl17" localSheetId="31">#REF!</definedName>
    <definedName name="__obl17" localSheetId="34">#REF!</definedName>
    <definedName name="__obl17" localSheetId="33">#REF!</definedName>
    <definedName name="__obl17" localSheetId="38">#REF!</definedName>
    <definedName name="__obl17" localSheetId="39">#REF!</definedName>
    <definedName name="__obl17" localSheetId="40">#REF!</definedName>
    <definedName name="__obl17" localSheetId="41">#REF!</definedName>
    <definedName name="__obl17" localSheetId="47">#REF!</definedName>
    <definedName name="__obl17" localSheetId="48">#REF!</definedName>
    <definedName name="__obl17" localSheetId="43">#REF!</definedName>
    <definedName name="__obl17" localSheetId="44">#REF!</definedName>
    <definedName name="__obl17" localSheetId="45">#REF!</definedName>
    <definedName name="__obl17" localSheetId="46">#REF!</definedName>
    <definedName name="__obl17">#REF!</definedName>
    <definedName name="__obl1710" localSheetId="10">#REF!</definedName>
    <definedName name="__obl1710" localSheetId="22">#REF!</definedName>
    <definedName name="__obl1710" localSheetId="23">#REF!</definedName>
    <definedName name="__obl1710" localSheetId="21">#REF!</definedName>
    <definedName name="__obl1710" localSheetId="24">#REF!</definedName>
    <definedName name="__obl1710" localSheetId="28">#REF!</definedName>
    <definedName name="__obl1710" localSheetId="26">#REF!</definedName>
    <definedName name="__obl1710" localSheetId="27">#REF!</definedName>
    <definedName name="__obl1710" localSheetId="11">#REF!</definedName>
    <definedName name="__obl1710" localSheetId="13">#REF!</definedName>
    <definedName name="__obl1710" localSheetId="18">#REF!</definedName>
    <definedName name="__obl1710" localSheetId="29">#REF!</definedName>
    <definedName name="__obl1710" localSheetId="30">#REF!</definedName>
    <definedName name="__obl1710" localSheetId="31">#REF!</definedName>
    <definedName name="__obl1710" localSheetId="34">#REF!</definedName>
    <definedName name="__obl1710" localSheetId="33">#REF!</definedName>
    <definedName name="__obl1710" localSheetId="38">#REF!</definedName>
    <definedName name="__obl1710" localSheetId="39">#REF!</definedName>
    <definedName name="__obl1710" localSheetId="40">#REF!</definedName>
    <definedName name="__obl1710" localSheetId="41">#REF!</definedName>
    <definedName name="__obl1710" localSheetId="47">#REF!</definedName>
    <definedName name="__obl1710" localSheetId="48">#REF!</definedName>
    <definedName name="__obl1710" localSheetId="43">#REF!</definedName>
    <definedName name="__obl1710" localSheetId="44">#REF!</definedName>
    <definedName name="__obl1710" localSheetId="45">#REF!</definedName>
    <definedName name="__obl1710" localSheetId="46">#REF!</definedName>
    <definedName name="__obl1710">#REF!</definedName>
    <definedName name="__obl1711" localSheetId="10">#REF!</definedName>
    <definedName name="__obl1711" localSheetId="22">#REF!</definedName>
    <definedName name="__obl1711" localSheetId="23">#REF!</definedName>
    <definedName name="__obl1711" localSheetId="21">#REF!</definedName>
    <definedName name="__obl1711" localSheetId="24">#REF!</definedName>
    <definedName name="__obl1711" localSheetId="28">#REF!</definedName>
    <definedName name="__obl1711" localSheetId="26">#REF!</definedName>
    <definedName name="__obl1711" localSheetId="27">#REF!</definedName>
    <definedName name="__obl1711" localSheetId="11">#REF!</definedName>
    <definedName name="__obl1711" localSheetId="13">#REF!</definedName>
    <definedName name="__obl1711" localSheetId="18">#REF!</definedName>
    <definedName name="__obl1711" localSheetId="29">#REF!</definedName>
    <definedName name="__obl1711" localSheetId="30">#REF!</definedName>
    <definedName name="__obl1711" localSheetId="31">#REF!</definedName>
    <definedName name="__obl1711" localSheetId="34">#REF!</definedName>
    <definedName name="__obl1711" localSheetId="33">#REF!</definedName>
    <definedName name="__obl1711" localSheetId="38">#REF!</definedName>
    <definedName name="__obl1711" localSheetId="39">#REF!</definedName>
    <definedName name="__obl1711" localSheetId="40">#REF!</definedName>
    <definedName name="__obl1711" localSheetId="41">#REF!</definedName>
    <definedName name="__obl1711" localSheetId="47">#REF!</definedName>
    <definedName name="__obl1711" localSheetId="48">#REF!</definedName>
    <definedName name="__obl1711" localSheetId="43">#REF!</definedName>
    <definedName name="__obl1711" localSheetId="44">#REF!</definedName>
    <definedName name="__obl1711" localSheetId="45">#REF!</definedName>
    <definedName name="__obl1711" localSheetId="46">#REF!</definedName>
    <definedName name="__obl1711">#REF!</definedName>
    <definedName name="__obl1712" localSheetId="10">#REF!</definedName>
    <definedName name="__obl1712" localSheetId="22">#REF!</definedName>
    <definedName name="__obl1712" localSheetId="23">#REF!</definedName>
    <definedName name="__obl1712" localSheetId="21">#REF!</definedName>
    <definedName name="__obl1712" localSheetId="24">#REF!</definedName>
    <definedName name="__obl1712" localSheetId="28">#REF!</definedName>
    <definedName name="__obl1712" localSheetId="26">#REF!</definedName>
    <definedName name="__obl1712" localSheetId="27">#REF!</definedName>
    <definedName name="__obl1712" localSheetId="11">#REF!</definedName>
    <definedName name="__obl1712" localSheetId="13">#REF!</definedName>
    <definedName name="__obl1712" localSheetId="18">#REF!</definedName>
    <definedName name="__obl1712" localSheetId="29">#REF!</definedName>
    <definedName name="__obl1712" localSheetId="30">#REF!</definedName>
    <definedName name="__obl1712" localSheetId="31">#REF!</definedName>
    <definedName name="__obl1712" localSheetId="34">#REF!</definedName>
    <definedName name="__obl1712" localSheetId="33">#REF!</definedName>
    <definedName name="__obl1712" localSheetId="38">#REF!</definedName>
    <definedName name="__obl1712" localSheetId="39">#REF!</definedName>
    <definedName name="__obl1712" localSheetId="40">#REF!</definedName>
    <definedName name="__obl1712" localSheetId="41">#REF!</definedName>
    <definedName name="__obl1712" localSheetId="47">#REF!</definedName>
    <definedName name="__obl1712" localSheetId="48">#REF!</definedName>
    <definedName name="__obl1712" localSheetId="43">#REF!</definedName>
    <definedName name="__obl1712" localSheetId="44">#REF!</definedName>
    <definedName name="__obl1712" localSheetId="45">#REF!</definedName>
    <definedName name="__obl1712" localSheetId="46">#REF!</definedName>
    <definedName name="__obl1712">#REF!</definedName>
    <definedName name="__obl1713" localSheetId="10">#REF!</definedName>
    <definedName name="__obl1713" localSheetId="22">#REF!</definedName>
    <definedName name="__obl1713" localSheetId="23">#REF!</definedName>
    <definedName name="__obl1713" localSheetId="21">#REF!</definedName>
    <definedName name="__obl1713" localSheetId="24">#REF!</definedName>
    <definedName name="__obl1713" localSheetId="28">#REF!</definedName>
    <definedName name="__obl1713" localSheetId="26">#REF!</definedName>
    <definedName name="__obl1713" localSheetId="27">#REF!</definedName>
    <definedName name="__obl1713" localSheetId="11">#REF!</definedName>
    <definedName name="__obl1713" localSheetId="13">#REF!</definedName>
    <definedName name="__obl1713" localSheetId="18">#REF!</definedName>
    <definedName name="__obl1713" localSheetId="29">#REF!</definedName>
    <definedName name="__obl1713" localSheetId="30">#REF!</definedName>
    <definedName name="__obl1713" localSheetId="31">#REF!</definedName>
    <definedName name="__obl1713" localSheetId="34">#REF!</definedName>
    <definedName name="__obl1713" localSheetId="33">#REF!</definedName>
    <definedName name="__obl1713" localSheetId="38">#REF!</definedName>
    <definedName name="__obl1713" localSheetId="39">#REF!</definedName>
    <definedName name="__obl1713" localSheetId="40">#REF!</definedName>
    <definedName name="__obl1713" localSheetId="41">#REF!</definedName>
    <definedName name="__obl1713" localSheetId="47">#REF!</definedName>
    <definedName name="__obl1713" localSheetId="48">#REF!</definedName>
    <definedName name="__obl1713" localSheetId="43">#REF!</definedName>
    <definedName name="__obl1713" localSheetId="44">#REF!</definedName>
    <definedName name="__obl1713" localSheetId="45">#REF!</definedName>
    <definedName name="__obl1713" localSheetId="46">#REF!</definedName>
    <definedName name="__obl1713">#REF!</definedName>
    <definedName name="__obl1714" localSheetId="10">#REF!</definedName>
    <definedName name="__obl1714" localSheetId="22">#REF!</definedName>
    <definedName name="__obl1714" localSheetId="23">#REF!</definedName>
    <definedName name="__obl1714" localSheetId="21">#REF!</definedName>
    <definedName name="__obl1714" localSheetId="24">#REF!</definedName>
    <definedName name="__obl1714" localSheetId="28">#REF!</definedName>
    <definedName name="__obl1714" localSheetId="26">#REF!</definedName>
    <definedName name="__obl1714" localSheetId="27">#REF!</definedName>
    <definedName name="__obl1714" localSheetId="11">#REF!</definedName>
    <definedName name="__obl1714" localSheetId="13">#REF!</definedName>
    <definedName name="__obl1714" localSheetId="18">#REF!</definedName>
    <definedName name="__obl1714" localSheetId="29">#REF!</definedName>
    <definedName name="__obl1714" localSheetId="30">#REF!</definedName>
    <definedName name="__obl1714" localSheetId="31">#REF!</definedName>
    <definedName name="__obl1714" localSheetId="34">#REF!</definedName>
    <definedName name="__obl1714" localSheetId="33">#REF!</definedName>
    <definedName name="__obl1714" localSheetId="38">#REF!</definedName>
    <definedName name="__obl1714" localSheetId="39">#REF!</definedName>
    <definedName name="__obl1714" localSheetId="40">#REF!</definedName>
    <definedName name="__obl1714" localSheetId="41">#REF!</definedName>
    <definedName name="__obl1714" localSheetId="47">#REF!</definedName>
    <definedName name="__obl1714" localSheetId="48">#REF!</definedName>
    <definedName name="__obl1714" localSheetId="43">#REF!</definedName>
    <definedName name="__obl1714" localSheetId="44">#REF!</definedName>
    <definedName name="__obl1714" localSheetId="45">#REF!</definedName>
    <definedName name="__obl1714" localSheetId="46">#REF!</definedName>
    <definedName name="__obl1714">#REF!</definedName>
    <definedName name="__obl1715" localSheetId="10">#REF!</definedName>
    <definedName name="__obl1715" localSheetId="22">#REF!</definedName>
    <definedName name="__obl1715" localSheetId="23">#REF!</definedName>
    <definedName name="__obl1715" localSheetId="21">#REF!</definedName>
    <definedName name="__obl1715" localSheetId="24">#REF!</definedName>
    <definedName name="__obl1715" localSheetId="28">#REF!</definedName>
    <definedName name="__obl1715" localSheetId="26">#REF!</definedName>
    <definedName name="__obl1715" localSheetId="27">#REF!</definedName>
    <definedName name="__obl1715" localSheetId="11">#REF!</definedName>
    <definedName name="__obl1715" localSheetId="13">#REF!</definedName>
    <definedName name="__obl1715" localSheetId="18">#REF!</definedName>
    <definedName name="__obl1715" localSheetId="29">#REF!</definedName>
    <definedName name="__obl1715" localSheetId="30">#REF!</definedName>
    <definedName name="__obl1715" localSheetId="31">#REF!</definedName>
    <definedName name="__obl1715" localSheetId="34">#REF!</definedName>
    <definedName name="__obl1715" localSheetId="33">#REF!</definedName>
    <definedName name="__obl1715" localSheetId="38">#REF!</definedName>
    <definedName name="__obl1715" localSheetId="39">#REF!</definedName>
    <definedName name="__obl1715" localSheetId="40">#REF!</definedName>
    <definedName name="__obl1715" localSheetId="41">#REF!</definedName>
    <definedName name="__obl1715" localSheetId="47">#REF!</definedName>
    <definedName name="__obl1715" localSheetId="48">#REF!</definedName>
    <definedName name="__obl1715" localSheetId="43">#REF!</definedName>
    <definedName name="__obl1715" localSheetId="44">#REF!</definedName>
    <definedName name="__obl1715" localSheetId="45">#REF!</definedName>
    <definedName name="__obl1715" localSheetId="46">#REF!</definedName>
    <definedName name="__obl1715">#REF!</definedName>
    <definedName name="__obl1716" localSheetId="10">#REF!</definedName>
    <definedName name="__obl1716" localSheetId="22">#REF!</definedName>
    <definedName name="__obl1716" localSheetId="23">#REF!</definedName>
    <definedName name="__obl1716" localSheetId="21">#REF!</definedName>
    <definedName name="__obl1716" localSheetId="24">#REF!</definedName>
    <definedName name="__obl1716" localSheetId="28">#REF!</definedName>
    <definedName name="__obl1716" localSheetId="26">#REF!</definedName>
    <definedName name="__obl1716" localSheetId="27">#REF!</definedName>
    <definedName name="__obl1716" localSheetId="11">#REF!</definedName>
    <definedName name="__obl1716" localSheetId="13">#REF!</definedName>
    <definedName name="__obl1716" localSheetId="18">#REF!</definedName>
    <definedName name="__obl1716" localSheetId="29">#REF!</definedName>
    <definedName name="__obl1716" localSheetId="30">#REF!</definedName>
    <definedName name="__obl1716" localSheetId="31">#REF!</definedName>
    <definedName name="__obl1716" localSheetId="34">#REF!</definedName>
    <definedName name="__obl1716" localSheetId="33">#REF!</definedName>
    <definedName name="__obl1716" localSheetId="38">#REF!</definedName>
    <definedName name="__obl1716" localSheetId="39">#REF!</definedName>
    <definedName name="__obl1716" localSheetId="40">#REF!</definedName>
    <definedName name="__obl1716" localSheetId="41">#REF!</definedName>
    <definedName name="__obl1716" localSheetId="47">#REF!</definedName>
    <definedName name="__obl1716" localSheetId="48">#REF!</definedName>
    <definedName name="__obl1716" localSheetId="43">#REF!</definedName>
    <definedName name="__obl1716" localSheetId="44">#REF!</definedName>
    <definedName name="__obl1716" localSheetId="45">#REF!</definedName>
    <definedName name="__obl1716" localSheetId="46">#REF!</definedName>
    <definedName name="__obl1716">#REF!</definedName>
    <definedName name="__obl1717" localSheetId="10">#REF!</definedName>
    <definedName name="__obl1717" localSheetId="22">#REF!</definedName>
    <definedName name="__obl1717" localSheetId="23">#REF!</definedName>
    <definedName name="__obl1717" localSheetId="21">#REF!</definedName>
    <definedName name="__obl1717" localSheetId="24">#REF!</definedName>
    <definedName name="__obl1717" localSheetId="28">#REF!</definedName>
    <definedName name="__obl1717" localSheetId="26">#REF!</definedName>
    <definedName name="__obl1717" localSheetId="27">#REF!</definedName>
    <definedName name="__obl1717" localSheetId="11">#REF!</definedName>
    <definedName name="__obl1717" localSheetId="13">#REF!</definedName>
    <definedName name="__obl1717" localSheetId="18">#REF!</definedName>
    <definedName name="__obl1717" localSheetId="29">#REF!</definedName>
    <definedName name="__obl1717" localSheetId="30">#REF!</definedName>
    <definedName name="__obl1717" localSheetId="31">#REF!</definedName>
    <definedName name="__obl1717" localSheetId="34">#REF!</definedName>
    <definedName name="__obl1717" localSheetId="33">#REF!</definedName>
    <definedName name="__obl1717" localSheetId="38">#REF!</definedName>
    <definedName name="__obl1717" localSheetId="39">#REF!</definedName>
    <definedName name="__obl1717" localSheetId="40">#REF!</definedName>
    <definedName name="__obl1717" localSheetId="41">#REF!</definedName>
    <definedName name="__obl1717" localSheetId="47">#REF!</definedName>
    <definedName name="__obl1717" localSheetId="48">#REF!</definedName>
    <definedName name="__obl1717" localSheetId="43">#REF!</definedName>
    <definedName name="__obl1717" localSheetId="44">#REF!</definedName>
    <definedName name="__obl1717" localSheetId="45">#REF!</definedName>
    <definedName name="__obl1717" localSheetId="46">#REF!</definedName>
    <definedName name="__obl1717">#REF!</definedName>
    <definedName name="__obl1718" localSheetId="10">#REF!</definedName>
    <definedName name="__obl1718" localSheetId="22">#REF!</definedName>
    <definedName name="__obl1718" localSheetId="23">#REF!</definedName>
    <definedName name="__obl1718" localSheetId="21">#REF!</definedName>
    <definedName name="__obl1718" localSheetId="24">#REF!</definedName>
    <definedName name="__obl1718" localSheetId="28">#REF!</definedName>
    <definedName name="__obl1718" localSheetId="26">#REF!</definedName>
    <definedName name="__obl1718" localSheetId="27">#REF!</definedName>
    <definedName name="__obl1718" localSheetId="11">#REF!</definedName>
    <definedName name="__obl1718" localSheetId="13">#REF!</definedName>
    <definedName name="__obl1718" localSheetId="18">#REF!</definedName>
    <definedName name="__obl1718" localSheetId="29">#REF!</definedName>
    <definedName name="__obl1718" localSheetId="30">#REF!</definedName>
    <definedName name="__obl1718" localSheetId="31">#REF!</definedName>
    <definedName name="__obl1718" localSheetId="34">#REF!</definedName>
    <definedName name="__obl1718" localSheetId="33">#REF!</definedName>
    <definedName name="__obl1718" localSheetId="38">#REF!</definedName>
    <definedName name="__obl1718" localSheetId="39">#REF!</definedName>
    <definedName name="__obl1718" localSheetId="40">#REF!</definedName>
    <definedName name="__obl1718" localSheetId="41">#REF!</definedName>
    <definedName name="__obl1718" localSheetId="47">#REF!</definedName>
    <definedName name="__obl1718" localSheetId="48">#REF!</definedName>
    <definedName name="__obl1718" localSheetId="43">#REF!</definedName>
    <definedName name="__obl1718" localSheetId="44">#REF!</definedName>
    <definedName name="__obl1718" localSheetId="45">#REF!</definedName>
    <definedName name="__obl1718" localSheetId="46">#REF!</definedName>
    <definedName name="__obl1718">#REF!</definedName>
    <definedName name="__obl1719" localSheetId="10">#REF!</definedName>
    <definedName name="__obl1719" localSheetId="22">#REF!</definedName>
    <definedName name="__obl1719" localSheetId="23">#REF!</definedName>
    <definedName name="__obl1719" localSheetId="21">#REF!</definedName>
    <definedName name="__obl1719" localSheetId="24">#REF!</definedName>
    <definedName name="__obl1719" localSheetId="28">#REF!</definedName>
    <definedName name="__obl1719" localSheetId="26">#REF!</definedName>
    <definedName name="__obl1719" localSheetId="27">#REF!</definedName>
    <definedName name="__obl1719" localSheetId="11">#REF!</definedName>
    <definedName name="__obl1719" localSheetId="13">#REF!</definedName>
    <definedName name="__obl1719" localSheetId="18">#REF!</definedName>
    <definedName name="__obl1719" localSheetId="29">#REF!</definedName>
    <definedName name="__obl1719" localSheetId="30">#REF!</definedName>
    <definedName name="__obl1719" localSheetId="31">#REF!</definedName>
    <definedName name="__obl1719" localSheetId="34">#REF!</definedName>
    <definedName name="__obl1719" localSheetId="33">#REF!</definedName>
    <definedName name="__obl1719" localSheetId="38">#REF!</definedName>
    <definedName name="__obl1719" localSheetId="39">#REF!</definedName>
    <definedName name="__obl1719" localSheetId="40">#REF!</definedName>
    <definedName name="__obl1719" localSheetId="41">#REF!</definedName>
    <definedName name="__obl1719" localSheetId="47">#REF!</definedName>
    <definedName name="__obl1719" localSheetId="48">#REF!</definedName>
    <definedName name="__obl1719" localSheetId="43">#REF!</definedName>
    <definedName name="__obl1719" localSheetId="44">#REF!</definedName>
    <definedName name="__obl1719" localSheetId="45">#REF!</definedName>
    <definedName name="__obl1719" localSheetId="46">#REF!</definedName>
    <definedName name="__obl1719">#REF!</definedName>
    <definedName name="__obl173" localSheetId="10">#REF!</definedName>
    <definedName name="__obl173" localSheetId="22">#REF!</definedName>
    <definedName name="__obl173" localSheetId="23">#REF!</definedName>
    <definedName name="__obl173" localSheetId="21">#REF!</definedName>
    <definedName name="__obl173" localSheetId="24">#REF!</definedName>
    <definedName name="__obl173" localSheetId="28">#REF!</definedName>
    <definedName name="__obl173" localSheetId="26">#REF!</definedName>
    <definedName name="__obl173" localSheetId="27">#REF!</definedName>
    <definedName name="__obl173" localSheetId="11">#REF!</definedName>
    <definedName name="__obl173" localSheetId="13">#REF!</definedName>
    <definedName name="__obl173" localSheetId="18">#REF!</definedName>
    <definedName name="__obl173" localSheetId="29">#REF!</definedName>
    <definedName name="__obl173" localSheetId="30">#REF!</definedName>
    <definedName name="__obl173" localSheetId="31">#REF!</definedName>
    <definedName name="__obl173" localSheetId="34">#REF!</definedName>
    <definedName name="__obl173" localSheetId="33">#REF!</definedName>
    <definedName name="__obl173" localSheetId="38">#REF!</definedName>
    <definedName name="__obl173" localSheetId="39">#REF!</definedName>
    <definedName name="__obl173" localSheetId="40">#REF!</definedName>
    <definedName name="__obl173" localSheetId="41">#REF!</definedName>
    <definedName name="__obl173" localSheetId="47">#REF!</definedName>
    <definedName name="__obl173" localSheetId="48">#REF!</definedName>
    <definedName name="__obl173" localSheetId="43">#REF!</definedName>
    <definedName name="__obl173" localSheetId="44">#REF!</definedName>
    <definedName name="__obl173" localSheetId="45">#REF!</definedName>
    <definedName name="__obl173" localSheetId="46">#REF!</definedName>
    <definedName name="__obl173">#REF!</definedName>
    <definedName name="__obl174" localSheetId="10">#REF!</definedName>
    <definedName name="__obl174" localSheetId="22">#REF!</definedName>
    <definedName name="__obl174" localSheetId="23">#REF!</definedName>
    <definedName name="__obl174" localSheetId="21">#REF!</definedName>
    <definedName name="__obl174" localSheetId="24">#REF!</definedName>
    <definedName name="__obl174" localSheetId="28">#REF!</definedName>
    <definedName name="__obl174" localSheetId="26">#REF!</definedName>
    <definedName name="__obl174" localSheetId="27">#REF!</definedName>
    <definedName name="__obl174" localSheetId="11">#REF!</definedName>
    <definedName name="__obl174" localSheetId="13">#REF!</definedName>
    <definedName name="__obl174" localSheetId="18">#REF!</definedName>
    <definedName name="__obl174" localSheetId="29">#REF!</definedName>
    <definedName name="__obl174" localSheetId="30">#REF!</definedName>
    <definedName name="__obl174" localSheetId="31">#REF!</definedName>
    <definedName name="__obl174" localSheetId="34">#REF!</definedName>
    <definedName name="__obl174" localSheetId="33">#REF!</definedName>
    <definedName name="__obl174" localSheetId="38">#REF!</definedName>
    <definedName name="__obl174" localSheetId="39">#REF!</definedName>
    <definedName name="__obl174" localSheetId="40">#REF!</definedName>
    <definedName name="__obl174" localSheetId="41">#REF!</definedName>
    <definedName name="__obl174" localSheetId="47">#REF!</definedName>
    <definedName name="__obl174" localSheetId="48">#REF!</definedName>
    <definedName name="__obl174" localSheetId="43">#REF!</definedName>
    <definedName name="__obl174" localSheetId="44">#REF!</definedName>
    <definedName name="__obl174" localSheetId="45">#REF!</definedName>
    <definedName name="__obl174" localSheetId="46">#REF!</definedName>
    <definedName name="__obl174">#REF!</definedName>
    <definedName name="__obl175" localSheetId="10">#REF!</definedName>
    <definedName name="__obl175" localSheetId="22">#REF!</definedName>
    <definedName name="__obl175" localSheetId="23">#REF!</definedName>
    <definedName name="__obl175" localSheetId="21">#REF!</definedName>
    <definedName name="__obl175" localSheetId="24">#REF!</definedName>
    <definedName name="__obl175" localSheetId="28">#REF!</definedName>
    <definedName name="__obl175" localSheetId="26">#REF!</definedName>
    <definedName name="__obl175" localSheetId="27">#REF!</definedName>
    <definedName name="__obl175" localSheetId="11">#REF!</definedName>
    <definedName name="__obl175" localSheetId="13">#REF!</definedName>
    <definedName name="__obl175" localSheetId="18">#REF!</definedName>
    <definedName name="__obl175" localSheetId="29">#REF!</definedName>
    <definedName name="__obl175" localSheetId="30">#REF!</definedName>
    <definedName name="__obl175" localSheetId="31">#REF!</definedName>
    <definedName name="__obl175" localSheetId="34">#REF!</definedName>
    <definedName name="__obl175" localSheetId="33">#REF!</definedName>
    <definedName name="__obl175" localSheetId="38">#REF!</definedName>
    <definedName name="__obl175" localSheetId="39">#REF!</definedName>
    <definedName name="__obl175" localSheetId="40">#REF!</definedName>
    <definedName name="__obl175" localSheetId="41">#REF!</definedName>
    <definedName name="__obl175" localSheetId="47">#REF!</definedName>
    <definedName name="__obl175" localSheetId="48">#REF!</definedName>
    <definedName name="__obl175" localSheetId="43">#REF!</definedName>
    <definedName name="__obl175" localSheetId="44">#REF!</definedName>
    <definedName name="__obl175" localSheetId="45">#REF!</definedName>
    <definedName name="__obl175" localSheetId="46">#REF!</definedName>
    <definedName name="__obl175">#REF!</definedName>
    <definedName name="__obl176" localSheetId="10">#REF!</definedName>
    <definedName name="__obl176" localSheetId="22">#REF!</definedName>
    <definedName name="__obl176" localSheetId="23">#REF!</definedName>
    <definedName name="__obl176" localSheetId="21">#REF!</definedName>
    <definedName name="__obl176" localSheetId="24">#REF!</definedName>
    <definedName name="__obl176" localSheetId="28">#REF!</definedName>
    <definedName name="__obl176" localSheetId="26">#REF!</definedName>
    <definedName name="__obl176" localSheetId="27">#REF!</definedName>
    <definedName name="__obl176" localSheetId="11">#REF!</definedName>
    <definedName name="__obl176" localSheetId="13">#REF!</definedName>
    <definedName name="__obl176" localSheetId="18">#REF!</definedName>
    <definedName name="__obl176" localSheetId="29">#REF!</definedName>
    <definedName name="__obl176" localSheetId="30">#REF!</definedName>
    <definedName name="__obl176" localSheetId="31">#REF!</definedName>
    <definedName name="__obl176" localSheetId="34">#REF!</definedName>
    <definedName name="__obl176" localSheetId="33">#REF!</definedName>
    <definedName name="__obl176" localSheetId="38">#REF!</definedName>
    <definedName name="__obl176" localSheetId="39">#REF!</definedName>
    <definedName name="__obl176" localSheetId="40">#REF!</definedName>
    <definedName name="__obl176" localSheetId="41">#REF!</definedName>
    <definedName name="__obl176" localSheetId="47">#REF!</definedName>
    <definedName name="__obl176" localSheetId="48">#REF!</definedName>
    <definedName name="__obl176" localSheetId="43">#REF!</definedName>
    <definedName name="__obl176" localSheetId="44">#REF!</definedName>
    <definedName name="__obl176" localSheetId="45">#REF!</definedName>
    <definedName name="__obl176" localSheetId="46">#REF!</definedName>
    <definedName name="__obl176">#REF!</definedName>
    <definedName name="__obl177" localSheetId="10">#REF!</definedName>
    <definedName name="__obl177" localSheetId="22">#REF!</definedName>
    <definedName name="__obl177" localSheetId="23">#REF!</definedName>
    <definedName name="__obl177" localSheetId="21">#REF!</definedName>
    <definedName name="__obl177" localSheetId="24">#REF!</definedName>
    <definedName name="__obl177" localSheetId="28">#REF!</definedName>
    <definedName name="__obl177" localSheetId="26">#REF!</definedName>
    <definedName name="__obl177" localSheetId="27">#REF!</definedName>
    <definedName name="__obl177" localSheetId="11">#REF!</definedName>
    <definedName name="__obl177" localSheetId="13">#REF!</definedName>
    <definedName name="__obl177" localSheetId="18">#REF!</definedName>
    <definedName name="__obl177" localSheetId="29">#REF!</definedName>
    <definedName name="__obl177" localSheetId="30">#REF!</definedName>
    <definedName name="__obl177" localSheetId="31">#REF!</definedName>
    <definedName name="__obl177" localSheetId="34">#REF!</definedName>
    <definedName name="__obl177" localSheetId="33">#REF!</definedName>
    <definedName name="__obl177" localSheetId="38">#REF!</definedName>
    <definedName name="__obl177" localSheetId="39">#REF!</definedName>
    <definedName name="__obl177" localSheetId="40">#REF!</definedName>
    <definedName name="__obl177" localSheetId="41">#REF!</definedName>
    <definedName name="__obl177" localSheetId="47">#REF!</definedName>
    <definedName name="__obl177" localSheetId="48">#REF!</definedName>
    <definedName name="__obl177" localSheetId="43">#REF!</definedName>
    <definedName name="__obl177" localSheetId="44">#REF!</definedName>
    <definedName name="__obl177" localSheetId="45">#REF!</definedName>
    <definedName name="__obl177" localSheetId="46">#REF!</definedName>
    <definedName name="__obl177">#REF!</definedName>
    <definedName name="__obl178" localSheetId="10">#REF!</definedName>
    <definedName name="__obl178" localSheetId="22">#REF!</definedName>
    <definedName name="__obl178" localSheetId="23">#REF!</definedName>
    <definedName name="__obl178" localSheetId="21">#REF!</definedName>
    <definedName name="__obl178" localSheetId="24">#REF!</definedName>
    <definedName name="__obl178" localSheetId="28">#REF!</definedName>
    <definedName name="__obl178" localSheetId="26">#REF!</definedName>
    <definedName name="__obl178" localSheetId="27">#REF!</definedName>
    <definedName name="__obl178" localSheetId="11">#REF!</definedName>
    <definedName name="__obl178" localSheetId="13">#REF!</definedName>
    <definedName name="__obl178" localSheetId="18">#REF!</definedName>
    <definedName name="__obl178" localSheetId="29">#REF!</definedName>
    <definedName name="__obl178" localSheetId="30">#REF!</definedName>
    <definedName name="__obl178" localSheetId="31">#REF!</definedName>
    <definedName name="__obl178" localSheetId="34">#REF!</definedName>
    <definedName name="__obl178" localSheetId="33">#REF!</definedName>
    <definedName name="__obl178" localSheetId="38">#REF!</definedName>
    <definedName name="__obl178" localSheetId="39">#REF!</definedName>
    <definedName name="__obl178" localSheetId="40">#REF!</definedName>
    <definedName name="__obl178" localSheetId="41">#REF!</definedName>
    <definedName name="__obl178" localSheetId="47">#REF!</definedName>
    <definedName name="__obl178" localSheetId="48">#REF!</definedName>
    <definedName name="__obl178" localSheetId="43">#REF!</definedName>
    <definedName name="__obl178" localSheetId="44">#REF!</definedName>
    <definedName name="__obl178" localSheetId="45">#REF!</definedName>
    <definedName name="__obl178" localSheetId="46">#REF!</definedName>
    <definedName name="__obl178">#REF!</definedName>
    <definedName name="__obl179" localSheetId="10">#REF!</definedName>
    <definedName name="__obl179" localSheetId="22">#REF!</definedName>
    <definedName name="__obl179" localSheetId="23">#REF!</definedName>
    <definedName name="__obl179" localSheetId="21">#REF!</definedName>
    <definedName name="__obl179" localSheetId="24">#REF!</definedName>
    <definedName name="__obl179" localSheetId="28">#REF!</definedName>
    <definedName name="__obl179" localSheetId="26">#REF!</definedName>
    <definedName name="__obl179" localSheetId="27">#REF!</definedName>
    <definedName name="__obl179" localSheetId="11">#REF!</definedName>
    <definedName name="__obl179" localSheetId="13">#REF!</definedName>
    <definedName name="__obl179" localSheetId="18">#REF!</definedName>
    <definedName name="__obl179" localSheetId="29">#REF!</definedName>
    <definedName name="__obl179" localSheetId="30">#REF!</definedName>
    <definedName name="__obl179" localSheetId="31">#REF!</definedName>
    <definedName name="__obl179" localSheetId="34">#REF!</definedName>
    <definedName name="__obl179" localSheetId="33">#REF!</definedName>
    <definedName name="__obl179" localSheetId="38">#REF!</definedName>
    <definedName name="__obl179" localSheetId="39">#REF!</definedName>
    <definedName name="__obl179" localSheetId="40">#REF!</definedName>
    <definedName name="__obl179" localSheetId="41">#REF!</definedName>
    <definedName name="__obl179" localSheetId="47">#REF!</definedName>
    <definedName name="__obl179" localSheetId="48">#REF!</definedName>
    <definedName name="__obl179" localSheetId="43">#REF!</definedName>
    <definedName name="__obl179" localSheetId="44">#REF!</definedName>
    <definedName name="__obl179" localSheetId="45">#REF!</definedName>
    <definedName name="__obl179" localSheetId="46">#REF!</definedName>
    <definedName name="__obl179">#REF!</definedName>
    <definedName name="__obl18" localSheetId="10">#REF!</definedName>
    <definedName name="__obl18" localSheetId="22">#REF!</definedName>
    <definedName name="__obl18" localSheetId="23">#REF!</definedName>
    <definedName name="__obl18" localSheetId="21">#REF!</definedName>
    <definedName name="__obl18" localSheetId="24">#REF!</definedName>
    <definedName name="__obl18" localSheetId="28">#REF!</definedName>
    <definedName name="__obl18" localSheetId="26">#REF!</definedName>
    <definedName name="__obl18" localSheetId="27">#REF!</definedName>
    <definedName name="__obl18" localSheetId="11">#REF!</definedName>
    <definedName name="__obl18" localSheetId="13">#REF!</definedName>
    <definedName name="__obl18" localSheetId="18">#REF!</definedName>
    <definedName name="__obl18" localSheetId="29">#REF!</definedName>
    <definedName name="__obl18" localSheetId="30">#REF!</definedName>
    <definedName name="__obl18" localSheetId="31">#REF!</definedName>
    <definedName name="__obl18" localSheetId="34">#REF!</definedName>
    <definedName name="__obl18" localSheetId="33">#REF!</definedName>
    <definedName name="__obl18" localSheetId="38">#REF!</definedName>
    <definedName name="__obl18" localSheetId="39">#REF!</definedName>
    <definedName name="__obl18" localSheetId="40">#REF!</definedName>
    <definedName name="__obl18" localSheetId="41">#REF!</definedName>
    <definedName name="__obl18" localSheetId="47">#REF!</definedName>
    <definedName name="__obl18" localSheetId="48">#REF!</definedName>
    <definedName name="__obl18" localSheetId="43">#REF!</definedName>
    <definedName name="__obl18" localSheetId="44">#REF!</definedName>
    <definedName name="__obl18" localSheetId="45">#REF!</definedName>
    <definedName name="__obl18" localSheetId="46">#REF!</definedName>
    <definedName name="__obl18">#REF!</definedName>
    <definedName name="__obl181" localSheetId="10">#REF!</definedName>
    <definedName name="__obl181" localSheetId="22">#REF!</definedName>
    <definedName name="__obl181" localSheetId="23">#REF!</definedName>
    <definedName name="__obl181" localSheetId="21">#REF!</definedName>
    <definedName name="__obl181" localSheetId="24">#REF!</definedName>
    <definedName name="__obl181" localSheetId="28">#REF!</definedName>
    <definedName name="__obl181" localSheetId="26">#REF!</definedName>
    <definedName name="__obl181" localSheetId="27">#REF!</definedName>
    <definedName name="__obl181" localSheetId="11">#REF!</definedName>
    <definedName name="__obl181" localSheetId="13">#REF!</definedName>
    <definedName name="__obl181" localSheetId="18">#REF!</definedName>
    <definedName name="__obl181" localSheetId="29">#REF!</definedName>
    <definedName name="__obl181" localSheetId="30">#REF!</definedName>
    <definedName name="__obl181" localSheetId="31">#REF!</definedName>
    <definedName name="__obl181" localSheetId="34">#REF!</definedName>
    <definedName name="__obl181" localSheetId="33">#REF!</definedName>
    <definedName name="__obl181" localSheetId="38">#REF!</definedName>
    <definedName name="__obl181" localSheetId="39">#REF!</definedName>
    <definedName name="__obl181" localSheetId="40">#REF!</definedName>
    <definedName name="__obl181" localSheetId="41">#REF!</definedName>
    <definedName name="__obl181" localSheetId="47">#REF!</definedName>
    <definedName name="__obl181" localSheetId="48">#REF!</definedName>
    <definedName name="__obl181" localSheetId="43">#REF!</definedName>
    <definedName name="__obl181" localSheetId="44">#REF!</definedName>
    <definedName name="__obl181" localSheetId="45">#REF!</definedName>
    <definedName name="__obl181" localSheetId="46">#REF!</definedName>
    <definedName name="__obl181">#REF!</definedName>
    <definedName name="__obl1816" localSheetId="10">#REF!</definedName>
    <definedName name="__obl1816" localSheetId="22">#REF!</definedName>
    <definedName name="__obl1816" localSheetId="23">#REF!</definedName>
    <definedName name="__obl1816" localSheetId="21">#REF!</definedName>
    <definedName name="__obl1816" localSheetId="24">#REF!</definedName>
    <definedName name="__obl1816" localSheetId="28">#REF!</definedName>
    <definedName name="__obl1816" localSheetId="26">#REF!</definedName>
    <definedName name="__obl1816" localSheetId="27">#REF!</definedName>
    <definedName name="__obl1816" localSheetId="11">#REF!</definedName>
    <definedName name="__obl1816" localSheetId="13">#REF!</definedName>
    <definedName name="__obl1816" localSheetId="18">#REF!</definedName>
    <definedName name="__obl1816" localSheetId="29">#REF!</definedName>
    <definedName name="__obl1816" localSheetId="30">#REF!</definedName>
    <definedName name="__obl1816" localSheetId="31">#REF!</definedName>
    <definedName name="__obl1816" localSheetId="34">#REF!</definedName>
    <definedName name="__obl1816" localSheetId="33">#REF!</definedName>
    <definedName name="__obl1816" localSheetId="38">#REF!</definedName>
    <definedName name="__obl1816" localSheetId="39">#REF!</definedName>
    <definedName name="__obl1816" localSheetId="40">#REF!</definedName>
    <definedName name="__obl1816" localSheetId="41">#REF!</definedName>
    <definedName name="__obl1816" localSheetId="47">#REF!</definedName>
    <definedName name="__obl1816" localSheetId="48">#REF!</definedName>
    <definedName name="__obl1816" localSheetId="43">#REF!</definedName>
    <definedName name="__obl1816" localSheetId="44">#REF!</definedName>
    <definedName name="__obl1816" localSheetId="45">#REF!</definedName>
    <definedName name="__obl1816" localSheetId="46">#REF!</definedName>
    <definedName name="__obl1816">#REF!</definedName>
    <definedName name="__obl1820" localSheetId="10">#REF!</definedName>
    <definedName name="__obl1820" localSheetId="22">#REF!</definedName>
    <definedName name="__obl1820" localSheetId="23">#REF!</definedName>
    <definedName name="__obl1820" localSheetId="21">#REF!</definedName>
    <definedName name="__obl1820" localSheetId="24">#REF!</definedName>
    <definedName name="__obl1820" localSheetId="28">#REF!</definedName>
    <definedName name="__obl1820" localSheetId="26">#REF!</definedName>
    <definedName name="__obl1820" localSheetId="27">#REF!</definedName>
    <definedName name="__obl1820" localSheetId="11">#REF!</definedName>
    <definedName name="__obl1820" localSheetId="13">#REF!</definedName>
    <definedName name="__obl1820" localSheetId="18">#REF!</definedName>
    <definedName name="__obl1820" localSheetId="29">#REF!</definedName>
    <definedName name="__obl1820" localSheetId="30">#REF!</definedName>
    <definedName name="__obl1820" localSheetId="31">#REF!</definedName>
    <definedName name="__obl1820" localSheetId="34">#REF!</definedName>
    <definedName name="__obl1820" localSheetId="33">#REF!</definedName>
    <definedName name="__obl1820" localSheetId="38">#REF!</definedName>
    <definedName name="__obl1820" localSheetId="39">#REF!</definedName>
    <definedName name="__obl1820" localSheetId="40">#REF!</definedName>
    <definedName name="__obl1820" localSheetId="41">#REF!</definedName>
    <definedName name="__obl1820" localSheetId="47">#REF!</definedName>
    <definedName name="__obl1820" localSheetId="48">#REF!</definedName>
    <definedName name="__obl1820" localSheetId="43">#REF!</definedName>
    <definedName name="__obl1820" localSheetId="44">#REF!</definedName>
    <definedName name="__obl1820" localSheetId="45">#REF!</definedName>
    <definedName name="__obl1820" localSheetId="46">#REF!</definedName>
    <definedName name="__obl1820">#REF!</definedName>
    <definedName name="__obl1821" localSheetId="10">#REF!</definedName>
    <definedName name="__obl1821" localSheetId="22">#REF!</definedName>
    <definedName name="__obl1821" localSheetId="23">#REF!</definedName>
    <definedName name="__obl1821" localSheetId="21">#REF!</definedName>
    <definedName name="__obl1821" localSheetId="24">#REF!</definedName>
    <definedName name="__obl1821" localSheetId="28">#REF!</definedName>
    <definedName name="__obl1821" localSheetId="26">#REF!</definedName>
    <definedName name="__obl1821" localSheetId="27">#REF!</definedName>
    <definedName name="__obl1821" localSheetId="11">#REF!</definedName>
    <definedName name="__obl1821" localSheetId="13">#REF!</definedName>
    <definedName name="__obl1821" localSheetId="18">#REF!</definedName>
    <definedName name="__obl1821" localSheetId="29">#REF!</definedName>
    <definedName name="__obl1821" localSheetId="30">#REF!</definedName>
    <definedName name="__obl1821" localSheetId="31">#REF!</definedName>
    <definedName name="__obl1821" localSheetId="34">#REF!</definedName>
    <definedName name="__obl1821" localSheetId="33">#REF!</definedName>
    <definedName name="__obl1821" localSheetId="38">#REF!</definedName>
    <definedName name="__obl1821" localSheetId="39">#REF!</definedName>
    <definedName name="__obl1821" localSheetId="40">#REF!</definedName>
    <definedName name="__obl1821" localSheetId="41">#REF!</definedName>
    <definedName name="__obl1821" localSheetId="47">#REF!</definedName>
    <definedName name="__obl1821" localSheetId="48">#REF!</definedName>
    <definedName name="__obl1821" localSheetId="43">#REF!</definedName>
    <definedName name="__obl1821" localSheetId="44">#REF!</definedName>
    <definedName name="__obl1821" localSheetId="45">#REF!</definedName>
    <definedName name="__obl1821" localSheetId="46">#REF!</definedName>
    <definedName name="__obl1821">#REF!</definedName>
    <definedName name="__obl1822" localSheetId="10">#REF!</definedName>
    <definedName name="__obl1822" localSheetId="22">#REF!</definedName>
    <definedName name="__obl1822" localSheetId="23">#REF!</definedName>
    <definedName name="__obl1822" localSheetId="21">#REF!</definedName>
    <definedName name="__obl1822" localSheetId="24">#REF!</definedName>
    <definedName name="__obl1822" localSheetId="28">#REF!</definedName>
    <definedName name="__obl1822" localSheetId="26">#REF!</definedName>
    <definedName name="__obl1822" localSheetId="27">#REF!</definedName>
    <definedName name="__obl1822" localSheetId="11">#REF!</definedName>
    <definedName name="__obl1822" localSheetId="13">#REF!</definedName>
    <definedName name="__obl1822" localSheetId="18">#REF!</definedName>
    <definedName name="__obl1822" localSheetId="29">#REF!</definedName>
    <definedName name="__obl1822" localSheetId="30">#REF!</definedName>
    <definedName name="__obl1822" localSheetId="31">#REF!</definedName>
    <definedName name="__obl1822" localSheetId="34">#REF!</definedName>
    <definedName name="__obl1822" localSheetId="33">#REF!</definedName>
    <definedName name="__obl1822" localSheetId="38">#REF!</definedName>
    <definedName name="__obl1822" localSheetId="39">#REF!</definedName>
    <definedName name="__obl1822" localSheetId="40">#REF!</definedName>
    <definedName name="__obl1822" localSheetId="41">#REF!</definedName>
    <definedName name="__obl1822" localSheetId="47">#REF!</definedName>
    <definedName name="__obl1822" localSheetId="48">#REF!</definedName>
    <definedName name="__obl1822" localSheetId="43">#REF!</definedName>
    <definedName name="__obl1822" localSheetId="44">#REF!</definedName>
    <definedName name="__obl1822" localSheetId="45">#REF!</definedName>
    <definedName name="__obl1822" localSheetId="46">#REF!</definedName>
    <definedName name="__obl1822">#REF!</definedName>
    <definedName name="__obl1823" localSheetId="10">#REF!</definedName>
    <definedName name="__obl1823" localSheetId="22">#REF!</definedName>
    <definedName name="__obl1823" localSheetId="23">#REF!</definedName>
    <definedName name="__obl1823" localSheetId="21">#REF!</definedName>
    <definedName name="__obl1823" localSheetId="24">#REF!</definedName>
    <definedName name="__obl1823" localSheetId="28">#REF!</definedName>
    <definedName name="__obl1823" localSheetId="26">#REF!</definedName>
    <definedName name="__obl1823" localSheetId="27">#REF!</definedName>
    <definedName name="__obl1823" localSheetId="11">#REF!</definedName>
    <definedName name="__obl1823" localSheetId="13">#REF!</definedName>
    <definedName name="__obl1823" localSheetId="18">#REF!</definedName>
    <definedName name="__obl1823" localSheetId="29">#REF!</definedName>
    <definedName name="__obl1823" localSheetId="30">#REF!</definedName>
    <definedName name="__obl1823" localSheetId="31">#REF!</definedName>
    <definedName name="__obl1823" localSheetId="34">#REF!</definedName>
    <definedName name="__obl1823" localSheetId="33">#REF!</definedName>
    <definedName name="__obl1823" localSheetId="38">#REF!</definedName>
    <definedName name="__obl1823" localSheetId="39">#REF!</definedName>
    <definedName name="__obl1823" localSheetId="40">#REF!</definedName>
    <definedName name="__obl1823" localSheetId="41">#REF!</definedName>
    <definedName name="__obl1823" localSheetId="47">#REF!</definedName>
    <definedName name="__obl1823" localSheetId="48">#REF!</definedName>
    <definedName name="__obl1823" localSheetId="43">#REF!</definedName>
    <definedName name="__obl1823" localSheetId="44">#REF!</definedName>
    <definedName name="__obl1823" localSheetId="45">#REF!</definedName>
    <definedName name="__obl1823" localSheetId="46">#REF!</definedName>
    <definedName name="__obl1823">#REF!</definedName>
    <definedName name="__obl1824" localSheetId="10">#REF!</definedName>
    <definedName name="__obl1824" localSheetId="22">#REF!</definedName>
    <definedName name="__obl1824" localSheetId="23">#REF!</definedName>
    <definedName name="__obl1824" localSheetId="21">#REF!</definedName>
    <definedName name="__obl1824" localSheetId="24">#REF!</definedName>
    <definedName name="__obl1824" localSheetId="28">#REF!</definedName>
    <definedName name="__obl1824" localSheetId="26">#REF!</definedName>
    <definedName name="__obl1824" localSheetId="27">#REF!</definedName>
    <definedName name="__obl1824" localSheetId="11">#REF!</definedName>
    <definedName name="__obl1824" localSheetId="13">#REF!</definedName>
    <definedName name="__obl1824" localSheetId="18">#REF!</definedName>
    <definedName name="__obl1824" localSheetId="29">#REF!</definedName>
    <definedName name="__obl1824" localSheetId="30">#REF!</definedName>
    <definedName name="__obl1824" localSheetId="31">#REF!</definedName>
    <definedName name="__obl1824" localSheetId="34">#REF!</definedName>
    <definedName name="__obl1824" localSheetId="33">#REF!</definedName>
    <definedName name="__obl1824" localSheetId="38">#REF!</definedName>
    <definedName name="__obl1824" localSheetId="39">#REF!</definedName>
    <definedName name="__obl1824" localSheetId="40">#REF!</definedName>
    <definedName name="__obl1824" localSheetId="41">#REF!</definedName>
    <definedName name="__obl1824" localSheetId="47">#REF!</definedName>
    <definedName name="__obl1824" localSheetId="48">#REF!</definedName>
    <definedName name="__obl1824" localSheetId="43">#REF!</definedName>
    <definedName name="__obl1824" localSheetId="44">#REF!</definedName>
    <definedName name="__obl1824" localSheetId="45">#REF!</definedName>
    <definedName name="__obl1824" localSheetId="46">#REF!</definedName>
    <definedName name="__obl1824">#REF!</definedName>
    <definedName name="__obl1825" localSheetId="10">#REF!</definedName>
    <definedName name="__obl1825" localSheetId="22">#REF!</definedName>
    <definedName name="__obl1825" localSheetId="23">#REF!</definedName>
    <definedName name="__obl1825" localSheetId="21">#REF!</definedName>
    <definedName name="__obl1825" localSheetId="24">#REF!</definedName>
    <definedName name="__obl1825" localSheetId="28">#REF!</definedName>
    <definedName name="__obl1825" localSheetId="26">#REF!</definedName>
    <definedName name="__obl1825" localSheetId="27">#REF!</definedName>
    <definedName name="__obl1825" localSheetId="11">#REF!</definedName>
    <definedName name="__obl1825" localSheetId="13">#REF!</definedName>
    <definedName name="__obl1825" localSheetId="18">#REF!</definedName>
    <definedName name="__obl1825" localSheetId="29">#REF!</definedName>
    <definedName name="__obl1825" localSheetId="30">#REF!</definedName>
    <definedName name="__obl1825" localSheetId="31">#REF!</definedName>
    <definedName name="__obl1825" localSheetId="34">#REF!</definedName>
    <definedName name="__obl1825" localSheetId="33">#REF!</definedName>
    <definedName name="__obl1825" localSheetId="38">#REF!</definedName>
    <definedName name="__obl1825" localSheetId="39">#REF!</definedName>
    <definedName name="__obl1825" localSheetId="40">#REF!</definedName>
    <definedName name="__obl1825" localSheetId="41">#REF!</definedName>
    <definedName name="__obl1825" localSheetId="47">#REF!</definedName>
    <definedName name="__obl1825" localSheetId="48">#REF!</definedName>
    <definedName name="__obl1825" localSheetId="43">#REF!</definedName>
    <definedName name="__obl1825" localSheetId="44">#REF!</definedName>
    <definedName name="__obl1825" localSheetId="45">#REF!</definedName>
    <definedName name="__obl1825" localSheetId="46">#REF!</definedName>
    <definedName name="__obl1825">#REF!</definedName>
    <definedName name="__obl1826" localSheetId="10">#REF!</definedName>
    <definedName name="__obl1826" localSheetId="22">#REF!</definedName>
    <definedName name="__obl1826" localSheetId="23">#REF!</definedName>
    <definedName name="__obl1826" localSheetId="21">#REF!</definedName>
    <definedName name="__obl1826" localSheetId="24">#REF!</definedName>
    <definedName name="__obl1826" localSheetId="28">#REF!</definedName>
    <definedName name="__obl1826" localSheetId="26">#REF!</definedName>
    <definedName name="__obl1826" localSheetId="27">#REF!</definedName>
    <definedName name="__obl1826" localSheetId="11">#REF!</definedName>
    <definedName name="__obl1826" localSheetId="13">#REF!</definedName>
    <definedName name="__obl1826" localSheetId="18">#REF!</definedName>
    <definedName name="__obl1826" localSheetId="29">#REF!</definedName>
    <definedName name="__obl1826" localSheetId="30">#REF!</definedName>
    <definedName name="__obl1826" localSheetId="31">#REF!</definedName>
    <definedName name="__obl1826" localSheetId="34">#REF!</definedName>
    <definedName name="__obl1826" localSheetId="33">#REF!</definedName>
    <definedName name="__obl1826" localSheetId="38">#REF!</definedName>
    <definedName name="__obl1826" localSheetId="39">#REF!</definedName>
    <definedName name="__obl1826" localSheetId="40">#REF!</definedName>
    <definedName name="__obl1826" localSheetId="41">#REF!</definedName>
    <definedName name="__obl1826" localSheetId="47">#REF!</definedName>
    <definedName name="__obl1826" localSheetId="48">#REF!</definedName>
    <definedName name="__obl1826" localSheetId="43">#REF!</definedName>
    <definedName name="__obl1826" localSheetId="44">#REF!</definedName>
    <definedName name="__obl1826" localSheetId="45">#REF!</definedName>
    <definedName name="__obl1826" localSheetId="46">#REF!</definedName>
    <definedName name="__obl1826">#REF!</definedName>
    <definedName name="__obl1827" localSheetId="10">#REF!</definedName>
    <definedName name="__obl1827" localSheetId="22">#REF!</definedName>
    <definedName name="__obl1827" localSheetId="23">#REF!</definedName>
    <definedName name="__obl1827" localSheetId="21">#REF!</definedName>
    <definedName name="__obl1827" localSheetId="24">#REF!</definedName>
    <definedName name="__obl1827" localSheetId="28">#REF!</definedName>
    <definedName name="__obl1827" localSheetId="26">#REF!</definedName>
    <definedName name="__obl1827" localSheetId="27">#REF!</definedName>
    <definedName name="__obl1827" localSheetId="11">#REF!</definedName>
    <definedName name="__obl1827" localSheetId="13">#REF!</definedName>
    <definedName name="__obl1827" localSheetId="18">#REF!</definedName>
    <definedName name="__obl1827" localSheetId="29">#REF!</definedName>
    <definedName name="__obl1827" localSheetId="30">#REF!</definedName>
    <definedName name="__obl1827" localSheetId="31">#REF!</definedName>
    <definedName name="__obl1827" localSheetId="34">#REF!</definedName>
    <definedName name="__obl1827" localSheetId="33">#REF!</definedName>
    <definedName name="__obl1827" localSheetId="38">#REF!</definedName>
    <definedName name="__obl1827" localSheetId="39">#REF!</definedName>
    <definedName name="__obl1827" localSheetId="40">#REF!</definedName>
    <definedName name="__obl1827" localSheetId="41">#REF!</definedName>
    <definedName name="__obl1827" localSheetId="47">#REF!</definedName>
    <definedName name="__obl1827" localSheetId="48">#REF!</definedName>
    <definedName name="__obl1827" localSheetId="43">#REF!</definedName>
    <definedName name="__obl1827" localSheetId="44">#REF!</definedName>
    <definedName name="__obl1827" localSheetId="45">#REF!</definedName>
    <definedName name="__obl1827" localSheetId="46">#REF!</definedName>
    <definedName name="__obl1827">#REF!</definedName>
    <definedName name="__obl1828" localSheetId="10">#REF!</definedName>
    <definedName name="__obl1828" localSheetId="22">#REF!</definedName>
    <definedName name="__obl1828" localSheetId="23">#REF!</definedName>
    <definedName name="__obl1828" localSheetId="21">#REF!</definedName>
    <definedName name="__obl1828" localSheetId="24">#REF!</definedName>
    <definedName name="__obl1828" localSheetId="28">#REF!</definedName>
    <definedName name="__obl1828" localSheetId="26">#REF!</definedName>
    <definedName name="__obl1828" localSheetId="27">#REF!</definedName>
    <definedName name="__obl1828" localSheetId="11">#REF!</definedName>
    <definedName name="__obl1828" localSheetId="13">#REF!</definedName>
    <definedName name="__obl1828" localSheetId="18">#REF!</definedName>
    <definedName name="__obl1828" localSheetId="29">#REF!</definedName>
    <definedName name="__obl1828" localSheetId="30">#REF!</definedName>
    <definedName name="__obl1828" localSheetId="31">#REF!</definedName>
    <definedName name="__obl1828" localSheetId="34">#REF!</definedName>
    <definedName name="__obl1828" localSheetId="33">#REF!</definedName>
    <definedName name="__obl1828" localSheetId="38">#REF!</definedName>
    <definedName name="__obl1828" localSheetId="39">#REF!</definedName>
    <definedName name="__obl1828" localSheetId="40">#REF!</definedName>
    <definedName name="__obl1828" localSheetId="41">#REF!</definedName>
    <definedName name="__obl1828" localSheetId="47">#REF!</definedName>
    <definedName name="__obl1828" localSheetId="48">#REF!</definedName>
    <definedName name="__obl1828" localSheetId="43">#REF!</definedName>
    <definedName name="__obl1828" localSheetId="44">#REF!</definedName>
    <definedName name="__obl1828" localSheetId="45">#REF!</definedName>
    <definedName name="__obl1828" localSheetId="46">#REF!</definedName>
    <definedName name="__obl1828">#REF!</definedName>
    <definedName name="__obl1829" localSheetId="10">#REF!</definedName>
    <definedName name="__obl1829" localSheetId="22">#REF!</definedName>
    <definedName name="__obl1829" localSheetId="23">#REF!</definedName>
    <definedName name="__obl1829" localSheetId="21">#REF!</definedName>
    <definedName name="__obl1829" localSheetId="24">#REF!</definedName>
    <definedName name="__obl1829" localSheetId="28">#REF!</definedName>
    <definedName name="__obl1829" localSheetId="26">#REF!</definedName>
    <definedName name="__obl1829" localSheetId="27">#REF!</definedName>
    <definedName name="__obl1829" localSheetId="11">#REF!</definedName>
    <definedName name="__obl1829" localSheetId="13">#REF!</definedName>
    <definedName name="__obl1829" localSheetId="18">#REF!</definedName>
    <definedName name="__obl1829" localSheetId="29">#REF!</definedName>
    <definedName name="__obl1829" localSheetId="30">#REF!</definedName>
    <definedName name="__obl1829" localSheetId="31">#REF!</definedName>
    <definedName name="__obl1829" localSheetId="34">#REF!</definedName>
    <definedName name="__obl1829" localSheetId="33">#REF!</definedName>
    <definedName name="__obl1829" localSheetId="38">#REF!</definedName>
    <definedName name="__obl1829" localSheetId="39">#REF!</definedName>
    <definedName name="__obl1829" localSheetId="40">#REF!</definedName>
    <definedName name="__obl1829" localSheetId="41">#REF!</definedName>
    <definedName name="__obl1829" localSheetId="47">#REF!</definedName>
    <definedName name="__obl1829" localSheetId="48">#REF!</definedName>
    <definedName name="__obl1829" localSheetId="43">#REF!</definedName>
    <definedName name="__obl1829" localSheetId="44">#REF!</definedName>
    <definedName name="__obl1829" localSheetId="45">#REF!</definedName>
    <definedName name="__obl1829" localSheetId="46">#REF!</definedName>
    <definedName name="__obl1829">#REF!</definedName>
    <definedName name="__obl183" localSheetId="10">#REF!</definedName>
    <definedName name="__obl183" localSheetId="22">#REF!</definedName>
    <definedName name="__obl183" localSheetId="23">#REF!</definedName>
    <definedName name="__obl183" localSheetId="21">#REF!</definedName>
    <definedName name="__obl183" localSheetId="24">#REF!</definedName>
    <definedName name="__obl183" localSheetId="28">#REF!</definedName>
    <definedName name="__obl183" localSheetId="26">#REF!</definedName>
    <definedName name="__obl183" localSheetId="27">#REF!</definedName>
    <definedName name="__obl183" localSheetId="11">#REF!</definedName>
    <definedName name="__obl183" localSheetId="13">#REF!</definedName>
    <definedName name="__obl183" localSheetId="18">#REF!</definedName>
    <definedName name="__obl183" localSheetId="29">#REF!</definedName>
    <definedName name="__obl183" localSheetId="30">#REF!</definedName>
    <definedName name="__obl183" localSheetId="31">#REF!</definedName>
    <definedName name="__obl183" localSheetId="34">#REF!</definedName>
    <definedName name="__obl183" localSheetId="33">#REF!</definedName>
    <definedName name="__obl183" localSheetId="38">#REF!</definedName>
    <definedName name="__obl183" localSheetId="39">#REF!</definedName>
    <definedName name="__obl183" localSheetId="40">#REF!</definedName>
    <definedName name="__obl183" localSheetId="41">#REF!</definedName>
    <definedName name="__obl183" localSheetId="47">#REF!</definedName>
    <definedName name="__obl183" localSheetId="48">#REF!</definedName>
    <definedName name="__obl183" localSheetId="43">#REF!</definedName>
    <definedName name="__obl183" localSheetId="44">#REF!</definedName>
    <definedName name="__obl183" localSheetId="45">#REF!</definedName>
    <definedName name="__obl183" localSheetId="46">#REF!</definedName>
    <definedName name="__obl183">#REF!</definedName>
    <definedName name="__obl1831" localSheetId="10">#REF!</definedName>
    <definedName name="__obl1831" localSheetId="22">#REF!</definedName>
    <definedName name="__obl1831" localSheetId="23">#REF!</definedName>
    <definedName name="__obl1831" localSheetId="21">#REF!</definedName>
    <definedName name="__obl1831" localSheetId="24">#REF!</definedName>
    <definedName name="__obl1831" localSheetId="28">#REF!</definedName>
    <definedName name="__obl1831" localSheetId="26">#REF!</definedName>
    <definedName name="__obl1831" localSheetId="27">#REF!</definedName>
    <definedName name="__obl1831" localSheetId="11">#REF!</definedName>
    <definedName name="__obl1831" localSheetId="13">#REF!</definedName>
    <definedName name="__obl1831" localSheetId="18">#REF!</definedName>
    <definedName name="__obl1831" localSheetId="29">#REF!</definedName>
    <definedName name="__obl1831" localSheetId="30">#REF!</definedName>
    <definedName name="__obl1831" localSheetId="31">#REF!</definedName>
    <definedName name="__obl1831" localSheetId="34">#REF!</definedName>
    <definedName name="__obl1831" localSheetId="33">#REF!</definedName>
    <definedName name="__obl1831" localSheetId="38">#REF!</definedName>
    <definedName name="__obl1831" localSheetId="39">#REF!</definedName>
    <definedName name="__obl1831" localSheetId="40">#REF!</definedName>
    <definedName name="__obl1831" localSheetId="41">#REF!</definedName>
    <definedName name="__obl1831" localSheetId="47">#REF!</definedName>
    <definedName name="__obl1831" localSheetId="48">#REF!</definedName>
    <definedName name="__obl1831" localSheetId="43">#REF!</definedName>
    <definedName name="__obl1831" localSheetId="44">#REF!</definedName>
    <definedName name="__obl1831" localSheetId="45">#REF!</definedName>
    <definedName name="__obl1831" localSheetId="46">#REF!</definedName>
    <definedName name="__obl1831">#REF!</definedName>
    <definedName name="__obl1832" localSheetId="10">#REF!</definedName>
    <definedName name="__obl1832" localSheetId="22">#REF!</definedName>
    <definedName name="__obl1832" localSheetId="23">#REF!</definedName>
    <definedName name="__obl1832" localSheetId="21">#REF!</definedName>
    <definedName name="__obl1832" localSheetId="24">#REF!</definedName>
    <definedName name="__obl1832" localSheetId="28">#REF!</definedName>
    <definedName name="__obl1832" localSheetId="26">#REF!</definedName>
    <definedName name="__obl1832" localSheetId="27">#REF!</definedName>
    <definedName name="__obl1832" localSheetId="11">#REF!</definedName>
    <definedName name="__obl1832" localSheetId="13">#REF!</definedName>
    <definedName name="__obl1832" localSheetId="18">#REF!</definedName>
    <definedName name="__obl1832" localSheetId="29">#REF!</definedName>
    <definedName name="__obl1832" localSheetId="30">#REF!</definedName>
    <definedName name="__obl1832" localSheetId="31">#REF!</definedName>
    <definedName name="__obl1832" localSheetId="34">#REF!</definedName>
    <definedName name="__obl1832" localSheetId="33">#REF!</definedName>
    <definedName name="__obl1832" localSheetId="38">#REF!</definedName>
    <definedName name="__obl1832" localSheetId="39">#REF!</definedName>
    <definedName name="__obl1832" localSheetId="40">#REF!</definedName>
    <definedName name="__obl1832" localSheetId="41">#REF!</definedName>
    <definedName name="__obl1832" localSheetId="47">#REF!</definedName>
    <definedName name="__obl1832" localSheetId="48">#REF!</definedName>
    <definedName name="__obl1832" localSheetId="43">#REF!</definedName>
    <definedName name="__obl1832" localSheetId="44">#REF!</definedName>
    <definedName name="__obl1832" localSheetId="45">#REF!</definedName>
    <definedName name="__obl1832" localSheetId="46">#REF!</definedName>
    <definedName name="__obl1832">#REF!</definedName>
    <definedName name="__obl184" localSheetId="10">#REF!</definedName>
    <definedName name="__obl184" localSheetId="22">#REF!</definedName>
    <definedName name="__obl184" localSheetId="23">#REF!</definedName>
    <definedName name="__obl184" localSheetId="21">#REF!</definedName>
    <definedName name="__obl184" localSheetId="24">#REF!</definedName>
    <definedName name="__obl184" localSheetId="28">#REF!</definedName>
    <definedName name="__obl184" localSheetId="26">#REF!</definedName>
    <definedName name="__obl184" localSheetId="27">#REF!</definedName>
    <definedName name="__obl184" localSheetId="11">#REF!</definedName>
    <definedName name="__obl184" localSheetId="13">#REF!</definedName>
    <definedName name="__obl184" localSheetId="18">#REF!</definedName>
    <definedName name="__obl184" localSheetId="29">#REF!</definedName>
    <definedName name="__obl184" localSheetId="30">#REF!</definedName>
    <definedName name="__obl184" localSheetId="31">#REF!</definedName>
    <definedName name="__obl184" localSheetId="34">#REF!</definedName>
    <definedName name="__obl184" localSheetId="33">#REF!</definedName>
    <definedName name="__obl184" localSheetId="38">#REF!</definedName>
    <definedName name="__obl184" localSheetId="39">#REF!</definedName>
    <definedName name="__obl184" localSheetId="40">#REF!</definedName>
    <definedName name="__obl184" localSheetId="41">#REF!</definedName>
    <definedName name="__obl184" localSheetId="47">#REF!</definedName>
    <definedName name="__obl184" localSheetId="48">#REF!</definedName>
    <definedName name="__obl184" localSheetId="43">#REF!</definedName>
    <definedName name="__obl184" localSheetId="44">#REF!</definedName>
    <definedName name="__obl184" localSheetId="45">#REF!</definedName>
    <definedName name="__obl184" localSheetId="46">#REF!</definedName>
    <definedName name="__obl184">#REF!</definedName>
    <definedName name="__obl185" localSheetId="10">#REF!</definedName>
    <definedName name="__obl185" localSheetId="22">#REF!</definedName>
    <definedName name="__obl185" localSheetId="23">#REF!</definedName>
    <definedName name="__obl185" localSheetId="21">#REF!</definedName>
    <definedName name="__obl185" localSheetId="24">#REF!</definedName>
    <definedName name="__obl185" localSheetId="28">#REF!</definedName>
    <definedName name="__obl185" localSheetId="26">#REF!</definedName>
    <definedName name="__obl185" localSheetId="27">#REF!</definedName>
    <definedName name="__obl185" localSheetId="11">#REF!</definedName>
    <definedName name="__obl185" localSheetId="13">#REF!</definedName>
    <definedName name="__obl185" localSheetId="18">#REF!</definedName>
    <definedName name="__obl185" localSheetId="29">#REF!</definedName>
    <definedName name="__obl185" localSheetId="30">#REF!</definedName>
    <definedName name="__obl185" localSheetId="31">#REF!</definedName>
    <definedName name="__obl185" localSheetId="34">#REF!</definedName>
    <definedName name="__obl185" localSheetId="33">#REF!</definedName>
    <definedName name="__obl185" localSheetId="38">#REF!</definedName>
    <definedName name="__obl185" localSheetId="39">#REF!</definedName>
    <definedName name="__obl185" localSheetId="40">#REF!</definedName>
    <definedName name="__obl185" localSheetId="41">#REF!</definedName>
    <definedName name="__obl185" localSheetId="47">#REF!</definedName>
    <definedName name="__obl185" localSheetId="48">#REF!</definedName>
    <definedName name="__obl185" localSheetId="43">#REF!</definedName>
    <definedName name="__obl185" localSheetId="44">#REF!</definedName>
    <definedName name="__obl185" localSheetId="45">#REF!</definedName>
    <definedName name="__obl185" localSheetId="46">#REF!</definedName>
    <definedName name="__obl185">#REF!</definedName>
    <definedName name="__obl186" localSheetId="10">#REF!</definedName>
    <definedName name="__obl186" localSheetId="22">#REF!</definedName>
    <definedName name="__obl186" localSheetId="23">#REF!</definedName>
    <definedName name="__obl186" localSheetId="21">#REF!</definedName>
    <definedName name="__obl186" localSheetId="24">#REF!</definedName>
    <definedName name="__obl186" localSheetId="28">#REF!</definedName>
    <definedName name="__obl186" localSheetId="26">#REF!</definedName>
    <definedName name="__obl186" localSheetId="27">#REF!</definedName>
    <definedName name="__obl186" localSheetId="11">#REF!</definedName>
    <definedName name="__obl186" localSheetId="13">#REF!</definedName>
    <definedName name="__obl186" localSheetId="18">#REF!</definedName>
    <definedName name="__obl186" localSheetId="29">#REF!</definedName>
    <definedName name="__obl186" localSheetId="30">#REF!</definedName>
    <definedName name="__obl186" localSheetId="31">#REF!</definedName>
    <definedName name="__obl186" localSheetId="34">#REF!</definedName>
    <definedName name="__obl186" localSheetId="33">#REF!</definedName>
    <definedName name="__obl186" localSheetId="38">#REF!</definedName>
    <definedName name="__obl186" localSheetId="39">#REF!</definedName>
    <definedName name="__obl186" localSheetId="40">#REF!</definedName>
    <definedName name="__obl186" localSheetId="41">#REF!</definedName>
    <definedName name="__obl186" localSheetId="47">#REF!</definedName>
    <definedName name="__obl186" localSheetId="48">#REF!</definedName>
    <definedName name="__obl186" localSheetId="43">#REF!</definedName>
    <definedName name="__obl186" localSheetId="44">#REF!</definedName>
    <definedName name="__obl186" localSheetId="45">#REF!</definedName>
    <definedName name="__obl186" localSheetId="46">#REF!</definedName>
    <definedName name="__obl186">#REF!</definedName>
    <definedName name="__obl187" localSheetId="10">#REF!</definedName>
    <definedName name="__obl187" localSheetId="22">#REF!</definedName>
    <definedName name="__obl187" localSheetId="23">#REF!</definedName>
    <definedName name="__obl187" localSheetId="21">#REF!</definedName>
    <definedName name="__obl187" localSheetId="24">#REF!</definedName>
    <definedName name="__obl187" localSheetId="28">#REF!</definedName>
    <definedName name="__obl187" localSheetId="26">#REF!</definedName>
    <definedName name="__obl187" localSheetId="27">#REF!</definedName>
    <definedName name="__obl187" localSheetId="11">#REF!</definedName>
    <definedName name="__obl187" localSheetId="13">#REF!</definedName>
    <definedName name="__obl187" localSheetId="18">#REF!</definedName>
    <definedName name="__obl187" localSheetId="29">#REF!</definedName>
    <definedName name="__obl187" localSheetId="30">#REF!</definedName>
    <definedName name="__obl187" localSheetId="31">#REF!</definedName>
    <definedName name="__obl187" localSheetId="34">#REF!</definedName>
    <definedName name="__obl187" localSheetId="33">#REF!</definedName>
    <definedName name="__obl187" localSheetId="38">#REF!</definedName>
    <definedName name="__obl187" localSheetId="39">#REF!</definedName>
    <definedName name="__obl187" localSheetId="40">#REF!</definedName>
    <definedName name="__obl187" localSheetId="41">#REF!</definedName>
    <definedName name="__obl187" localSheetId="47">#REF!</definedName>
    <definedName name="__obl187" localSheetId="48">#REF!</definedName>
    <definedName name="__obl187" localSheetId="43">#REF!</definedName>
    <definedName name="__obl187" localSheetId="44">#REF!</definedName>
    <definedName name="__obl187" localSheetId="45">#REF!</definedName>
    <definedName name="__obl187" localSheetId="46">#REF!</definedName>
    <definedName name="__obl187">#REF!</definedName>
    <definedName name="_xlnm._FilterDatabase" localSheetId="3" hidden="1">'01 - Novostavba'!$C$146:$K$1126</definedName>
    <definedName name="_xlnm._FilterDatabase" localSheetId="4" hidden="1">'01.1 - Novostavba - podlahy'!$C$129:$K$336</definedName>
    <definedName name="_xlnm._FilterDatabase" localSheetId="5" hidden="1">'01.2 - Vyýpisy prvků - ta...'!$C$147:$K$1891</definedName>
    <definedName name="_xlnm._FilterDatabase" localSheetId="6" hidden="1">'01.3 - Gabionové stěny'!$C$131:$K$244</definedName>
    <definedName name="_xlnm._FilterDatabase" localSheetId="7" hidden="1">'01.4 - Opěrná stěna schod...'!$C$132:$K$319</definedName>
    <definedName name="_xlnm._FilterDatabase" localSheetId="8" hidden="1">'01.5 - Náklady souvisejíc...'!$C$124:$K$127</definedName>
    <definedName name="_NS" localSheetId="24">Scheduled_Payment+Extra_Payment</definedName>
    <definedName name="_NS" localSheetId="28">Scheduled_Payment+Extra_Payment</definedName>
    <definedName name="_NS" localSheetId="26">Scheduled_Payment+Extra_Payment</definedName>
    <definedName name="_NS" localSheetId="27">Scheduled_Payment+Extra_Payment</definedName>
    <definedName name="_NS" localSheetId="29">Scheduled_Payment+Extra_Payment</definedName>
    <definedName name="_NS" localSheetId="31">Scheduled_Payment+Extra_Payment</definedName>
    <definedName name="_NS">Scheduled_Payment+Extra_Payment</definedName>
    <definedName name="_obl11" localSheetId="10">#REF!</definedName>
    <definedName name="_obl11" localSheetId="22">#REF!</definedName>
    <definedName name="_obl11" localSheetId="23">#REF!</definedName>
    <definedName name="_obl11" localSheetId="21">#REF!</definedName>
    <definedName name="_obl11" localSheetId="24">#REF!</definedName>
    <definedName name="_obl11" localSheetId="28">#REF!</definedName>
    <definedName name="_obl11" localSheetId="26">#REF!</definedName>
    <definedName name="_obl11" localSheetId="27">#REF!</definedName>
    <definedName name="_obl11" localSheetId="11">#REF!</definedName>
    <definedName name="_obl11" localSheetId="13">#REF!</definedName>
    <definedName name="_obl11" localSheetId="18">#REF!</definedName>
    <definedName name="_obl11" localSheetId="29">#REF!</definedName>
    <definedName name="_obl11" localSheetId="30">#REF!</definedName>
    <definedName name="_obl11" localSheetId="31">#REF!</definedName>
    <definedName name="_obl11" localSheetId="35">#REF!</definedName>
    <definedName name="_obl11" localSheetId="34">#REF!</definedName>
    <definedName name="_obl11" localSheetId="33">#REF!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7">#REF!</definedName>
    <definedName name="_obl11" localSheetId="48">#REF!</definedName>
    <definedName name="_obl11" localSheetId="43">#REF!</definedName>
    <definedName name="_obl11" localSheetId="44">#REF!</definedName>
    <definedName name="_obl11" localSheetId="45">#REF!</definedName>
    <definedName name="_obl11" localSheetId="46">#REF!</definedName>
    <definedName name="_obl11" localSheetId="32">#REF!</definedName>
    <definedName name="_obl11" localSheetId="42">#REF!</definedName>
    <definedName name="_obl11">#REF!</definedName>
    <definedName name="_obl112" localSheetId="10">#REF!</definedName>
    <definedName name="_obl112" localSheetId="22">#REF!</definedName>
    <definedName name="_obl112" localSheetId="23">#REF!</definedName>
    <definedName name="_obl112" localSheetId="21">#REF!</definedName>
    <definedName name="_obl112" localSheetId="24">#REF!</definedName>
    <definedName name="_obl112" localSheetId="11">#REF!</definedName>
    <definedName name="_obl112" localSheetId="13">#REF!</definedName>
    <definedName name="_obl112" localSheetId="18">#REF!</definedName>
    <definedName name="_obl112" localSheetId="29">#REF!</definedName>
    <definedName name="_obl112" localSheetId="30">#REF!</definedName>
    <definedName name="_obl112" localSheetId="31">#REF!</definedName>
    <definedName name="_obl112" localSheetId="34">#REF!</definedName>
    <definedName name="_obl112" localSheetId="33">#REF!</definedName>
    <definedName name="_obl112" localSheetId="38">#REF!</definedName>
    <definedName name="_obl112" localSheetId="39">#REF!</definedName>
    <definedName name="_obl112" localSheetId="40">#REF!</definedName>
    <definedName name="_obl112" localSheetId="41">#REF!</definedName>
    <definedName name="_obl112" localSheetId="47">#REF!</definedName>
    <definedName name="_obl112" localSheetId="48">#REF!</definedName>
    <definedName name="_obl112" localSheetId="43">#REF!</definedName>
    <definedName name="_obl112" localSheetId="44">#REF!</definedName>
    <definedName name="_obl112" localSheetId="45">#REF!</definedName>
    <definedName name="_obl112" localSheetId="46">#REF!</definedName>
    <definedName name="_obl112" localSheetId="32">#REF!</definedName>
    <definedName name="_obl112" localSheetId="42">#REF!</definedName>
    <definedName name="_obl112">#REF!</definedName>
    <definedName name="_obl12" localSheetId="10">#REF!</definedName>
    <definedName name="_obl12" localSheetId="22">#REF!</definedName>
    <definedName name="_obl12" localSheetId="23">#REF!</definedName>
    <definedName name="_obl12" localSheetId="21">#REF!</definedName>
    <definedName name="_obl12" localSheetId="24">#REF!</definedName>
    <definedName name="_obl12" localSheetId="28">#REF!</definedName>
    <definedName name="_obl12" localSheetId="26">#REF!</definedName>
    <definedName name="_obl12" localSheetId="27">#REF!</definedName>
    <definedName name="_obl12" localSheetId="11">#REF!</definedName>
    <definedName name="_obl12" localSheetId="13">#REF!</definedName>
    <definedName name="_obl12" localSheetId="18">#REF!</definedName>
    <definedName name="_obl12" localSheetId="29">#REF!</definedName>
    <definedName name="_obl12" localSheetId="30">#REF!</definedName>
    <definedName name="_obl12" localSheetId="31">#REF!</definedName>
    <definedName name="_obl12" localSheetId="35">#REF!</definedName>
    <definedName name="_obl12" localSheetId="34">#REF!</definedName>
    <definedName name="_obl12" localSheetId="33">#REF!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7">#REF!</definedName>
    <definedName name="_obl12" localSheetId="48">#REF!</definedName>
    <definedName name="_obl12" localSheetId="43">#REF!</definedName>
    <definedName name="_obl12" localSheetId="44">#REF!</definedName>
    <definedName name="_obl12" localSheetId="45">#REF!</definedName>
    <definedName name="_obl12" localSheetId="46">#REF!</definedName>
    <definedName name="_obl12" localSheetId="32">#REF!</definedName>
    <definedName name="_obl12" localSheetId="42">#REF!</definedName>
    <definedName name="_obl12">#REF!</definedName>
    <definedName name="_obl13" localSheetId="10">#REF!</definedName>
    <definedName name="_obl13" localSheetId="22">#REF!</definedName>
    <definedName name="_obl13" localSheetId="23">#REF!</definedName>
    <definedName name="_obl13" localSheetId="21">#REF!</definedName>
    <definedName name="_obl13" localSheetId="24">#REF!</definedName>
    <definedName name="_obl13" localSheetId="28">#REF!</definedName>
    <definedName name="_obl13" localSheetId="26">#REF!</definedName>
    <definedName name="_obl13" localSheetId="27">#REF!</definedName>
    <definedName name="_obl13" localSheetId="11">#REF!</definedName>
    <definedName name="_obl13" localSheetId="13">#REF!</definedName>
    <definedName name="_obl13" localSheetId="18">#REF!</definedName>
    <definedName name="_obl13" localSheetId="29">#REF!</definedName>
    <definedName name="_obl13" localSheetId="30">#REF!</definedName>
    <definedName name="_obl13" localSheetId="31">#REF!</definedName>
    <definedName name="_obl13" localSheetId="35">#REF!</definedName>
    <definedName name="_obl13" localSheetId="34">#REF!</definedName>
    <definedName name="_obl13" localSheetId="33">#REF!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7">#REF!</definedName>
    <definedName name="_obl13" localSheetId="48">#REF!</definedName>
    <definedName name="_obl13" localSheetId="43">#REF!</definedName>
    <definedName name="_obl13" localSheetId="44">#REF!</definedName>
    <definedName name="_obl13" localSheetId="45">#REF!</definedName>
    <definedName name="_obl13" localSheetId="46">#REF!</definedName>
    <definedName name="_obl13">#REF!</definedName>
    <definedName name="_obl14" localSheetId="10">#REF!</definedName>
    <definedName name="_obl14" localSheetId="22">#REF!</definedName>
    <definedName name="_obl14" localSheetId="23">#REF!</definedName>
    <definedName name="_obl14" localSheetId="21">#REF!</definedName>
    <definedName name="_obl14" localSheetId="24">#REF!</definedName>
    <definedName name="_obl14" localSheetId="28">#REF!</definedName>
    <definedName name="_obl14" localSheetId="26">#REF!</definedName>
    <definedName name="_obl14" localSheetId="27">#REF!</definedName>
    <definedName name="_obl14" localSheetId="11">#REF!</definedName>
    <definedName name="_obl14" localSheetId="13">#REF!</definedName>
    <definedName name="_obl14" localSheetId="18">#REF!</definedName>
    <definedName name="_obl14" localSheetId="29">#REF!</definedName>
    <definedName name="_obl14" localSheetId="30">#REF!</definedName>
    <definedName name="_obl14" localSheetId="31">#REF!</definedName>
    <definedName name="_obl14" localSheetId="35">#REF!</definedName>
    <definedName name="_obl14" localSheetId="34">#REF!</definedName>
    <definedName name="_obl14" localSheetId="33">#REF!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7">#REF!</definedName>
    <definedName name="_obl14" localSheetId="48">#REF!</definedName>
    <definedName name="_obl14" localSheetId="43">#REF!</definedName>
    <definedName name="_obl14" localSheetId="44">#REF!</definedName>
    <definedName name="_obl14" localSheetId="45">#REF!</definedName>
    <definedName name="_obl14" localSheetId="46">#REF!</definedName>
    <definedName name="_obl14">#REF!</definedName>
    <definedName name="_obl15" localSheetId="10">#REF!</definedName>
    <definedName name="_obl15" localSheetId="22">#REF!</definedName>
    <definedName name="_obl15" localSheetId="23">#REF!</definedName>
    <definedName name="_obl15" localSheetId="21">#REF!</definedName>
    <definedName name="_obl15" localSheetId="24">#REF!</definedName>
    <definedName name="_obl15" localSheetId="28">#REF!</definedName>
    <definedName name="_obl15" localSheetId="26">#REF!</definedName>
    <definedName name="_obl15" localSheetId="27">#REF!</definedName>
    <definedName name="_obl15" localSheetId="11">#REF!</definedName>
    <definedName name="_obl15" localSheetId="13">#REF!</definedName>
    <definedName name="_obl15" localSheetId="18">#REF!</definedName>
    <definedName name="_obl15" localSheetId="29">#REF!</definedName>
    <definedName name="_obl15" localSheetId="30">#REF!</definedName>
    <definedName name="_obl15" localSheetId="31">#REF!</definedName>
    <definedName name="_obl15" localSheetId="35">#REF!</definedName>
    <definedName name="_obl15" localSheetId="34">#REF!</definedName>
    <definedName name="_obl15" localSheetId="33">#REF!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7">#REF!</definedName>
    <definedName name="_obl15" localSheetId="48">#REF!</definedName>
    <definedName name="_obl15" localSheetId="43">#REF!</definedName>
    <definedName name="_obl15" localSheetId="44">#REF!</definedName>
    <definedName name="_obl15" localSheetId="45">#REF!</definedName>
    <definedName name="_obl15" localSheetId="46">#REF!</definedName>
    <definedName name="_obl15">#REF!</definedName>
    <definedName name="_obl16" localSheetId="10">#REF!</definedName>
    <definedName name="_obl16" localSheetId="22">#REF!</definedName>
    <definedName name="_obl16" localSheetId="23">#REF!</definedName>
    <definedName name="_obl16" localSheetId="21">#REF!</definedName>
    <definedName name="_obl16" localSheetId="24">#REF!</definedName>
    <definedName name="_obl16" localSheetId="28">#REF!</definedName>
    <definedName name="_obl16" localSheetId="26">#REF!</definedName>
    <definedName name="_obl16" localSheetId="27">#REF!</definedName>
    <definedName name="_obl16" localSheetId="11">#REF!</definedName>
    <definedName name="_obl16" localSheetId="13">#REF!</definedName>
    <definedName name="_obl16" localSheetId="18">#REF!</definedName>
    <definedName name="_obl16" localSheetId="29">#REF!</definedName>
    <definedName name="_obl16" localSheetId="30">#REF!</definedName>
    <definedName name="_obl16" localSheetId="31">#REF!</definedName>
    <definedName name="_obl16" localSheetId="35">#REF!</definedName>
    <definedName name="_obl16" localSheetId="34">#REF!</definedName>
    <definedName name="_obl16" localSheetId="33">#REF!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7">#REF!</definedName>
    <definedName name="_obl16" localSheetId="48">#REF!</definedName>
    <definedName name="_obl16" localSheetId="43">#REF!</definedName>
    <definedName name="_obl16" localSheetId="44">#REF!</definedName>
    <definedName name="_obl16" localSheetId="45">#REF!</definedName>
    <definedName name="_obl16" localSheetId="46">#REF!</definedName>
    <definedName name="_obl16">#REF!</definedName>
    <definedName name="_obl17" localSheetId="10">#REF!</definedName>
    <definedName name="_obl17" localSheetId="22">#REF!</definedName>
    <definedName name="_obl17" localSheetId="23">#REF!</definedName>
    <definedName name="_obl17" localSheetId="21">#REF!</definedName>
    <definedName name="_obl17" localSheetId="24">#REF!</definedName>
    <definedName name="_obl17" localSheetId="28">#REF!</definedName>
    <definedName name="_obl17" localSheetId="26">#REF!</definedName>
    <definedName name="_obl17" localSheetId="27">#REF!</definedName>
    <definedName name="_obl17" localSheetId="11">#REF!</definedName>
    <definedName name="_obl17" localSheetId="13">#REF!</definedName>
    <definedName name="_obl17" localSheetId="18">#REF!</definedName>
    <definedName name="_obl17" localSheetId="29">#REF!</definedName>
    <definedName name="_obl17" localSheetId="30">#REF!</definedName>
    <definedName name="_obl17" localSheetId="31">#REF!</definedName>
    <definedName name="_obl17" localSheetId="35">#REF!</definedName>
    <definedName name="_obl17" localSheetId="34">#REF!</definedName>
    <definedName name="_obl17" localSheetId="33">#REF!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7">#REF!</definedName>
    <definedName name="_obl17" localSheetId="48">#REF!</definedName>
    <definedName name="_obl17" localSheetId="43">#REF!</definedName>
    <definedName name="_obl17" localSheetId="44">#REF!</definedName>
    <definedName name="_obl17" localSheetId="45">#REF!</definedName>
    <definedName name="_obl17" localSheetId="46">#REF!</definedName>
    <definedName name="_obl17">#REF!</definedName>
    <definedName name="_obl1710" localSheetId="10">#REF!</definedName>
    <definedName name="_obl1710" localSheetId="22">#REF!</definedName>
    <definedName name="_obl1710" localSheetId="23">#REF!</definedName>
    <definedName name="_obl1710" localSheetId="21">#REF!</definedName>
    <definedName name="_obl1710" localSheetId="24">#REF!</definedName>
    <definedName name="_obl1710" localSheetId="28">#REF!</definedName>
    <definedName name="_obl1710" localSheetId="26">#REF!</definedName>
    <definedName name="_obl1710" localSheetId="27">#REF!</definedName>
    <definedName name="_obl1710" localSheetId="11">#REF!</definedName>
    <definedName name="_obl1710" localSheetId="13">#REF!</definedName>
    <definedName name="_obl1710" localSheetId="18">#REF!</definedName>
    <definedName name="_obl1710" localSheetId="29">#REF!</definedName>
    <definedName name="_obl1710" localSheetId="30">#REF!</definedName>
    <definedName name="_obl1710" localSheetId="31">#REF!</definedName>
    <definedName name="_obl1710" localSheetId="35">#REF!</definedName>
    <definedName name="_obl1710" localSheetId="34">#REF!</definedName>
    <definedName name="_obl1710" localSheetId="33">#REF!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7">#REF!</definedName>
    <definedName name="_obl1710" localSheetId="48">#REF!</definedName>
    <definedName name="_obl1710" localSheetId="43">#REF!</definedName>
    <definedName name="_obl1710" localSheetId="44">#REF!</definedName>
    <definedName name="_obl1710" localSheetId="45">#REF!</definedName>
    <definedName name="_obl1710" localSheetId="46">#REF!</definedName>
    <definedName name="_obl1710">#REF!</definedName>
    <definedName name="_obl1711" localSheetId="10">#REF!</definedName>
    <definedName name="_obl1711" localSheetId="22">#REF!</definedName>
    <definedName name="_obl1711" localSheetId="23">#REF!</definedName>
    <definedName name="_obl1711" localSheetId="21">#REF!</definedName>
    <definedName name="_obl1711" localSheetId="24">#REF!</definedName>
    <definedName name="_obl1711" localSheetId="28">#REF!</definedName>
    <definedName name="_obl1711" localSheetId="26">#REF!</definedName>
    <definedName name="_obl1711" localSheetId="27">#REF!</definedName>
    <definedName name="_obl1711" localSheetId="11">#REF!</definedName>
    <definedName name="_obl1711" localSheetId="13">#REF!</definedName>
    <definedName name="_obl1711" localSheetId="18">#REF!</definedName>
    <definedName name="_obl1711" localSheetId="29">#REF!</definedName>
    <definedName name="_obl1711" localSheetId="30">#REF!</definedName>
    <definedName name="_obl1711" localSheetId="31">#REF!</definedName>
    <definedName name="_obl1711" localSheetId="35">#REF!</definedName>
    <definedName name="_obl1711" localSheetId="34">#REF!</definedName>
    <definedName name="_obl1711" localSheetId="33">#REF!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7">#REF!</definedName>
    <definedName name="_obl1711" localSheetId="48">#REF!</definedName>
    <definedName name="_obl1711" localSheetId="43">#REF!</definedName>
    <definedName name="_obl1711" localSheetId="44">#REF!</definedName>
    <definedName name="_obl1711" localSheetId="45">#REF!</definedName>
    <definedName name="_obl1711" localSheetId="46">#REF!</definedName>
    <definedName name="_obl1711">#REF!</definedName>
    <definedName name="_obl1712" localSheetId="10">#REF!</definedName>
    <definedName name="_obl1712" localSheetId="22">#REF!</definedName>
    <definedName name="_obl1712" localSheetId="23">#REF!</definedName>
    <definedName name="_obl1712" localSheetId="21">#REF!</definedName>
    <definedName name="_obl1712" localSheetId="24">#REF!</definedName>
    <definedName name="_obl1712" localSheetId="28">#REF!</definedName>
    <definedName name="_obl1712" localSheetId="26">#REF!</definedName>
    <definedName name="_obl1712" localSheetId="27">#REF!</definedName>
    <definedName name="_obl1712" localSheetId="11">#REF!</definedName>
    <definedName name="_obl1712" localSheetId="13">#REF!</definedName>
    <definedName name="_obl1712" localSheetId="18">#REF!</definedName>
    <definedName name="_obl1712" localSheetId="29">#REF!</definedName>
    <definedName name="_obl1712" localSheetId="30">#REF!</definedName>
    <definedName name="_obl1712" localSheetId="31">#REF!</definedName>
    <definedName name="_obl1712" localSheetId="35">#REF!</definedName>
    <definedName name="_obl1712" localSheetId="34">#REF!</definedName>
    <definedName name="_obl1712" localSheetId="33">#REF!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7">#REF!</definedName>
    <definedName name="_obl1712" localSheetId="48">#REF!</definedName>
    <definedName name="_obl1712" localSheetId="43">#REF!</definedName>
    <definedName name="_obl1712" localSheetId="44">#REF!</definedName>
    <definedName name="_obl1712" localSheetId="45">#REF!</definedName>
    <definedName name="_obl1712" localSheetId="46">#REF!</definedName>
    <definedName name="_obl1712">#REF!</definedName>
    <definedName name="_obl1713" localSheetId="10">#REF!</definedName>
    <definedName name="_obl1713" localSheetId="22">#REF!</definedName>
    <definedName name="_obl1713" localSheetId="23">#REF!</definedName>
    <definedName name="_obl1713" localSheetId="21">#REF!</definedName>
    <definedName name="_obl1713" localSheetId="24">#REF!</definedName>
    <definedName name="_obl1713" localSheetId="28">#REF!</definedName>
    <definedName name="_obl1713" localSheetId="26">#REF!</definedName>
    <definedName name="_obl1713" localSheetId="27">#REF!</definedName>
    <definedName name="_obl1713" localSheetId="11">#REF!</definedName>
    <definedName name="_obl1713" localSheetId="13">#REF!</definedName>
    <definedName name="_obl1713" localSheetId="18">#REF!</definedName>
    <definedName name="_obl1713" localSheetId="29">#REF!</definedName>
    <definedName name="_obl1713" localSheetId="30">#REF!</definedName>
    <definedName name="_obl1713" localSheetId="31">#REF!</definedName>
    <definedName name="_obl1713" localSheetId="35">#REF!</definedName>
    <definedName name="_obl1713" localSheetId="34">#REF!</definedName>
    <definedName name="_obl1713" localSheetId="33">#REF!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7">#REF!</definedName>
    <definedName name="_obl1713" localSheetId="48">#REF!</definedName>
    <definedName name="_obl1713" localSheetId="43">#REF!</definedName>
    <definedName name="_obl1713" localSheetId="44">#REF!</definedName>
    <definedName name="_obl1713" localSheetId="45">#REF!</definedName>
    <definedName name="_obl1713" localSheetId="46">#REF!</definedName>
    <definedName name="_obl1713">#REF!</definedName>
    <definedName name="_obl1714" localSheetId="10">#REF!</definedName>
    <definedName name="_obl1714" localSheetId="22">#REF!</definedName>
    <definedName name="_obl1714" localSheetId="23">#REF!</definedName>
    <definedName name="_obl1714" localSheetId="21">#REF!</definedName>
    <definedName name="_obl1714" localSheetId="24">#REF!</definedName>
    <definedName name="_obl1714" localSheetId="28">#REF!</definedName>
    <definedName name="_obl1714" localSheetId="26">#REF!</definedName>
    <definedName name="_obl1714" localSheetId="27">#REF!</definedName>
    <definedName name="_obl1714" localSheetId="11">#REF!</definedName>
    <definedName name="_obl1714" localSheetId="13">#REF!</definedName>
    <definedName name="_obl1714" localSheetId="18">#REF!</definedName>
    <definedName name="_obl1714" localSheetId="29">#REF!</definedName>
    <definedName name="_obl1714" localSheetId="30">#REF!</definedName>
    <definedName name="_obl1714" localSheetId="31">#REF!</definedName>
    <definedName name="_obl1714" localSheetId="35">#REF!</definedName>
    <definedName name="_obl1714" localSheetId="34">#REF!</definedName>
    <definedName name="_obl1714" localSheetId="33">#REF!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7">#REF!</definedName>
    <definedName name="_obl1714" localSheetId="48">#REF!</definedName>
    <definedName name="_obl1714" localSheetId="43">#REF!</definedName>
    <definedName name="_obl1714" localSheetId="44">#REF!</definedName>
    <definedName name="_obl1714" localSheetId="45">#REF!</definedName>
    <definedName name="_obl1714" localSheetId="46">#REF!</definedName>
    <definedName name="_obl1714">#REF!</definedName>
    <definedName name="_obl1715" localSheetId="10">#REF!</definedName>
    <definedName name="_obl1715" localSheetId="22">#REF!</definedName>
    <definedName name="_obl1715" localSheetId="23">#REF!</definedName>
    <definedName name="_obl1715" localSheetId="21">#REF!</definedName>
    <definedName name="_obl1715" localSheetId="24">#REF!</definedName>
    <definedName name="_obl1715" localSheetId="28">#REF!</definedName>
    <definedName name="_obl1715" localSheetId="26">#REF!</definedName>
    <definedName name="_obl1715" localSheetId="27">#REF!</definedName>
    <definedName name="_obl1715" localSheetId="11">#REF!</definedName>
    <definedName name="_obl1715" localSheetId="13">#REF!</definedName>
    <definedName name="_obl1715" localSheetId="18">#REF!</definedName>
    <definedName name="_obl1715" localSheetId="29">#REF!</definedName>
    <definedName name="_obl1715" localSheetId="30">#REF!</definedName>
    <definedName name="_obl1715" localSheetId="31">#REF!</definedName>
    <definedName name="_obl1715" localSheetId="35">#REF!</definedName>
    <definedName name="_obl1715" localSheetId="34">#REF!</definedName>
    <definedName name="_obl1715" localSheetId="33">#REF!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7">#REF!</definedName>
    <definedName name="_obl1715" localSheetId="48">#REF!</definedName>
    <definedName name="_obl1715" localSheetId="43">#REF!</definedName>
    <definedName name="_obl1715" localSheetId="44">#REF!</definedName>
    <definedName name="_obl1715" localSheetId="45">#REF!</definedName>
    <definedName name="_obl1715" localSheetId="46">#REF!</definedName>
    <definedName name="_obl1715">#REF!</definedName>
    <definedName name="_obl1716" localSheetId="10">#REF!</definedName>
    <definedName name="_obl1716" localSheetId="22">#REF!</definedName>
    <definedName name="_obl1716" localSheetId="23">#REF!</definedName>
    <definedName name="_obl1716" localSheetId="21">#REF!</definedName>
    <definedName name="_obl1716" localSheetId="24">#REF!</definedName>
    <definedName name="_obl1716" localSheetId="28">#REF!</definedName>
    <definedName name="_obl1716" localSheetId="26">#REF!</definedName>
    <definedName name="_obl1716" localSheetId="27">#REF!</definedName>
    <definedName name="_obl1716" localSheetId="11">#REF!</definedName>
    <definedName name="_obl1716" localSheetId="13">#REF!</definedName>
    <definedName name="_obl1716" localSheetId="18">#REF!</definedName>
    <definedName name="_obl1716" localSheetId="29">#REF!</definedName>
    <definedName name="_obl1716" localSheetId="30">#REF!</definedName>
    <definedName name="_obl1716" localSheetId="31">#REF!</definedName>
    <definedName name="_obl1716" localSheetId="35">#REF!</definedName>
    <definedName name="_obl1716" localSheetId="34">#REF!</definedName>
    <definedName name="_obl1716" localSheetId="33">#REF!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7">#REF!</definedName>
    <definedName name="_obl1716" localSheetId="48">#REF!</definedName>
    <definedName name="_obl1716" localSheetId="43">#REF!</definedName>
    <definedName name="_obl1716" localSheetId="44">#REF!</definedName>
    <definedName name="_obl1716" localSheetId="45">#REF!</definedName>
    <definedName name="_obl1716" localSheetId="46">#REF!</definedName>
    <definedName name="_obl1716">#REF!</definedName>
    <definedName name="_obl1717" localSheetId="10">#REF!</definedName>
    <definedName name="_obl1717" localSheetId="22">#REF!</definedName>
    <definedName name="_obl1717" localSheetId="23">#REF!</definedName>
    <definedName name="_obl1717" localSheetId="21">#REF!</definedName>
    <definedName name="_obl1717" localSheetId="24">#REF!</definedName>
    <definedName name="_obl1717" localSheetId="28">#REF!</definedName>
    <definedName name="_obl1717" localSheetId="26">#REF!</definedName>
    <definedName name="_obl1717" localSheetId="27">#REF!</definedName>
    <definedName name="_obl1717" localSheetId="11">#REF!</definedName>
    <definedName name="_obl1717" localSheetId="13">#REF!</definedName>
    <definedName name="_obl1717" localSheetId="18">#REF!</definedName>
    <definedName name="_obl1717" localSheetId="29">#REF!</definedName>
    <definedName name="_obl1717" localSheetId="30">#REF!</definedName>
    <definedName name="_obl1717" localSheetId="31">#REF!</definedName>
    <definedName name="_obl1717" localSheetId="35">#REF!</definedName>
    <definedName name="_obl1717" localSheetId="34">#REF!</definedName>
    <definedName name="_obl1717" localSheetId="33">#REF!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7">#REF!</definedName>
    <definedName name="_obl1717" localSheetId="48">#REF!</definedName>
    <definedName name="_obl1717" localSheetId="43">#REF!</definedName>
    <definedName name="_obl1717" localSheetId="44">#REF!</definedName>
    <definedName name="_obl1717" localSheetId="45">#REF!</definedName>
    <definedName name="_obl1717" localSheetId="46">#REF!</definedName>
    <definedName name="_obl1717">#REF!</definedName>
    <definedName name="_obl1718" localSheetId="10">#REF!</definedName>
    <definedName name="_obl1718" localSheetId="22">#REF!</definedName>
    <definedName name="_obl1718" localSheetId="23">#REF!</definedName>
    <definedName name="_obl1718" localSheetId="21">#REF!</definedName>
    <definedName name="_obl1718" localSheetId="24">#REF!</definedName>
    <definedName name="_obl1718" localSheetId="28">#REF!</definedName>
    <definedName name="_obl1718" localSheetId="26">#REF!</definedName>
    <definedName name="_obl1718" localSheetId="27">#REF!</definedName>
    <definedName name="_obl1718" localSheetId="11">#REF!</definedName>
    <definedName name="_obl1718" localSheetId="13">#REF!</definedName>
    <definedName name="_obl1718" localSheetId="18">#REF!</definedName>
    <definedName name="_obl1718" localSheetId="29">#REF!</definedName>
    <definedName name="_obl1718" localSheetId="30">#REF!</definedName>
    <definedName name="_obl1718" localSheetId="31">#REF!</definedName>
    <definedName name="_obl1718" localSheetId="35">#REF!</definedName>
    <definedName name="_obl1718" localSheetId="34">#REF!</definedName>
    <definedName name="_obl1718" localSheetId="33">#REF!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7">#REF!</definedName>
    <definedName name="_obl1718" localSheetId="48">#REF!</definedName>
    <definedName name="_obl1718" localSheetId="43">#REF!</definedName>
    <definedName name="_obl1718" localSheetId="44">#REF!</definedName>
    <definedName name="_obl1718" localSheetId="45">#REF!</definedName>
    <definedName name="_obl1718" localSheetId="46">#REF!</definedName>
    <definedName name="_obl1718">#REF!</definedName>
    <definedName name="_obl1719" localSheetId="10">#REF!</definedName>
    <definedName name="_obl1719" localSheetId="22">#REF!</definedName>
    <definedName name="_obl1719" localSheetId="23">#REF!</definedName>
    <definedName name="_obl1719" localSheetId="21">#REF!</definedName>
    <definedName name="_obl1719" localSheetId="24">#REF!</definedName>
    <definedName name="_obl1719" localSheetId="28">#REF!</definedName>
    <definedName name="_obl1719" localSheetId="26">#REF!</definedName>
    <definedName name="_obl1719" localSheetId="27">#REF!</definedName>
    <definedName name="_obl1719" localSheetId="11">#REF!</definedName>
    <definedName name="_obl1719" localSheetId="13">#REF!</definedName>
    <definedName name="_obl1719" localSheetId="18">#REF!</definedName>
    <definedName name="_obl1719" localSheetId="29">#REF!</definedName>
    <definedName name="_obl1719" localSheetId="30">#REF!</definedName>
    <definedName name="_obl1719" localSheetId="31">#REF!</definedName>
    <definedName name="_obl1719" localSheetId="35">#REF!</definedName>
    <definedName name="_obl1719" localSheetId="34">#REF!</definedName>
    <definedName name="_obl1719" localSheetId="33">#REF!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7">#REF!</definedName>
    <definedName name="_obl1719" localSheetId="48">#REF!</definedName>
    <definedName name="_obl1719" localSheetId="43">#REF!</definedName>
    <definedName name="_obl1719" localSheetId="44">#REF!</definedName>
    <definedName name="_obl1719" localSheetId="45">#REF!</definedName>
    <definedName name="_obl1719" localSheetId="46">#REF!</definedName>
    <definedName name="_obl1719">#REF!</definedName>
    <definedName name="_obl173" localSheetId="10">#REF!</definedName>
    <definedName name="_obl173" localSheetId="22">#REF!</definedName>
    <definedName name="_obl173" localSheetId="23">#REF!</definedName>
    <definedName name="_obl173" localSheetId="21">#REF!</definedName>
    <definedName name="_obl173" localSheetId="24">#REF!</definedName>
    <definedName name="_obl173" localSheetId="28">#REF!</definedName>
    <definedName name="_obl173" localSheetId="26">#REF!</definedName>
    <definedName name="_obl173" localSheetId="27">#REF!</definedName>
    <definedName name="_obl173" localSheetId="11">#REF!</definedName>
    <definedName name="_obl173" localSheetId="13">#REF!</definedName>
    <definedName name="_obl173" localSheetId="18">#REF!</definedName>
    <definedName name="_obl173" localSheetId="29">#REF!</definedName>
    <definedName name="_obl173" localSheetId="30">#REF!</definedName>
    <definedName name="_obl173" localSheetId="31">#REF!</definedName>
    <definedName name="_obl173" localSheetId="35">#REF!</definedName>
    <definedName name="_obl173" localSheetId="34">#REF!</definedName>
    <definedName name="_obl173" localSheetId="33">#REF!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7">#REF!</definedName>
    <definedName name="_obl173" localSheetId="48">#REF!</definedName>
    <definedName name="_obl173" localSheetId="43">#REF!</definedName>
    <definedName name="_obl173" localSheetId="44">#REF!</definedName>
    <definedName name="_obl173" localSheetId="45">#REF!</definedName>
    <definedName name="_obl173" localSheetId="46">#REF!</definedName>
    <definedName name="_obl173">#REF!</definedName>
    <definedName name="_obl174" localSheetId="10">#REF!</definedName>
    <definedName name="_obl174" localSheetId="22">#REF!</definedName>
    <definedName name="_obl174" localSheetId="23">#REF!</definedName>
    <definedName name="_obl174" localSheetId="21">#REF!</definedName>
    <definedName name="_obl174" localSheetId="24">#REF!</definedName>
    <definedName name="_obl174" localSheetId="28">#REF!</definedName>
    <definedName name="_obl174" localSheetId="26">#REF!</definedName>
    <definedName name="_obl174" localSheetId="27">#REF!</definedName>
    <definedName name="_obl174" localSheetId="11">#REF!</definedName>
    <definedName name="_obl174" localSheetId="13">#REF!</definedName>
    <definedName name="_obl174" localSheetId="18">#REF!</definedName>
    <definedName name="_obl174" localSheetId="29">#REF!</definedName>
    <definedName name="_obl174" localSheetId="30">#REF!</definedName>
    <definedName name="_obl174" localSheetId="31">#REF!</definedName>
    <definedName name="_obl174" localSheetId="35">#REF!</definedName>
    <definedName name="_obl174" localSheetId="34">#REF!</definedName>
    <definedName name="_obl174" localSheetId="33">#REF!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7">#REF!</definedName>
    <definedName name="_obl174" localSheetId="48">#REF!</definedName>
    <definedName name="_obl174" localSheetId="43">#REF!</definedName>
    <definedName name="_obl174" localSheetId="44">#REF!</definedName>
    <definedName name="_obl174" localSheetId="45">#REF!</definedName>
    <definedName name="_obl174" localSheetId="46">#REF!</definedName>
    <definedName name="_obl174">#REF!</definedName>
    <definedName name="_obl175" localSheetId="10">#REF!</definedName>
    <definedName name="_obl175" localSheetId="22">#REF!</definedName>
    <definedName name="_obl175" localSheetId="23">#REF!</definedName>
    <definedName name="_obl175" localSheetId="21">#REF!</definedName>
    <definedName name="_obl175" localSheetId="24">#REF!</definedName>
    <definedName name="_obl175" localSheetId="28">#REF!</definedName>
    <definedName name="_obl175" localSheetId="26">#REF!</definedName>
    <definedName name="_obl175" localSheetId="27">#REF!</definedName>
    <definedName name="_obl175" localSheetId="11">#REF!</definedName>
    <definedName name="_obl175" localSheetId="13">#REF!</definedName>
    <definedName name="_obl175" localSheetId="18">#REF!</definedName>
    <definedName name="_obl175" localSheetId="29">#REF!</definedName>
    <definedName name="_obl175" localSheetId="30">#REF!</definedName>
    <definedName name="_obl175" localSheetId="31">#REF!</definedName>
    <definedName name="_obl175" localSheetId="35">#REF!</definedName>
    <definedName name="_obl175" localSheetId="34">#REF!</definedName>
    <definedName name="_obl175" localSheetId="33">#REF!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7">#REF!</definedName>
    <definedName name="_obl175" localSheetId="48">#REF!</definedName>
    <definedName name="_obl175" localSheetId="43">#REF!</definedName>
    <definedName name="_obl175" localSheetId="44">#REF!</definedName>
    <definedName name="_obl175" localSheetId="45">#REF!</definedName>
    <definedName name="_obl175" localSheetId="46">#REF!</definedName>
    <definedName name="_obl175">#REF!</definedName>
    <definedName name="_obl176" localSheetId="10">#REF!</definedName>
    <definedName name="_obl176" localSheetId="22">#REF!</definedName>
    <definedName name="_obl176" localSheetId="23">#REF!</definedName>
    <definedName name="_obl176" localSheetId="21">#REF!</definedName>
    <definedName name="_obl176" localSheetId="24">#REF!</definedName>
    <definedName name="_obl176" localSheetId="28">#REF!</definedName>
    <definedName name="_obl176" localSheetId="26">#REF!</definedName>
    <definedName name="_obl176" localSheetId="27">#REF!</definedName>
    <definedName name="_obl176" localSheetId="11">#REF!</definedName>
    <definedName name="_obl176" localSheetId="13">#REF!</definedName>
    <definedName name="_obl176" localSheetId="18">#REF!</definedName>
    <definedName name="_obl176" localSheetId="29">#REF!</definedName>
    <definedName name="_obl176" localSheetId="30">#REF!</definedName>
    <definedName name="_obl176" localSheetId="31">#REF!</definedName>
    <definedName name="_obl176" localSheetId="35">#REF!</definedName>
    <definedName name="_obl176" localSheetId="34">#REF!</definedName>
    <definedName name="_obl176" localSheetId="33">#REF!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7">#REF!</definedName>
    <definedName name="_obl176" localSheetId="48">#REF!</definedName>
    <definedName name="_obl176" localSheetId="43">#REF!</definedName>
    <definedName name="_obl176" localSheetId="44">#REF!</definedName>
    <definedName name="_obl176" localSheetId="45">#REF!</definedName>
    <definedName name="_obl176" localSheetId="46">#REF!</definedName>
    <definedName name="_obl176">#REF!</definedName>
    <definedName name="_obl177" localSheetId="10">#REF!</definedName>
    <definedName name="_obl177" localSheetId="22">#REF!</definedName>
    <definedName name="_obl177" localSheetId="23">#REF!</definedName>
    <definedName name="_obl177" localSheetId="21">#REF!</definedName>
    <definedName name="_obl177" localSheetId="24">#REF!</definedName>
    <definedName name="_obl177" localSheetId="28">#REF!</definedName>
    <definedName name="_obl177" localSheetId="26">#REF!</definedName>
    <definedName name="_obl177" localSheetId="27">#REF!</definedName>
    <definedName name="_obl177" localSheetId="11">#REF!</definedName>
    <definedName name="_obl177" localSheetId="13">#REF!</definedName>
    <definedName name="_obl177" localSheetId="18">#REF!</definedName>
    <definedName name="_obl177" localSheetId="29">#REF!</definedName>
    <definedName name="_obl177" localSheetId="30">#REF!</definedName>
    <definedName name="_obl177" localSheetId="31">#REF!</definedName>
    <definedName name="_obl177" localSheetId="35">#REF!</definedName>
    <definedName name="_obl177" localSheetId="34">#REF!</definedName>
    <definedName name="_obl177" localSheetId="33">#REF!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7">#REF!</definedName>
    <definedName name="_obl177" localSheetId="48">#REF!</definedName>
    <definedName name="_obl177" localSheetId="43">#REF!</definedName>
    <definedName name="_obl177" localSheetId="44">#REF!</definedName>
    <definedName name="_obl177" localSheetId="45">#REF!</definedName>
    <definedName name="_obl177" localSheetId="46">#REF!</definedName>
    <definedName name="_obl177">#REF!</definedName>
    <definedName name="_obl178" localSheetId="10">#REF!</definedName>
    <definedName name="_obl178" localSheetId="22">#REF!</definedName>
    <definedName name="_obl178" localSheetId="23">#REF!</definedName>
    <definedName name="_obl178" localSheetId="21">#REF!</definedName>
    <definedName name="_obl178" localSheetId="24">#REF!</definedName>
    <definedName name="_obl178" localSheetId="28">#REF!</definedName>
    <definedName name="_obl178" localSheetId="26">#REF!</definedName>
    <definedName name="_obl178" localSheetId="27">#REF!</definedName>
    <definedName name="_obl178" localSheetId="11">#REF!</definedName>
    <definedName name="_obl178" localSheetId="13">#REF!</definedName>
    <definedName name="_obl178" localSheetId="18">#REF!</definedName>
    <definedName name="_obl178" localSheetId="29">#REF!</definedName>
    <definedName name="_obl178" localSheetId="30">#REF!</definedName>
    <definedName name="_obl178" localSheetId="31">#REF!</definedName>
    <definedName name="_obl178" localSheetId="35">#REF!</definedName>
    <definedName name="_obl178" localSheetId="34">#REF!</definedName>
    <definedName name="_obl178" localSheetId="33">#REF!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7">#REF!</definedName>
    <definedName name="_obl178" localSheetId="48">#REF!</definedName>
    <definedName name="_obl178" localSheetId="43">#REF!</definedName>
    <definedName name="_obl178" localSheetId="44">#REF!</definedName>
    <definedName name="_obl178" localSheetId="45">#REF!</definedName>
    <definedName name="_obl178" localSheetId="46">#REF!</definedName>
    <definedName name="_obl178">#REF!</definedName>
    <definedName name="_obl179" localSheetId="10">#REF!</definedName>
    <definedName name="_obl179" localSheetId="22">#REF!</definedName>
    <definedName name="_obl179" localSheetId="23">#REF!</definedName>
    <definedName name="_obl179" localSheetId="21">#REF!</definedName>
    <definedName name="_obl179" localSheetId="24">#REF!</definedName>
    <definedName name="_obl179" localSheetId="28">#REF!</definedName>
    <definedName name="_obl179" localSheetId="26">#REF!</definedName>
    <definedName name="_obl179" localSheetId="27">#REF!</definedName>
    <definedName name="_obl179" localSheetId="11">#REF!</definedName>
    <definedName name="_obl179" localSheetId="13">#REF!</definedName>
    <definedName name="_obl179" localSheetId="18">#REF!</definedName>
    <definedName name="_obl179" localSheetId="29">#REF!</definedName>
    <definedName name="_obl179" localSheetId="30">#REF!</definedName>
    <definedName name="_obl179" localSheetId="31">#REF!</definedName>
    <definedName name="_obl179" localSheetId="35">#REF!</definedName>
    <definedName name="_obl179" localSheetId="34">#REF!</definedName>
    <definedName name="_obl179" localSheetId="33">#REF!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7">#REF!</definedName>
    <definedName name="_obl179" localSheetId="48">#REF!</definedName>
    <definedName name="_obl179" localSheetId="43">#REF!</definedName>
    <definedName name="_obl179" localSheetId="44">#REF!</definedName>
    <definedName name="_obl179" localSheetId="45">#REF!</definedName>
    <definedName name="_obl179" localSheetId="46">#REF!</definedName>
    <definedName name="_obl179">#REF!</definedName>
    <definedName name="_obl18" localSheetId="10">#REF!</definedName>
    <definedName name="_obl18" localSheetId="22">#REF!</definedName>
    <definedName name="_obl18" localSheetId="23">#REF!</definedName>
    <definedName name="_obl18" localSheetId="21">#REF!</definedName>
    <definedName name="_obl18" localSheetId="24">#REF!</definedName>
    <definedName name="_obl18" localSheetId="28">#REF!</definedName>
    <definedName name="_obl18" localSheetId="26">#REF!</definedName>
    <definedName name="_obl18" localSheetId="27">#REF!</definedName>
    <definedName name="_obl18" localSheetId="11">#REF!</definedName>
    <definedName name="_obl18" localSheetId="13">#REF!</definedName>
    <definedName name="_obl18" localSheetId="18">#REF!</definedName>
    <definedName name="_obl18" localSheetId="29">#REF!</definedName>
    <definedName name="_obl18" localSheetId="30">#REF!</definedName>
    <definedName name="_obl18" localSheetId="31">#REF!</definedName>
    <definedName name="_obl18" localSheetId="35">#REF!</definedName>
    <definedName name="_obl18" localSheetId="34">#REF!</definedName>
    <definedName name="_obl18" localSheetId="33">#REF!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7">#REF!</definedName>
    <definedName name="_obl18" localSheetId="48">#REF!</definedName>
    <definedName name="_obl18" localSheetId="43">#REF!</definedName>
    <definedName name="_obl18" localSheetId="44">#REF!</definedName>
    <definedName name="_obl18" localSheetId="45">#REF!</definedName>
    <definedName name="_obl18" localSheetId="46">#REF!</definedName>
    <definedName name="_obl18">#REF!</definedName>
    <definedName name="_obl181" localSheetId="10">#REF!</definedName>
    <definedName name="_obl181" localSheetId="22">#REF!</definedName>
    <definedName name="_obl181" localSheetId="23">#REF!</definedName>
    <definedName name="_obl181" localSheetId="21">#REF!</definedName>
    <definedName name="_obl181" localSheetId="24">#REF!</definedName>
    <definedName name="_obl181" localSheetId="28">#REF!</definedName>
    <definedName name="_obl181" localSheetId="26">#REF!</definedName>
    <definedName name="_obl181" localSheetId="27">#REF!</definedName>
    <definedName name="_obl181" localSheetId="11">#REF!</definedName>
    <definedName name="_obl181" localSheetId="13">#REF!</definedName>
    <definedName name="_obl181" localSheetId="18">#REF!</definedName>
    <definedName name="_obl181" localSheetId="29">#REF!</definedName>
    <definedName name="_obl181" localSheetId="30">#REF!</definedName>
    <definedName name="_obl181" localSheetId="31">#REF!</definedName>
    <definedName name="_obl181" localSheetId="35">#REF!</definedName>
    <definedName name="_obl181" localSheetId="34">#REF!</definedName>
    <definedName name="_obl181" localSheetId="33">#REF!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7">#REF!</definedName>
    <definedName name="_obl181" localSheetId="48">#REF!</definedName>
    <definedName name="_obl181" localSheetId="43">#REF!</definedName>
    <definedName name="_obl181" localSheetId="44">#REF!</definedName>
    <definedName name="_obl181" localSheetId="45">#REF!</definedName>
    <definedName name="_obl181" localSheetId="46">#REF!</definedName>
    <definedName name="_obl181">#REF!</definedName>
    <definedName name="_obl1816" localSheetId="10">#REF!</definedName>
    <definedName name="_obl1816" localSheetId="22">#REF!</definedName>
    <definedName name="_obl1816" localSheetId="23">#REF!</definedName>
    <definedName name="_obl1816" localSheetId="21">#REF!</definedName>
    <definedName name="_obl1816" localSheetId="24">#REF!</definedName>
    <definedName name="_obl1816" localSheetId="28">#REF!</definedName>
    <definedName name="_obl1816" localSheetId="26">#REF!</definedName>
    <definedName name="_obl1816" localSheetId="27">#REF!</definedName>
    <definedName name="_obl1816" localSheetId="11">#REF!</definedName>
    <definedName name="_obl1816" localSheetId="13">#REF!</definedName>
    <definedName name="_obl1816" localSheetId="18">#REF!</definedName>
    <definedName name="_obl1816" localSheetId="29">#REF!</definedName>
    <definedName name="_obl1816" localSheetId="30">#REF!</definedName>
    <definedName name="_obl1816" localSheetId="31">#REF!</definedName>
    <definedName name="_obl1816" localSheetId="35">#REF!</definedName>
    <definedName name="_obl1816" localSheetId="34">#REF!</definedName>
    <definedName name="_obl1816" localSheetId="33">#REF!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7">#REF!</definedName>
    <definedName name="_obl1816" localSheetId="48">#REF!</definedName>
    <definedName name="_obl1816" localSheetId="43">#REF!</definedName>
    <definedName name="_obl1816" localSheetId="44">#REF!</definedName>
    <definedName name="_obl1816" localSheetId="45">#REF!</definedName>
    <definedName name="_obl1816" localSheetId="46">#REF!</definedName>
    <definedName name="_obl1816">#REF!</definedName>
    <definedName name="_obl1820" localSheetId="10">#REF!</definedName>
    <definedName name="_obl1820" localSheetId="22">#REF!</definedName>
    <definedName name="_obl1820" localSheetId="23">#REF!</definedName>
    <definedName name="_obl1820" localSheetId="21">#REF!</definedName>
    <definedName name="_obl1820" localSheetId="24">#REF!</definedName>
    <definedName name="_obl1820" localSheetId="28">#REF!</definedName>
    <definedName name="_obl1820" localSheetId="26">#REF!</definedName>
    <definedName name="_obl1820" localSheetId="27">#REF!</definedName>
    <definedName name="_obl1820" localSheetId="11">#REF!</definedName>
    <definedName name="_obl1820" localSheetId="13">#REF!</definedName>
    <definedName name="_obl1820" localSheetId="18">#REF!</definedName>
    <definedName name="_obl1820" localSheetId="29">#REF!</definedName>
    <definedName name="_obl1820" localSheetId="30">#REF!</definedName>
    <definedName name="_obl1820" localSheetId="31">#REF!</definedName>
    <definedName name="_obl1820" localSheetId="35">#REF!</definedName>
    <definedName name="_obl1820" localSheetId="34">#REF!</definedName>
    <definedName name="_obl1820" localSheetId="33">#REF!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7">#REF!</definedName>
    <definedName name="_obl1820" localSheetId="48">#REF!</definedName>
    <definedName name="_obl1820" localSheetId="43">#REF!</definedName>
    <definedName name="_obl1820" localSheetId="44">#REF!</definedName>
    <definedName name="_obl1820" localSheetId="45">#REF!</definedName>
    <definedName name="_obl1820" localSheetId="46">#REF!</definedName>
    <definedName name="_obl1820">#REF!</definedName>
    <definedName name="_obl1821" localSheetId="10">#REF!</definedName>
    <definedName name="_obl1821" localSheetId="22">#REF!</definedName>
    <definedName name="_obl1821" localSheetId="23">#REF!</definedName>
    <definedName name="_obl1821" localSheetId="21">#REF!</definedName>
    <definedName name="_obl1821" localSheetId="24">#REF!</definedName>
    <definedName name="_obl1821" localSheetId="28">#REF!</definedName>
    <definedName name="_obl1821" localSheetId="26">#REF!</definedName>
    <definedName name="_obl1821" localSheetId="27">#REF!</definedName>
    <definedName name="_obl1821" localSheetId="11">#REF!</definedName>
    <definedName name="_obl1821" localSheetId="13">#REF!</definedName>
    <definedName name="_obl1821" localSheetId="18">#REF!</definedName>
    <definedName name="_obl1821" localSheetId="29">#REF!</definedName>
    <definedName name="_obl1821" localSheetId="30">#REF!</definedName>
    <definedName name="_obl1821" localSheetId="31">#REF!</definedName>
    <definedName name="_obl1821" localSheetId="35">#REF!</definedName>
    <definedName name="_obl1821" localSheetId="34">#REF!</definedName>
    <definedName name="_obl1821" localSheetId="33">#REF!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7">#REF!</definedName>
    <definedName name="_obl1821" localSheetId="48">#REF!</definedName>
    <definedName name="_obl1821" localSheetId="43">#REF!</definedName>
    <definedName name="_obl1821" localSheetId="44">#REF!</definedName>
    <definedName name="_obl1821" localSheetId="45">#REF!</definedName>
    <definedName name="_obl1821" localSheetId="46">#REF!</definedName>
    <definedName name="_obl1821">#REF!</definedName>
    <definedName name="_obl1822" localSheetId="10">#REF!</definedName>
    <definedName name="_obl1822" localSheetId="22">#REF!</definedName>
    <definedName name="_obl1822" localSheetId="23">#REF!</definedName>
    <definedName name="_obl1822" localSheetId="21">#REF!</definedName>
    <definedName name="_obl1822" localSheetId="24">#REF!</definedName>
    <definedName name="_obl1822" localSheetId="28">#REF!</definedName>
    <definedName name="_obl1822" localSheetId="26">#REF!</definedName>
    <definedName name="_obl1822" localSheetId="27">#REF!</definedName>
    <definedName name="_obl1822" localSheetId="11">#REF!</definedName>
    <definedName name="_obl1822" localSheetId="13">#REF!</definedName>
    <definedName name="_obl1822" localSheetId="18">#REF!</definedName>
    <definedName name="_obl1822" localSheetId="29">#REF!</definedName>
    <definedName name="_obl1822" localSheetId="30">#REF!</definedName>
    <definedName name="_obl1822" localSheetId="31">#REF!</definedName>
    <definedName name="_obl1822" localSheetId="35">#REF!</definedName>
    <definedName name="_obl1822" localSheetId="34">#REF!</definedName>
    <definedName name="_obl1822" localSheetId="33">#REF!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7">#REF!</definedName>
    <definedName name="_obl1822" localSheetId="48">#REF!</definedName>
    <definedName name="_obl1822" localSheetId="43">#REF!</definedName>
    <definedName name="_obl1822" localSheetId="44">#REF!</definedName>
    <definedName name="_obl1822" localSheetId="45">#REF!</definedName>
    <definedName name="_obl1822" localSheetId="46">#REF!</definedName>
    <definedName name="_obl1822">#REF!</definedName>
    <definedName name="_obl1823" localSheetId="10">#REF!</definedName>
    <definedName name="_obl1823" localSheetId="22">#REF!</definedName>
    <definedName name="_obl1823" localSheetId="23">#REF!</definedName>
    <definedName name="_obl1823" localSheetId="21">#REF!</definedName>
    <definedName name="_obl1823" localSheetId="24">#REF!</definedName>
    <definedName name="_obl1823" localSheetId="28">#REF!</definedName>
    <definedName name="_obl1823" localSheetId="26">#REF!</definedName>
    <definedName name="_obl1823" localSheetId="27">#REF!</definedName>
    <definedName name="_obl1823" localSheetId="11">#REF!</definedName>
    <definedName name="_obl1823" localSheetId="13">#REF!</definedName>
    <definedName name="_obl1823" localSheetId="18">#REF!</definedName>
    <definedName name="_obl1823" localSheetId="29">#REF!</definedName>
    <definedName name="_obl1823" localSheetId="30">#REF!</definedName>
    <definedName name="_obl1823" localSheetId="31">#REF!</definedName>
    <definedName name="_obl1823" localSheetId="35">#REF!</definedName>
    <definedName name="_obl1823" localSheetId="34">#REF!</definedName>
    <definedName name="_obl1823" localSheetId="33">#REF!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7">#REF!</definedName>
    <definedName name="_obl1823" localSheetId="48">#REF!</definedName>
    <definedName name="_obl1823" localSheetId="43">#REF!</definedName>
    <definedName name="_obl1823" localSheetId="44">#REF!</definedName>
    <definedName name="_obl1823" localSheetId="45">#REF!</definedName>
    <definedName name="_obl1823" localSheetId="46">#REF!</definedName>
    <definedName name="_obl1823">#REF!</definedName>
    <definedName name="_obl1824" localSheetId="10">#REF!</definedName>
    <definedName name="_obl1824" localSheetId="22">#REF!</definedName>
    <definedName name="_obl1824" localSheetId="23">#REF!</definedName>
    <definedName name="_obl1824" localSheetId="21">#REF!</definedName>
    <definedName name="_obl1824" localSheetId="24">#REF!</definedName>
    <definedName name="_obl1824" localSheetId="28">#REF!</definedName>
    <definedName name="_obl1824" localSheetId="26">#REF!</definedName>
    <definedName name="_obl1824" localSheetId="27">#REF!</definedName>
    <definedName name="_obl1824" localSheetId="11">#REF!</definedName>
    <definedName name="_obl1824" localSheetId="13">#REF!</definedName>
    <definedName name="_obl1824" localSheetId="18">#REF!</definedName>
    <definedName name="_obl1824" localSheetId="29">#REF!</definedName>
    <definedName name="_obl1824" localSheetId="30">#REF!</definedName>
    <definedName name="_obl1824" localSheetId="31">#REF!</definedName>
    <definedName name="_obl1824" localSheetId="35">#REF!</definedName>
    <definedName name="_obl1824" localSheetId="34">#REF!</definedName>
    <definedName name="_obl1824" localSheetId="33">#REF!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7">#REF!</definedName>
    <definedName name="_obl1824" localSheetId="48">#REF!</definedName>
    <definedName name="_obl1824" localSheetId="43">#REF!</definedName>
    <definedName name="_obl1824" localSheetId="44">#REF!</definedName>
    <definedName name="_obl1824" localSheetId="45">#REF!</definedName>
    <definedName name="_obl1824" localSheetId="46">#REF!</definedName>
    <definedName name="_obl1824">#REF!</definedName>
    <definedName name="_obl1825" localSheetId="10">#REF!</definedName>
    <definedName name="_obl1825" localSheetId="22">#REF!</definedName>
    <definedName name="_obl1825" localSheetId="23">#REF!</definedName>
    <definedName name="_obl1825" localSheetId="21">#REF!</definedName>
    <definedName name="_obl1825" localSheetId="24">#REF!</definedName>
    <definedName name="_obl1825" localSheetId="28">#REF!</definedName>
    <definedName name="_obl1825" localSheetId="26">#REF!</definedName>
    <definedName name="_obl1825" localSheetId="27">#REF!</definedName>
    <definedName name="_obl1825" localSheetId="11">#REF!</definedName>
    <definedName name="_obl1825" localSheetId="13">#REF!</definedName>
    <definedName name="_obl1825" localSheetId="18">#REF!</definedName>
    <definedName name="_obl1825" localSheetId="29">#REF!</definedName>
    <definedName name="_obl1825" localSheetId="30">#REF!</definedName>
    <definedName name="_obl1825" localSheetId="31">#REF!</definedName>
    <definedName name="_obl1825" localSheetId="35">#REF!</definedName>
    <definedName name="_obl1825" localSheetId="34">#REF!</definedName>
    <definedName name="_obl1825" localSheetId="33">#REF!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7">#REF!</definedName>
    <definedName name="_obl1825" localSheetId="48">#REF!</definedName>
    <definedName name="_obl1825" localSheetId="43">#REF!</definedName>
    <definedName name="_obl1825" localSheetId="44">#REF!</definedName>
    <definedName name="_obl1825" localSheetId="45">#REF!</definedName>
    <definedName name="_obl1825" localSheetId="46">#REF!</definedName>
    <definedName name="_obl1825">#REF!</definedName>
    <definedName name="_obl1826" localSheetId="10">#REF!</definedName>
    <definedName name="_obl1826" localSheetId="22">#REF!</definedName>
    <definedName name="_obl1826" localSheetId="23">#REF!</definedName>
    <definedName name="_obl1826" localSheetId="21">#REF!</definedName>
    <definedName name="_obl1826" localSheetId="24">#REF!</definedName>
    <definedName name="_obl1826" localSheetId="28">#REF!</definedName>
    <definedName name="_obl1826" localSheetId="26">#REF!</definedName>
    <definedName name="_obl1826" localSheetId="27">#REF!</definedName>
    <definedName name="_obl1826" localSheetId="11">#REF!</definedName>
    <definedName name="_obl1826" localSheetId="13">#REF!</definedName>
    <definedName name="_obl1826" localSheetId="18">#REF!</definedName>
    <definedName name="_obl1826" localSheetId="29">#REF!</definedName>
    <definedName name="_obl1826" localSheetId="30">#REF!</definedName>
    <definedName name="_obl1826" localSheetId="31">#REF!</definedName>
    <definedName name="_obl1826" localSheetId="35">#REF!</definedName>
    <definedName name="_obl1826" localSheetId="34">#REF!</definedName>
    <definedName name="_obl1826" localSheetId="33">#REF!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7">#REF!</definedName>
    <definedName name="_obl1826" localSheetId="48">#REF!</definedName>
    <definedName name="_obl1826" localSheetId="43">#REF!</definedName>
    <definedName name="_obl1826" localSheetId="44">#REF!</definedName>
    <definedName name="_obl1826" localSheetId="45">#REF!</definedName>
    <definedName name="_obl1826" localSheetId="46">#REF!</definedName>
    <definedName name="_obl1826">#REF!</definedName>
    <definedName name="_obl1827" localSheetId="10">#REF!</definedName>
    <definedName name="_obl1827" localSheetId="22">#REF!</definedName>
    <definedName name="_obl1827" localSheetId="23">#REF!</definedName>
    <definedName name="_obl1827" localSheetId="21">#REF!</definedName>
    <definedName name="_obl1827" localSheetId="24">#REF!</definedName>
    <definedName name="_obl1827" localSheetId="28">#REF!</definedName>
    <definedName name="_obl1827" localSheetId="26">#REF!</definedName>
    <definedName name="_obl1827" localSheetId="27">#REF!</definedName>
    <definedName name="_obl1827" localSheetId="11">#REF!</definedName>
    <definedName name="_obl1827" localSheetId="13">#REF!</definedName>
    <definedName name="_obl1827" localSheetId="18">#REF!</definedName>
    <definedName name="_obl1827" localSheetId="29">#REF!</definedName>
    <definedName name="_obl1827" localSheetId="30">#REF!</definedName>
    <definedName name="_obl1827" localSheetId="31">#REF!</definedName>
    <definedName name="_obl1827" localSheetId="35">#REF!</definedName>
    <definedName name="_obl1827" localSheetId="34">#REF!</definedName>
    <definedName name="_obl1827" localSheetId="33">#REF!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7">#REF!</definedName>
    <definedName name="_obl1827" localSheetId="48">#REF!</definedName>
    <definedName name="_obl1827" localSheetId="43">#REF!</definedName>
    <definedName name="_obl1827" localSheetId="44">#REF!</definedName>
    <definedName name="_obl1827" localSheetId="45">#REF!</definedName>
    <definedName name="_obl1827" localSheetId="46">#REF!</definedName>
    <definedName name="_obl1827">#REF!</definedName>
    <definedName name="_obl1828" localSheetId="10">#REF!</definedName>
    <definedName name="_obl1828" localSheetId="22">#REF!</definedName>
    <definedName name="_obl1828" localSheetId="23">#REF!</definedName>
    <definedName name="_obl1828" localSheetId="21">#REF!</definedName>
    <definedName name="_obl1828" localSheetId="24">#REF!</definedName>
    <definedName name="_obl1828" localSheetId="28">#REF!</definedName>
    <definedName name="_obl1828" localSheetId="26">#REF!</definedName>
    <definedName name="_obl1828" localSheetId="27">#REF!</definedName>
    <definedName name="_obl1828" localSheetId="11">#REF!</definedName>
    <definedName name="_obl1828" localSheetId="13">#REF!</definedName>
    <definedName name="_obl1828" localSheetId="18">#REF!</definedName>
    <definedName name="_obl1828" localSheetId="29">#REF!</definedName>
    <definedName name="_obl1828" localSheetId="30">#REF!</definedName>
    <definedName name="_obl1828" localSheetId="31">#REF!</definedName>
    <definedName name="_obl1828" localSheetId="35">#REF!</definedName>
    <definedName name="_obl1828" localSheetId="34">#REF!</definedName>
    <definedName name="_obl1828" localSheetId="33">#REF!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7">#REF!</definedName>
    <definedName name="_obl1828" localSheetId="48">#REF!</definedName>
    <definedName name="_obl1828" localSheetId="43">#REF!</definedName>
    <definedName name="_obl1828" localSheetId="44">#REF!</definedName>
    <definedName name="_obl1828" localSheetId="45">#REF!</definedName>
    <definedName name="_obl1828" localSheetId="46">#REF!</definedName>
    <definedName name="_obl1828">#REF!</definedName>
    <definedName name="_obl1829" localSheetId="10">#REF!</definedName>
    <definedName name="_obl1829" localSheetId="22">#REF!</definedName>
    <definedName name="_obl1829" localSheetId="23">#REF!</definedName>
    <definedName name="_obl1829" localSheetId="21">#REF!</definedName>
    <definedName name="_obl1829" localSheetId="24">#REF!</definedName>
    <definedName name="_obl1829" localSheetId="28">#REF!</definedName>
    <definedName name="_obl1829" localSheetId="26">#REF!</definedName>
    <definedName name="_obl1829" localSheetId="27">#REF!</definedName>
    <definedName name="_obl1829" localSheetId="11">#REF!</definedName>
    <definedName name="_obl1829" localSheetId="13">#REF!</definedName>
    <definedName name="_obl1829" localSheetId="18">#REF!</definedName>
    <definedName name="_obl1829" localSheetId="29">#REF!</definedName>
    <definedName name="_obl1829" localSheetId="30">#REF!</definedName>
    <definedName name="_obl1829" localSheetId="31">#REF!</definedName>
    <definedName name="_obl1829" localSheetId="35">#REF!</definedName>
    <definedName name="_obl1829" localSheetId="34">#REF!</definedName>
    <definedName name="_obl1829" localSheetId="33">#REF!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7">#REF!</definedName>
    <definedName name="_obl1829" localSheetId="48">#REF!</definedName>
    <definedName name="_obl1829" localSheetId="43">#REF!</definedName>
    <definedName name="_obl1829" localSheetId="44">#REF!</definedName>
    <definedName name="_obl1829" localSheetId="45">#REF!</definedName>
    <definedName name="_obl1829" localSheetId="46">#REF!</definedName>
    <definedName name="_obl1829">#REF!</definedName>
    <definedName name="_obl183" localSheetId="10">#REF!</definedName>
    <definedName name="_obl183" localSheetId="22">#REF!</definedName>
    <definedName name="_obl183" localSheetId="23">#REF!</definedName>
    <definedName name="_obl183" localSheetId="21">#REF!</definedName>
    <definedName name="_obl183" localSheetId="24">#REF!</definedName>
    <definedName name="_obl183" localSheetId="28">#REF!</definedName>
    <definedName name="_obl183" localSheetId="26">#REF!</definedName>
    <definedName name="_obl183" localSheetId="27">#REF!</definedName>
    <definedName name="_obl183" localSheetId="11">#REF!</definedName>
    <definedName name="_obl183" localSheetId="13">#REF!</definedName>
    <definedName name="_obl183" localSheetId="18">#REF!</definedName>
    <definedName name="_obl183" localSheetId="29">#REF!</definedName>
    <definedName name="_obl183" localSheetId="30">#REF!</definedName>
    <definedName name="_obl183" localSheetId="31">#REF!</definedName>
    <definedName name="_obl183" localSheetId="35">#REF!</definedName>
    <definedName name="_obl183" localSheetId="34">#REF!</definedName>
    <definedName name="_obl183" localSheetId="33">#REF!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7">#REF!</definedName>
    <definedName name="_obl183" localSheetId="48">#REF!</definedName>
    <definedName name="_obl183" localSheetId="43">#REF!</definedName>
    <definedName name="_obl183" localSheetId="44">#REF!</definedName>
    <definedName name="_obl183" localSheetId="45">#REF!</definedName>
    <definedName name="_obl183" localSheetId="46">#REF!</definedName>
    <definedName name="_obl183">#REF!</definedName>
    <definedName name="_obl1831" localSheetId="10">#REF!</definedName>
    <definedName name="_obl1831" localSheetId="22">#REF!</definedName>
    <definedName name="_obl1831" localSheetId="23">#REF!</definedName>
    <definedName name="_obl1831" localSheetId="21">#REF!</definedName>
    <definedName name="_obl1831" localSheetId="24">#REF!</definedName>
    <definedName name="_obl1831" localSheetId="28">#REF!</definedName>
    <definedName name="_obl1831" localSheetId="26">#REF!</definedName>
    <definedName name="_obl1831" localSheetId="27">#REF!</definedName>
    <definedName name="_obl1831" localSheetId="11">#REF!</definedName>
    <definedName name="_obl1831" localSheetId="13">#REF!</definedName>
    <definedName name="_obl1831" localSheetId="18">#REF!</definedName>
    <definedName name="_obl1831" localSheetId="29">#REF!</definedName>
    <definedName name="_obl1831" localSheetId="30">#REF!</definedName>
    <definedName name="_obl1831" localSheetId="31">#REF!</definedName>
    <definedName name="_obl1831" localSheetId="35">#REF!</definedName>
    <definedName name="_obl1831" localSheetId="34">#REF!</definedName>
    <definedName name="_obl1831" localSheetId="33">#REF!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7">#REF!</definedName>
    <definedName name="_obl1831" localSheetId="48">#REF!</definedName>
    <definedName name="_obl1831" localSheetId="43">#REF!</definedName>
    <definedName name="_obl1831" localSheetId="44">#REF!</definedName>
    <definedName name="_obl1831" localSheetId="45">#REF!</definedName>
    <definedName name="_obl1831" localSheetId="46">#REF!</definedName>
    <definedName name="_obl1831">#REF!</definedName>
    <definedName name="_obl1832" localSheetId="10">#REF!</definedName>
    <definedName name="_obl1832" localSheetId="22">#REF!</definedName>
    <definedName name="_obl1832" localSheetId="23">#REF!</definedName>
    <definedName name="_obl1832" localSheetId="21">#REF!</definedName>
    <definedName name="_obl1832" localSheetId="24">#REF!</definedName>
    <definedName name="_obl1832" localSheetId="28">#REF!</definedName>
    <definedName name="_obl1832" localSheetId="26">#REF!</definedName>
    <definedName name="_obl1832" localSheetId="27">#REF!</definedName>
    <definedName name="_obl1832" localSheetId="11">#REF!</definedName>
    <definedName name="_obl1832" localSheetId="13">#REF!</definedName>
    <definedName name="_obl1832" localSheetId="18">#REF!</definedName>
    <definedName name="_obl1832" localSheetId="29">#REF!</definedName>
    <definedName name="_obl1832" localSheetId="30">#REF!</definedName>
    <definedName name="_obl1832" localSheetId="31">#REF!</definedName>
    <definedName name="_obl1832" localSheetId="35">#REF!</definedName>
    <definedName name="_obl1832" localSheetId="34">#REF!</definedName>
    <definedName name="_obl1832" localSheetId="33">#REF!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7">#REF!</definedName>
    <definedName name="_obl1832" localSheetId="48">#REF!</definedName>
    <definedName name="_obl1832" localSheetId="43">#REF!</definedName>
    <definedName name="_obl1832" localSheetId="44">#REF!</definedName>
    <definedName name="_obl1832" localSheetId="45">#REF!</definedName>
    <definedName name="_obl1832" localSheetId="46">#REF!</definedName>
    <definedName name="_obl1832">#REF!</definedName>
    <definedName name="_obl184" localSheetId="10">#REF!</definedName>
    <definedName name="_obl184" localSheetId="22">#REF!</definedName>
    <definedName name="_obl184" localSheetId="23">#REF!</definedName>
    <definedName name="_obl184" localSheetId="21">#REF!</definedName>
    <definedName name="_obl184" localSheetId="24">#REF!</definedName>
    <definedName name="_obl184" localSheetId="28">#REF!</definedName>
    <definedName name="_obl184" localSheetId="26">#REF!</definedName>
    <definedName name="_obl184" localSheetId="27">#REF!</definedName>
    <definedName name="_obl184" localSheetId="11">#REF!</definedName>
    <definedName name="_obl184" localSheetId="13">#REF!</definedName>
    <definedName name="_obl184" localSheetId="18">#REF!</definedName>
    <definedName name="_obl184" localSheetId="29">#REF!</definedName>
    <definedName name="_obl184" localSheetId="30">#REF!</definedName>
    <definedName name="_obl184" localSheetId="31">#REF!</definedName>
    <definedName name="_obl184" localSheetId="35">#REF!</definedName>
    <definedName name="_obl184" localSheetId="34">#REF!</definedName>
    <definedName name="_obl184" localSheetId="33">#REF!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7">#REF!</definedName>
    <definedName name="_obl184" localSheetId="48">#REF!</definedName>
    <definedName name="_obl184" localSheetId="43">#REF!</definedName>
    <definedName name="_obl184" localSheetId="44">#REF!</definedName>
    <definedName name="_obl184" localSheetId="45">#REF!</definedName>
    <definedName name="_obl184" localSheetId="46">#REF!</definedName>
    <definedName name="_obl184">#REF!</definedName>
    <definedName name="_obl185" localSheetId="10">#REF!</definedName>
    <definedName name="_obl185" localSheetId="22">#REF!</definedName>
    <definedName name="_obl185" localSheetId="23">#REF!</definedName>
    <definedName name="_obl185" localSheetId="21">#REF!</definedName>
    <definedName name="_obl185" localSheetId="24">#REF!</definedName>
    <definedName name="_obl185" localSheetId="28">#REF!</definedName>
    <definedName name="_obl185" localSheetId="26">#REF!</definedName>
    <definedName name="_obl185" localSheetId="27">#REF!</definedName>
    <definedName name="_obl185" localSheetId="11">#REF!</definedName>
    <definedName name="_obl185" localSheetId="13">#REF!</definedName>
    <definedName name="_obl185" localSheetId="18">#REF!</definedName>
    <definedName name="_obl185" localSheetId="29">#REF!</definedName>
    <definedName name="_obl185" localSheetId="30">#REF!</definedName>
    <definedName name="_obl185" localSheetId="31">#REF!</definedName>
    <definedName name="_obl185" localSheetId="35">#REF!</definedName>
    <definedName name="_obl185" localSheetId="34">#REF!</definedName>
    <definedName name="_obl185" localSheetId="33">#REF!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7">#REF!</definedName>
    <definedName name="_obl185" localSheetId="48">#REF!</definedName>
    <definedName name="_obl185" localSheetId="43">#REF!</definedName>
    <definedName name="_obl185" localSheetId="44">#REF!</definedName>
    <definedName name="_obl185" localSheetId="45">#REF!</definedName>
    <definedName name="_obl185" localSheetId="46">#REF!</definedName>
    <definedName name="_obl185">#REF!</definedName>
    <definedName name="_obl186" localSheetId="10">#REF!</definedName>
    <definedName name="_obl186" localSheetId="22">#REF!</definedName>
    <definedName name="_obl186" localSheetId="23">#REF!</definedName>
    <definedName name="_obl186" localSheetId="21">#REF!</definedName>
    <definedName name="_obl186" localSheetId="24">#REF!</definedName>
    <definedName name="_obl186" localSheetId="28">#REF!</definedName>
    <definedName name="_obl186" localSheetId="26">#REF!</definedName>
    <definedName name="_obl186" localSheetId="27">#REF!</definedName>
    <definedName name="_obl186" localSheetId="11">#REF!</definedName>
    <definedName name="_obl186" localSheetId="13">#REF!</definedName>
    <definedName name="_obl186" localSheetId="18">#REF!</definedName>
    <definedName name="_obl186" localSheetId="29">#REF!</definedName>
    <definedName name="_obl186" localSheetId="30">#REF!</definedName>
    <definedName name="_obl186" localSheetId="31">#REF!</definedName>
    <definedName name="_obl186" localSheetId="35">#REF!</definedName>
    <definedName name="_obl186" localSheetId="34">#REF!</definedName>
    <definedName name="_obl186" localSheetId="33">#REF!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7">#REF!</definedName>
    <definedName name="_obl186" localSheetId="48">#REF!</definedName>
    <definedName name="_obl186" localSheetId="43">#REF!</definedName>
    <definedName name="_obl186" localSheetId="44">#REF!</definedName>
    <definedName name="_obl186" localSheetId="45">#REF!</definedName>
    <definedName name="_obl186" localSheetId="46">#REF!</definedName>
    <definedName name="_obl186">#REF!</definedName>
    <definedName name="_obl187" localSheetId="10">#REF!</definedName>
    <definedName name="_obl187" localSheetId="22">#REF!</definedName>
    <definedName name="_obl187" localSheetId="23">#REF!</definedName>
    <definedName name="_obl187" localSheetId="21">#REF!</definedName>
    <definedName name="_obl187" localSheetId="24">#REF!</definedName>
    <definedName name="_obl187" localSheetId="28">#REF!</definedName>
    <definedName name="_obl187" localSheetId="26">#REF!</definedName>
    <definedName name="_obl187" localSheetId="27">#REF!</definedName>
    <definedName name="_obl187" localSheetId="11">#REF!</definedName>
    <definedName name="_obl187" localSheetId="13">#REF!</definedName>
    <definedName name="_obl187" localSheetId="18">#REF!</definedName>
    <definedName name="_obl187" localSheetId="29">#REF!</definedName>
    <definedName name="_obl187" localSheetId="30">#REF!</definedName>
    <definedName name="_obl187" localSheetId="31">#REF!</definedName>
    <definedName name="_obl187" localSheetId="35">#REF!</definedName>
    <definedName name="_obl187" localSheetId="34">#REF!</definedName>
    <definedName name="_obl187" localSheetId="33">#REF!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7">#REF!</definedName>
    <definedName name="_obl187" localSheetId="48">#REF!</definedName>
    <definedName name="_obl187" localSheetId="43">#REF!</definedName>
    <definedName name="_obl187" localSheetId="44">#REF!</definedName>
    <definedName name="_obl187" localSheetId="45">#REF!</definedName>
    <definedName name="_obl187" localSheetId="46">#REF!</definedName>
    <definedName name="_obl187">#REF!</definedName>
    <definedName name="_SO16" localSheetId="10" hidden="1">{#N/A,#N/A,TRUE,"Krycí list"}</definedName>
    <definedName name="_SO16" localSheetId="22" hidden="1">{#N/A,#N/A,TRUE,"Krycí list"}</definedName>
    <definedName name="_SO16" localSheetId="23" hidden="1">{#N/A,#N/A,TRUE,"Krycí list"}</definedName>
    <definedName name="_SO16" localSheetId="21" hidden="1">{#N/A,#N/A,TRUE,"Krycí list"}</definedName>
    <definedName name="_SO16" localSheetId="24" hidden="1">{#N/A,#N/A,TRUE,"Krycí list"}</definedName>
    <definedName name="_SO16" localSheetId="28" hidden="1">{#N/A,#N/A,TRUE,"Krycí list"}</definedName>
    <definedName name="_SO16" localSheetId="26" hidden="1">{#N/A,#N/A,TRUE,"Krycí list"}</definedName>
    <definedName name="_SO16" localSheetId="27"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8" hidden="1">{#N/A,#N/A,TRUE,"Krycí list"}</definedName>
    <definedName name="_SO16" localSheetId="29" hidden="1">{#N/A,#N/A,TRUE,"Krycí list"}</definedName>
    <definedName name="_SO16" localSheetId="30" hidden="1">{#N/A,#N/A,TRUE,"Krycí list"}</definedName>
    <definedName name="_SO16" localSheetId="31"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0" hidden="1">{#N/A,#N/A,TRUE,"Krycí list"}</definedName>
    <definedName name="_SO16" localSheetId="17" hidden="1">{#N/A,#N/A,TRUE,"Krycí list"}</definedName>
    <definedName name="_SO16" localSheetId="32" hidden="1">{#N/A,#N/A,TRUE,"Krycí list"}</definedName>
    <definedName name="_SO16" localSheetId="42" hidden="1">{#N/A,#N/A,TRUE,"Krycí list"}</definedName>
    <definedName name="_SO16" localSheetId="25" hidden="1">{#N/A,#N/A,TRUE,"Krycí list"}</definedName>
    <definedName name="_SO16" localSheetId="20"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22">Scheduled_Payment+Extra_Payment</definedName>
    <definedName name="_VZT1" localSheetId="23">Scheduled_Payment+Extra_Payment</definedName>
    <definedName name="_VZT1" localSheetId="21">Scheduled_Payment+Extra_Payment</definedName>
    <definedName name="_VZT1" localSheetId="24">Scheduled_Payment+Extra_Payment</definedName>
    <definedName name="_VZT1" localSheetId="28">Scheduled_Payment+Extra_Payment</definedName>
    <definedName name="_VZT1" localSheetId="26">Scheduled_Payment+Extra_Payment</definedName>
    <definedName name="_VZT1" localSheetId="27">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8">Scheduled_Payment+Extra_Payment</definedName>
    <definedName name="_VZT1" localSheetId="19">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5">Scheduled_Payment+Extra_Payment</definedName>
    <definedName name="_VZT1" localSheetId="34">Scheduled_Payment+Extra_Payment</definedName>
    <definedName name="_VZT1" localSheetId="33">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7">Scheduled_Payment+Extra_Payment</definedName>
    <definedName name="_VZT1" localSheetId="48">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0">Scheduled_Payment+Extra_Payment</definedName>
    <definedName name="_VZT1" localSheetId="17">Scheduled_Payment+Extra_Payment</definedName>
    <definedName name="_VZT1" localSheetId="32">Scheduled_Payment+Extra_Payment</definedName>
    <definedName name="_VZT1" localSheetId="42">Scheduled_Payment+Extra_Payment</definedName>
    <definedName name="_VZT1" localSheetId="25">Scheduled_Payment+Extra_Payment</definedName>
    <definedName name="_VZT1" localSheetId="20">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22">DATE(YEAR([2]!Loan_Start),MONTH([2]!Loan_Start)+Payment_Number,DAY([2]!Loan_Start))</definedName>
    <definedName name="_VZT2" localSheetId="23">DATE(YEAR([2]!Loan_Start),MONTH([2]!Loan_Start)+Payment_Number,DAY([2]!Loan_Start))</definedName>
    <definedName name="_VZT2" localSheetId="21">DATE(YEAR([2]!Loan_Start),MONTH([2]!Loan_Start)+Payment_Number,DAY([2]!Loan_Start))</definedName>
    <definedName name="_VZT2" localSheetId="24">DATE(YEAR([3]!Loan_Start),MONTH([3]!Loan_Start)+Payment_Number,DAY([3]!Loan_Start))</definedName>
    <definedName name="_VZT2" localSheetId="28">DATE(YEAR([3]!Loan_Start),MONTH([3]!Loan_Start)+Payment_Number,DAY([3]!Loan_Start))</definedName>
    <definedName name="_VZT2" localSheetId="26">DATE(YEAR([3]!Loan_Start),MONTH([3]!Loan_Start)+Payment_Number,DAY([3]!Loan_Start))</definedName>
    <definedName name="_VZT2" localSheetId="27">DATE(YEAR([3]!Loan_Start),MONTH([3]!Loan_Start)+Payment_Number,DAY([3]!Loan_Start))</definedName>
    <definedName name="_VZT2" localSheetId="11">DATE(YEAR([1]!Loan_Start),MONTH([1]!Loan_Start)+Payment_Number,DAY([1]!Loan_Start))</definedName>
    <definedName name="_VZT2" localSheetId="12">DATE(YEAR([4]!Loan_Start),MONTH([4]!Loan_Start)+Payment_Number,DAY([4]!Loan_Start))</definedName>
    <definedName name="_VZT2" localSheetId="13">DATE(YEAR([1]!Loan_Start),MONTH([1]!Loan_Start)+Payment_Number,DAY([1]!Loan_Start))</definedName>
    <definedName name="_VZT2" localSheetId="18">DATE(YEAR([4]!Loan_Start),MONTH([4]!Loan_Start)+Payment_Number,DAY([4]!Loan_Start))</definedName>
    <definedName name="_VZT2" localSheetId="19">DATE(YEAR([4]!Loan_Start),MONTH([4]!Loan_Start)+Payment_Number,DAY([4]!Loan_Start))</definedName>
    <definedName name="_VZT2" localSheetId="29">DATE(YEAR([5]!Loan_Start),MONTH([5]!Loan_Start)+Payment_Number,DAY([5]!Loan_Start))</definedName>
    <definedName name="_VZT2" localSheetId="30">DATE(YEAR([1]!Loan_Start),MONTH([1]!Loan_Start)+Payment_Number,DAY([1]!Loan_Start))</definedName>
    <definedName name="_VZT2" localSheetId="31">DATE(YEAR([5]!Loan_Start),MONTH([5]!Loan_Start)+Payment_Number,DAY([5]!Loan_Start))</definedName>
    <definedName name="_VZT2" localSheetId="35">DATE(YEAR('D.2.3. AKUMULAČNÍ NÁDRŽ'!Loan_Start),MONTH('D.2.3. AKUMULAČNÍ NÁDRŽ'!Loan_Start)+Payment_Number,DAY('D.2.3. AKUMULAČNÍ NÁDRŽ'!Loan_Start))</definedName>
    <definedName name="_VZT2" localSheetId="34">DATE(YEAR([5]!Loan_Start),MONTH([5]!Loan_Start)+Payment_Number,DAY([5]!Loan_Start))</definedName>
    <definedName name="_VZT2" localSheetId="33">DATE(YEAR([5]!Loan_Start),MONTH([5]!Loan_Start)+Payment_Number,DAY([5]!Loan_Start))</definedName>
    <definedName name="_VZT2" localSheetId="36">DATE(YEAR('D.2.3. ČERPACÍ STANICE'!Loan_Start),MONTH('D.2.3. ČERPACÍ STANICE'!Loan_Start)+Payment_Number,DAY('D.2.3. ČERPACÍ STANICE'!Loan_Start))</definedName>
    <definedName name="_VZT2" localSheetId="37">DATE(YEAR('D.2.3. VSAKOVACÍ NÁDRŽE'!Loan_Start),MONTH('D.2.3. VSAKOVACÍ NÁDRŽE'!Loan_Start)+Payment_Number,DAY('D.2.3. VSAKOVACÍ NÁDRŽE'!Loan_Start))</definedName>
    <definedName name="_VZT2" localSheetId="38">DATE(YEAR([2]!Loan_Start),MONTH([2]!Loan_Start)+Payment_Number,DAY([2]!Loan_Start))</definedName>
    <definedName name="_VZT2" localSheetId="39">DATE(YEAR([6]!Loan_Start),MONTH([6]!Loan_Start)+Payment_Number,DAY([6]!Loan_Start))</definedName>
    <definedName name="_VZT2" localSheetId="40">DATE(YEAR([6]!Loan_Start),MONTH([6]!Loan_Start)+Payment_Number,DAY([6]!Loan_Start))</definedName>
    <definedName name="_VZT2" localSheetId="41">DATE(YEAR([6]!Loan_Start),MONTH([6]!Loan_Start)+Payment_Number,DAY([6]!Loan_Start))</definedName>
    <definedName name="_VZT2" localSheetId="47">DATE(YEAR([6]!Loan_Start),MONTH([6]!Loan_Start)+Payment_Number,DAY([6]!Loan_Start))</definedName>
    <definedName name="_VZT2" localSheetId="48">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0">DATE(YEAR([0]!Loan_Start),MONTH([0]!Loan_Start)+Payment_Number,DAY([0]!Loan_Start))</definedName>
    <definedName name="_VZT2" localSheetId="17">DATE(YEAR([1]!Loan_Start),MONTH([1]!Loan_Start)+Payment_Number,DAY([1]!Loan_Start))</definedName>
    <definedName name="_VZT2" localSheetId="32">DATE(YEAR([7]!Loan_Start),MONTH([7]!Loan_Start)+Payment_Number,DAY([7]!Loan_Start))</definedName>
    <definedName name="_VZT2" localSheetId="42">DATE(YEAR([7]!Loan_Start),MONTH([7]!Loan_Start)+Payment_Number,DAY([7]!Loan_Start))</definedName>
    <definedName name="_VZT2" localSheetId="25">DATE(YEAR([1]!Loan_Start),MONTH([1]!Loan_Start)+Payment_Number,DAY([1]!Loan_Start))</definedName>
    <definedName name="_VZT2" localSheetId="20">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3">DATE(YEAR([5]!Loan_Start),MONTH([5]!Loan_Start)+Payment_Number,DAY([5]!Loan_Start))</definedName>
    <definedName name="_VZT22" localSheetId="24">DATE(YEAR([5]!Loan_Start),MONTH([5]!Loan_Start)+Payment_Number,DAY([5]!Loan_Start))</definedName>
    <definedName name="_VZT22" localSheetId="28">DATE(YEAR([5]!Loan_Start),MONTH([5]!Loan_Start)+Payment_Number,DAY([5]!Loan_Start))</definedName>
    <definedName name="_VZT22" localSheetId="26">DATE(YEAR([5]!Loan_Start),MONTH([5]!Loan_Start)+Payment_Number,DAY([5]!Loan_Start))</definedName>
    <definedName name="_VZT22" localSheetId="27">DATE(YEAR([5]!Loan_Start),MONTH([5]!Loan_Start)+Payment_Number,DAY([5]!Loan_Start))</definedName>
    <definedName name="_VZT22" localSheetId="12">DATE(YEAR([5]!Loan_Start),MONTH([5]!Loan_Start)+Payment_Number,DAY([5]!Loan_Start))</definedName>
    <definedName name="_VZT22" localSheetId="29">DATE(YEAR([5]!Loan_Start),MONTH([5]!Loan_Start)+Payment_Number,DAY([5]!Loan_Start))</definedName>
    <definedName name="_VZT22" localSheetId="31">DATE(YEAR([5]!Loan_Start),MONTH([5]!Loan_Start)+Payment_Number,DAY([5]!Loan_Start))</definedName>
    <definedName name="_VZT22">DATE(YEAR([5]!Loan_Start),MONTH([5]!Loan_Start)+Payment_Number,DAY([5]!Loan_Start))</definedName>
    <definedName name="_vzt3" localSheetId="10">'[8]Rekapitulace roz.  vč. kapitol'!#REF!</definedName>
    <definedName name="_vzt3" localSheetId="22">'[8]Rekapitulace roz.  vč. kapitol'!#REF!</definedName>
    <definedName name="_vzt3" localSheetId="23">'[8]Rekapitulace roz.  vč. kapitol'!#REF!</definedName>
    <definedName name="_vzt3" localSheetId="21">'[8]Rekapitulace roz.  vč. kapitol'!#REF!</definedName>
    <definedName name="_vzt3" localSheetId="24">'[8]Rekapitulace roz.  vč. kapitol'!#REF!</definedName>
    <definedName name="_vzt3" localSheetId="28">'[8]Rekapitulace roz.  vč. kapitol'!#REF!</definedName>
    <definedName name="_vzt3" localSheetId="26">'[8]Rekapitulace roz.  vč. kapitol'!#REF!</definedName>
    <definedName name="_vzt3" localSheetId="27">'[8]Rekapitulace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8">'[8]Rekapitulace roz.  vč. kapitol'!#REF!</definedName>
    <definedName name="_vzt3" localSheetId="29">'[8]Rekapitulace roz.  vč. kapitol'!#REF!</definedName>
    <definedName name="_vzt3" localSheetId="30">'[8]Rekapitulace roz.  vč. kapitol'!#REF!</definedName>
    <definedName name="_vzt3" localSheetId="31">'[8]Rekapitulace roz.  vč. kapitol'!#REF!</definedName>
    <definedName name="_vzt3" localSheetId="35">'[8]Rekapitulace roz.  vč. kapitol'!#REF!</definedName>
    <definedName name="_vzt3" localSheetId="34">'[8]Rekapitulace roz.  vč. kapitol'!#REF!</definedName>
    <definedName name="_vzt3" localSheetId="33">'[8]Rekapitulace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7">'[8]Rekapitulace roz.  vč. kapitol'!#REF!</definedName>
    <definedName name="_vzt3" localSheetId="48">'[8]Rekapitulace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17">'[8]Rekapitulace roz.  vč. kapitol'!#REF!</definedName>
    <definedName name="_vzt3" localSheetId="32">'[8]Rekapitulace roz.  vč. kapitol'!#REF!</definedName>
    <definedName name="_vzt3" localSheetId="42">'[8]Rekapitulace roz.  vč. kapitol'!#REF!</definedName>
    <definedName name="_vzt3" localSheetId="25">'[8]Rekapitulace roz.  vč. kapitol'!#REF!</definedName>
    <definedName name="_vzt3" localSheetId="20">'[8]Rekapitulace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22">'[8]Rekapitulace roz.  vč. kapitol'!#REF!</definedName>
    <definedName name="_VZT5" localSheetId="23">'[8]Rekapitulace roz.  vč. kapitol'!#REF!</definedName>
    <definedName name="_VZT5" localSheetId="21">'[8]Rekapitulace roz.  vč. kapitol'!#REF!</definedName>
    <definedName name="_VZT5" localSheetId="24">'[8]Rekapitulace roz.  vč. kapitol'!#REF!</definedName>
    <definedName name="_VZT5" localSheetId="28">'[8]Rekapitulace roz.  vč. kapitol'!#REF!</definedName>
    <definedName name="_VZT5" localSheetId="26">'[8]Rekapitulace roz.  vč. kapitol'!#REF!</definedName>
    <definedName name="_VZT5" localSheetId="27">'[8]Rekapitulace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8">'[8]Rekapitulace roz.  vč. kapitol'!#REF!</definedName>
    <definedName name="_VZT5" localSheetId="29">'[8]Rekapitulace roz.  vč. kapitol'!#REF!</definedName>
    <definedName name="_VZT5" localSheetId="30">'[8]Rekapitulace roz.  vč. kapitol'!#REF!</definedName>
    <definedName name="_VZT5" localSheetId="31">'[8]Rekapitulace roz.  vč. kapitol'!#REF!</definedName>
    <definedName name="_VZT5" localSheetId="35">'[8]Rekapitulace roz.  vč. kapitol'!#REF!</definedName>
    <definedName name="_VZT5" localSheetId="34">'[8]Rekapitulace roz.  vč. kapitol'!#REF!</definedName>
    <definedName name="_VZT5" localSheetId="33">'[8]Rekapitulace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7">'[8]Rekapitulace roz.  vč. kapitol'!#REF!</definedName>
    <definedName name="_VZT5" localSheetId="48">'[8]Rekapitulace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17">'[8]Rekapitulace roz.  vč. kapitol'!#REF!</definedName>
    <definedName name="_VZT5" localSheetId="32">'[8]Rekapitulace roz.  vč. kapitol'!#REF!</definedName>
    <definedName name="_VZT5" localSheetId="42">'[8]Rekapitulace roz.  vč. kapitol'!#REF!</definedName>
    <definedName name="_VZT5" localSheetId="25">'[8]Rekapitulace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22">'[8]Rekapitulace roz.  vč. kapitol'!#REF!</definedName>
    <definedName name="_VZT6" localSheetId="23">'[8]Rekapitulace roz.  vč. kapitol'!#REF!</definedName>
    <definedName name="_VZT6" localSheetId="21">'[8]Rekapitulace roz.  vč. kapitol'!#REF!</definedName>
    <definedName name="_VZT6" localSheetId="24">'[8]Rekapitulace roz.  vč. kapitol'!#REF!</definedName>
    <definedName name="_VZT6" localSheetId="28">'[8]Rekapitulace roz.  vč. kapitol'!#REF!</definedName>
    <definedName name="_VZT6" localSheetId="26">'[8]Rekapitulace roz.  vč. kapitol'!#REF!</definedName>
    <definedName name="_VZT6" localSheetId="27">'[8]Rekapitulace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29">'[8]Rekapitulace roz.  vč. kapitol'!#REF!</definedName>
    <definedName name="_VZT6" localSheetId="30">'[8]Rekapitulace roz.  vč. kapitol'!#REF!</definedName>
    <definedName name="_VZT6" localSheetId="31">'[8]Rekapitulace roz.  vč. kapitol'!#REF!</definedName>
    <definedName name="_VZT6" localSheetId="35">'[8]Rekapitulace roz.  vč. kapitol'!#REF!</definedName>
    <definedName name="_VZT6" localSheetId="34">'[8]Rekapitulace roz.  vč. kapitol'!#REF!</definedName>
    <definedName name="_VZT6" localSheetId="33">'[8]Rekapitulace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7">'[8]Rekapitulace roz.  vč. kapitol'!#REF!</definedName>
    <definedName name="_VZT6" localSheetId="48">'[8]Rekapitulace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17">'[8]Rekapitulace roz.  vč. kapitol'!#REF!</definedName>
    <definedName name="_VZT6" localSheetId="32">'[8]Rekapitulace roz.  vč. kapitol'!#REF!</definedName>
    <definedName name="_VZT6" localSheetId="42">'[8]Rekapitulace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22">'[8]Rekapitulace roz.  vč. kapitol'!#REF!</definedName>
    <definedName name="_VZT8" localSheetId="23">'[8]Rekapitulace roz.  vč. kapitol'!#REF!</definedName>
    <definedName name="_VZT8" localSheetId="21">'[8]Rekapitulace roz.  vč. kapitol'!#REF!</definedName>
    <definedName name="_VZT8" localSheetId="24">'[8]Rekapitulace roz.  vč. kapitol'!#REF!</definedName>
    <definedName name="_VZT8" localSheetId="28">'[8]Rekapitulace roz.  vč. kapitol'!#REF!</definedName>
    <definedName name="_VZT8" localSheetId="26">'[8]Rekapitulace roz.  vč. kapitol'!#REF!</definedName>
    <definedName name="_VZT8" localSheetId="27">'[8]Rekapitulace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29">'[8]Rekapitulace roz.  vč. kapitol'!#REF!</definedName>
    <definedName name="_VZT8" localSheetId="30">'[8]Rekapitulace roz.  vč. kapitol'!#REF!</definedName>
    <definedName name="_VZT8" localSheetId="31">'[8]Rekapitulace roz.  vč. kapitol'!#REF!</definedName>
    <definedName name="_VZT8" localSheetId="35">'[8]Rekapitulace roz.  vč. kapitol'!#REF!</definedName>
    <definedName name="_VZT8" localSheetId="34">'[8]Rekapitulace roz.  vč. kapitol'!#REF!</definedName>
    <definedName name="_VZT8" localSheetId="33">'[8]Rekapitulace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7">'[8]Rekapitulace roz.  vč. kapitol'!#REF!</definedName>
    <definedName name="_VZT8" localSheetId="48">'[8]Rekapitulace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17">'[8]Rekapitulace roz.  vč. kapitol'!#REF!</definedName>
    <definedName name="_VZT8" localSheetId="32">'[8]Rekapitulace roz.  vč. kapitol'!#REF!</definedName>
    <definedName name="_VZT8" localSheetId="42">'[8]Rekapitulace roz.  vč. kapitol'!#REF!</definedName>
    <definedName name="_VZT8" localSheetId="1">'[8]Rekapitulace roz.  vč. kapitol'!#REF!</definedName>
    <definedName name="_VZT8">'[8]Rekapitulace roz.  vč. kapitol'!#REF!</definedName>
    <definedName name="a" localSheetId="10">'[9]F.1.4.5. ZZTI'!#REF!</definedName>
    <definedName name="a" localSheetId="22">'[9]F.1.4.5. ZZTI'!#REF!</definedName>
    <definedName name="a" localSheetId="23">'[9]F.1.4.5. ZZTI'!#REF!</definedName>
    <definedName name="a" localSheetId="21">'[9]F.1.4.5. ZZTI'!#REF!</definedName>
    <definedName name="a" localSheetId="24">'[10]F.1.4.5. ZZTI'!#REF!</definedName>
    <definedName name="a" localSheetId="28">'[10]F.1.4.5. ZZTI'!#REF!</definedName>
    <definedName name="a" localSheetId="26">'[10]F.1.4.5. ZZTI'!#REF!</definedName>
    <definedName name="a" localSheetId="27">'[10]F.1.4.5. ZZTI'!#REF!</definedName>
    <definedName name="a" localSheetId="11">'[9]F.1.4.5. ZZTI'!#REF!</definedName>
    <definedName name="a" localSheetId="12">'[10]F.1.4.5. ZZTI'!#REF!</definedName>
    <definedName name="a" localSheetId="13">'[9]F.1.4.5. ZZTI'!#REF!</definedName>
    <definedName name="a" localSheetId="18">'[10]F.1.4.5. ZZTI'!#REF!</definedName>
    <definedName name="a" localSheetId="29">'[9]F.1.4.5. ZZTI'!#REF!</definedName>
    <definedName name="a" localSheetId="30">'[9]F.1.4.5. ZZTI'!#REF!</definedName>
    <definedName name="a" localSheetId="31">'[9]F.1.4.5. ZZTI'!#REF!</definedName>
    <definedName name="a" localSheetId="35">'[9]F.1.4.5. ZZTI'!#REF!</definedName>
    <definedName name="a" localSheetId="34">'[9]F.1.4.5. ZZTI'!#REF!</definedName>
    <definedName name="a" localSheetId="33">'[9]F.1.4.5.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7">'[9]F.1.4.5. ZZTI'!#REF!</definedName>
    <definedName name="a" localSheetId="48">'[9]F.1.4.5.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17">'[9]F.1.4.5. ZZTI'!#REF!</definedName>
    <definedName name="a" localSheetId="32">'[9]F.1.4.5. ZZTI'!#REF!</definedName>
    <definedName name="a" localSheetId="42">'[9]F.1.4.5. ZZTI'!#REF!</definedName>
    <definedName name="a" localSheetId="25">'[9]F.1.4.5. ZZTI'!#REF!</definedName>
    <definedName name="a" localSheetId="20">'[9]F.1.4.5. ZZTI'!#REF!</definedName>
    <definedName name="a" localSheetId="1">'[9]F.1.4.5. ZZTI'!#REF!</definedName>
    <definedName name="a">'[9]F.1.4.5. ZZTI'!#REF!</definedName>
    <definedName name="aaaaaaaa" localSheetId="10" hidden="1">{#N/A,#N/A,TRUE,"Krycí list"}</definedName>
    <definedName name="aaaaaaaa" localSheetId="22" hidden="1">{#N/A,#N/A,TRUE,"Krycí list"}</definedName>
    <definedName name="aaaaaaaa" localSheetId="23" hidden="1">{#N/A,#N/A,TRUE,"Krycí list"}</definedName>
    <definedName name="aaaaaaaa" localSheetId="21" hidden="1">{#N/A,#N/A,TRUE,"Krycí list"}</definedName>
    <definedName name="aaaaaaaa" localSheetId="24" hidden="1">{#N/A,#N/A,TRUE,"Krycí list"}</definedName>
    <definedName name="aaaaaaaa" localSheetId="28" hidden="1">{#N/A,#N/A,TRUE,"Krycí list"}</definedName>
    <definedName name="aaaaaaaa" localSheetId="26" hidden="1">{#N/A,#N/A,TRUE,"Krycí list"}</definedName>
    <definedName name="aaaaaaaa" localSheetId="27"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8" hidden="1">{#N/A,#N/A,TRUE,"Krycí list"}</definedName>
    <definedName name="aaaaaaaa" localSheetId="29" hidden="1">{#N/A,#N/A,TRUE,"Krycí list"}</definedName>
    <definedName name="aaaaaaaa" localSheetId="30" hidden="1">{#N/A,#N/A,TRUE,"Krycí list"}</definedName>
    <definedName name="aaaaaaaa" localSheetId="31"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0" hidden="1">{#N/A,#N/A,TRUE,"Krycí list"}</definedName>
    <definedName name="aaaaaaaa" localSheetId="17" hidden="1">{#N/A,#N/A,TRUE,"Krycí list"}</definedName>
    <definedName name="aaaaaaaa" localSheetId="32" hidden="1">{#N/A,#N/A,TRUE,"Krycí list"}</definedName>
    <definedName name="aaaaaaaa" localSheetId="42" hidden="1">{#N/A,#N/A,TRUE,"Krycí list"}</definedName>
    <definedName name="aaaaaaaa" localSheetId="25" hidden="1">{#N/A,#N/A,TRUE,"Krycí list"}</definedName>
    <definedName name="aaaaaaaa" localSheetId="20" hidden="1">{#N/A,#N/A,TRUE,"Krycí list"}</definedName>
    <definedName name="aaaaaaaa" localSheetId="1" hidden="1">{#N/A,#N/A,TRUE,"Krycí list"}</definedName>
    <definedName name="aaaaaaaa" hidden="1">{#N/A,#N/A,TRUE,"Krycí list"}</definedName>
    <definedName name="adasd" localSheetId="24">#REF!</definedName>
    <definedName name="adasd" localSheetId="29">#REF!</definedName>
    <definedName name="adasd">#REF!</definedName>
    <definedName name="baf" localSheetId="10">#REF!</definedName>
    <definedName name="baf" localSheetId="23">#REF!</definedName>
    <definedName name="baf" localSheetId="24">#REF!</definedName>
    <definedName name="baf" localSheetId="11">#REF!</definedName>
    <definedName name="baf" localSheetId="13">#REF!</definedName>
    <definedName name="baf" localSheetId="29">#REF!</definedName>
    <definedName name="baf" localSheetId="30">#REF!</definedName>
    <definedName name="baf" localSheetId="31">#REF!</definedName>
    <definedName name="baf" localSheetId="35">#REF!</definedName>
    <definedName name="baf" localSheetId="36">#REF!</definedName>
    <definedName name="baf" localSheetId="37">#REF!</definedName>
    <definedName name="baf">#REF!</definedName>
    <definedName name="Beg_Bal" localSheetId="10">#REF!</definedName>
    <definedName name="Beg_Bal" localSheetId="22">#REF!</definedName>
    <definedName name="Beg_Bal" localSheetId="23">#REF!</definedName>
    <definedName name="Beg_Bal" localSheetId="21">#REF!</definedName>
    <definedName name="Beg_Bal" localSheetId="24">#REF!</definedName>
    <definedName name="Beg_Bal" localSheetId="28">#REF!</definedName>
    <definedName name="Beg_Bal" localSheetId="26">#REF!</definedName>
    <definedName name="Beg_Bal" localSheetId="27">#REF!</definedName>
    <definedName name="Beg_Bal" localSheetId="11">#REF!</definedName>
    <definedName name="Beg_Bal" localSheetId="12">#REF!</definedName>
    <definedName name="Beg_Bal" localSheetId="13">#REF!</definedName>
    <definedName name="Beg_Bal" localSheetId="18">#REF!</definedName>
    <definedName name="Beg_Bal" localSheetId="29">#REF!</definedName>
    <definedName name="Beg_Bal" localSheetId="30">#REF!</definedName>
    <definedName name="Beg_Bal" localSheetId="31">#REF!</definedName>
    <definedName name="Beg_Bal" localSheetId="35">#REF!</definedName>
    <definedName name="Beg_Bal" localSheetId="34">#REF!</definedName>
    <definedName name="Beg_Bal" localSheetId="33">#REF!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7">#REF!</definedName>
    <definedName name="Beg_Bal" localSheetId="48">#REF!</definedName>
    <definedName name="Beg_Bal" localSheetId="43">#REF!</definedName>
    <definedName name="Beg_Bal" localSheetId="44">#REF!</definedName>
    <definedName name="Beg_Bal" localSheetId="45">#REF!</definedName>
    <definedName name="Beg_Bal" localSheetId="46">#REF!</definedName>
    <definedName name="Beg_Bal" localSheetId="32">#REF!</definedName>
    <definedName name="Beg_Bal" localSheetId="42">#REF!</definedName>
    <definedName name="Beg_Bal" localSheetId="25">#REF!</definedName>
    <definedName name="Beg_Bal" localSheetId="1">#REF!</definedName>
    <definedName name="Beg_Bal">#REF!</definedName>
    <definedName name="bghrerr" localSheetId="10">#REF!</definedName>
    <definedName name="bghrerr" localSheetId="22">#REF!</definedName>
    <definedName name="bghrerr" localSheetId="23">#REF!</definedName>
    <definedName name="bghrerr" localSheetId="21">#REF!</definedName>
    <definedName name="bghrerr" localSheetId="24">#REF!</definedName>
    <definedName name="bghrerr" localSheetId="28">#REF!</definedName>
    <definedName name="bghrerr" localSheetId="26">#REF!</definedName>
    <definedName name="bghrerr" localSheetId="27">#REF!</definedName>
    <definedName name="bghrerr" localSheetId="11">#REF!</definedName>
    <definedName name="bghrerr" localSheetId="12">#REF!</definedName>
    <definedName name="bghrerr" localSheetId="13">#REF!</definedName>
    <definedName name="bghrerr" localSheetId="18">#REF!</definedName>
    <definedName name="bghrerr" localSheetId="29">#REF!</definedName>
    <definedName name="bghrerr" localSheetId="30">#REF!</definedName>
    <definedName name="bghrerr" localSheetId="31">#REF!</definedName>
    <definedName name="bghrerr" localSheetId="35">#REF!</definedName>
    <definedName name="bghrerr" localSheetId="34">#REF!</definedName>
    <definedName name="bghrerr" localSheetId="33">#REF!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7">#REF!</definedName>
    <definedName name="bghrerr" localSheetId="48">#REF!</definedName>
    <definedName name="bghrerr" localSheetId="43">#REF!</definedName>
    <definedName name="bghrerr" localSheetId="44">#REF!</definedName>
    <definedName name="bghrerr" localSheetId="45">#REF!</definedName>
    <definedName name="bghrerr" localSheetId="46">#REF!</definedName>
    <definedName name="bghrerr" localSheetId="32">#REF!</definedName>
    <definedName name="bghrerr" localSheetId="42">#REF!</definedName>
    <definedName name="bghrerr" localSheetId="1">#REF!</definedName>
    <definedName name="bghrerr">#REF!</definedName>
    <definedName name="bhvfdgvf" localSheetId="10">#REF!</definedName>
    <definedName name="bhvfdgvf" localSheetId="22">#REF!</definedName>
    <definedName name="bhvfdgvf" localSheetId="23">#REF!</definedName>
    <definedName name="bhvfdgvf" localSheetId="21">#REF!</definedName>
    <definedName name="bhvfdgvf" localSheetId="24">#REF!</definedName>
    <definedName name="bhvfdgvf" localSheetId="28">#REF!</definedName>
    <definedName name="bhvfdgvf" localSheetId="26">#REF!</definedName>
    <definedName name="bhvfdgvf" localSheetId="27">#REF!</definedName>
    <definedName name="bhvfdgvf" localSheetId="11">#REF!</definedName>
    <definedName name="bhvfdgvf" localSheetId="12">#REF!</definedName>
    <definedName name="bhvfdgvf" localSheetId="13">#REF!</definedName>
    <definedName name="bhvfdgvf" localSheetId="18">#REF!</definedName>
    <definedName name="bhvfdgvf" localSheetId="29">#REF!</definedName>
    <definedName name="bhvfdgvf" localSheetId="30">#REF!</definedName>
    <definedName name="bhvfdgvf" localSheetId="31">#REF!</definedName>
    <definedName name="bhvfdgvf" localSheetId="35">#REF!</definedName>
    <definedName name="bhvfdgvf" localSheetId="34">#REF!</definedName>
    <definedName name="bhvfdgvf" localSheetId="33">#REF!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7">#REF!</definedName>
    <definedName name="bhvfdgvf" localSheetId="48">#REF!</definedName>
    <definedName name="bhvfdgvf" localSheetId="43">#REF!</definedName>
    <definedName name="bhvfdgvf" localSheetId="44">#REF!</definedName>
    <definedName name="bhvfdgvf" localSheetId="45">#REF!</definedName>
    <definedName name="bhvfdgvf" localSheetId="46">#REF!</definedName>
    <definedName name="bhvfdgvf" localSheetId="32">#REF!</definedName>
    <definedName name="bhvfdgvf" localSheetId="42">#REF!</definedName>
    <definedName name="bhvfdgvf" localSheetId="1">#REF!</definedName>
    <definedName name="bhvfdgvf">#REF!</definedName>
    <definedName name="body_celkem" localSheetId="10">'[8]Rekapitulace roz.  vč. kapitol'!#REF!</definedName>
    <definedName name="body_celkem" localSheetId="22">'[8]Rekapitulace roz.  vč. kapitol'!#REF!</definedName>
    <definedName name="body_celkem" localSheetId="23">'[8]Rekapitulace roz.  vč. kapitol'!#REF!</definedName>
    <definedName name="body_celkem" localSheetId="21">'[8]Rekapitulace roz.  vč. kapitol'!#REF!</definedName>
    <definedName name="body_celkem" localSheetId="24">'[8]Rekapitulace roz.  vč. kapitol'!#REF!</definedName>
    <definedName name="body_celkem" localSheetId="28">'[8]Rekapitulace roz.  vč. kapitol'!#REF!</definedName>
    <definedName name="body_celkem" localSheetId="26">'[8]Rekapitulace roz.  vč. kapitol'!#REF!</definedName>
    <definedName name="body_celkem" localSheetId="27">'[8]Rekapitulace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8">'[8]Rekapitulace roz.  vč. kapitol'!#REF!</definedName>
    <definedName name="body_celkem" localSheetId="29">'[8]Rekapitulace roz.  vč. kapitol'!#REF!</definedName>
    <definedName name="body_celkem" localSheetId="30">'[8]Rekapitulace roz.  vč. kapitol'!#REF!</definedName>
    <definedName name="body_celkem" localSheetId="31">'[8]Rekapitulace roz.  vč. kapitol'!#REF!</definedName>
    <definedName name="body_celkem" localSheetId="35">'[8]Rekapitulace roz.  vč. kapitol'!#REF!</definedName>
    <definedName name="body_celkem" localSheetId="34">'[8]Rekapitulace roz.  vč. kapitol'!#REF!</definedName>
    <definedName name="body_celkem" localSheetId="33">'[8]Rekapitulace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7">'[8]Rekapitulace roz.  vč. kapitol'!#REF!</definedName>
    <definedName name="body_celkem" localSheetId="48">'[8]Rekapitulace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32">'[8]Rekapitulace roz.  vč. kapitol'!#REF!</definedName>
    <definedName name="body_celkem" localSheetId="42">'[8]Rekapitulace roz.  vč. kapitol'!#REF!</definedName>
    <definedName name="body_celkem">'[8]Rekapitulace roz.  vč. kapitol'!#REF!</definedName>
    <definedName name="body_kapitoly" localSheetId="10">'[8]Rekapitulace roz.  vč. kapitol'!#REF!</definedName>
    <definedName name="body_kapitoly" localSheetId="22">'[8]Rekapitulace roz.  vč. kapitol'!#REF!</definedName>
    <definedName name="body_kapitoly" localSheetId="23">'[8]Rekapitulace roz.  vč. kapitol'!#REF!</definedName>
    <definedName name="body_kapitoly" localSheetId="21">'[8]Rekapitulace roz.  vč. kapitol'!#REF!</definedName>
    <definedName name="body_kapitoly" localSheetId="24">'[8]Rekapitulace roz.  vč. kapitol'!#REF!</definedName>
    <definedName name="body_kapitoly" localSheetId="28">'[8]Rekapitulace roz.  vč. kapitol'!#REF!</definedName>
    <definedName name="body_kapitoly" localSheetId="26">'[8]Rekapitulace roz.  vč. kapitol'!#REF!</definedName>
    <definedName name="body_kapitoly" localSheetId="27">'[8]Rekapitulace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8">'[8]Rekapitulace roz.  vč. kapitol'!#REF!</definedName>
    <definedName name="body_kapitoly" localSheetId="29">'[8]Rekapitulace roz.  vč. kapitol'!#REF!</definedName>
    <definedName name="body_kapitoly" localSheetId="30">'[8]Rekapitulace roz.  vč. kapitol'!#REF!</definedName>
    <definedName name="body_kapitoly" localSheetId="31">'[8]Rekapitulace roz.  vč. kapitol'!#REF!</definedName>
    <definedName name="body_kapitoly" localSheetId="35">'[8]Rekapitulace roz.  vč. kapitol'!#REF!</definedName>
    <definedName name="body_kapitoly" localSheetId="34">'[8]Rekapitulace roz.  vč. kapitol'!#REF!</definedName>
    <definedName name="body_kapitoly" localSheetId="33">'[8]Rekapitulace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7">'[8]Rekapitulace roz.  vč. kapitol'!#REF!</definedName>
    <definedName name="body_kapitoly" localSheetId="48">'[8]Rekapitulace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32">'[8]Rekapitulace roz.  vč. kapitol'!#REF!</definedName>
    <definedName name="body_kapitoly" localSheetId="42">'[8]Rekapitulace roz.  vč. kapitol'!#REF!</definedName>
    <definedName name="body_kapitoly">'[8]Rekapitulace roz.  vč. kapitol'!#REF!</definedName>
    <definedName name="body_pomocny" localSheetId="10">'[8]Rekapitulace roz.  vč. kapitol'!#REF!</definedName>
    <definedName name="body_pomocny" localSheetId="22">'[8]Rekapitulace roz.  vč. kapitol'!#REF!</definedName>
    <definedName name="body_pomocny" localSheetId="23">'[8]Rekapitulace roz.  vč. kapitol'!#REF!</definedName>
    <definedName name="body_pomocny" localSheetId="21">'[8]Rekapitulace roz.  vč. kapitol'!#REF!</definedName>
    <definedName name="body_pomocny" localSheetId="24">'[8]Rekapitulace roz.  vč. kapitol'!#REF!</definedName>
    <definedName name="body_pomocny" localSheetId="28">'[8]Rekapitulace roz.  vč. kapitol'!#REF!</definedName>
    <definedName name="body_pomocny" localSheetId="26">'[8]Rekapitulace roz.  vč. kapitol'!#REF!</definedName>
    <definedName name="body_pomocny" localSheetId="27">'[8]Rekapitulace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8">'[8]Rekapitulace roz.  vč. kapitol'!#REF!</definedName>
    <definedName name="body_pomocny" localSheetId="29">'[8]Rekapitulace roz.  vč. kapitol'!#REF!</definedName>
    <definedName name="body_pomocny" localSheetId="30">'[8]Rekapitulace roz.  vč. kapitol'!#REF!</definedName>
    <definedName name="body_pomocny" localSheetId="31">'[8]Rekapitulace roz.  vč. kapitol'!#REF!</definedName>
    <definedName name="body_pomocny" localSheetId="35">'[8]Rekapitulace roz.  vč. kapitol'!#REF!</definedName>
    <definedName name="body_pomocny" localSheetId="34">'[8]Rekapitulace roz.  vč. kapitol'!#REF!</definedName>
    <definedName name="body_pomocny" localSheetId="33">'[8]Rekapitulace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7">'[8]Rekapitulace roz.  vč. kapitol'!#REF!</definedName>
    <definedName name="body_pomocny" localSheetId="48">'[8]Rekapitulace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32">'[8]Rekapitulace roz.  vč. kapitol'!#REF!</definedName>
    <definedName name="body_pomocny" localSheetId="42">'[8]Rekapitulace roz.  vč. kapitol'!#REF!</definedName>
    <definedName name="body_pomocny">'[8]Rekapitulace roz.  vč. kapitol'!#REF!</definedName>
    <definedName name="body_rozpocty" localSheetId="10">'[8]Rekapitulace roz.  vč. kapitol'!#REF!</definedName>
    <definedName name="body_rozpocty" localSheetId="22">'[8]Rekapitulace roz.  vč. kapitol'!#REF!</definedName>
    <definedName name="body_rozpocty" localSheetId="23">'[8]Rekapitulace roz.  vč. kapitol'!#REF!</definedName>
    <definedName name="body_rozpocty" localSheetId="21">'[8]Rekapitulace roz.  vč. kapitol'!#REF!</definedName>
    <definedName name="body_rozpocty" localSheetId="24">'[8]Rekapitulace roz.  vč. kapitol'!#REF!</definedName>
    <definedName name="body_rozpocty" localSheetId="28">'[8]Rekapitulace roz.  vč. kapitol'!#REF!</definedName>
    <definedName name="body_rozpocty" localSheetId="26">'[8]Rekapitulace roz.  vč. kapitol'!#REF!</definedName>
    <definedName name="body_rozpocty" localSheetId="27">'[8]Rekapitulace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8">'[8]Rekapitulace roz.  vč. kapitol'!#REF!</definedName>
    <definedName name="body_rozpocty" localSheetId="29">'[8]Rekapitulace roz.  vč. kapitol'!#REF!</definedName>
    <definedName name="body_rozpocty" localSheetId="30">'[8]Rekapitulace roz.  vč. kapitol'!#REF!</definedName>
    <definedName name="body_rozpocty" localSheetId="31">'[8]Rekapitulace roz.  vč. kapitol'!#REF!</definedName>
    <definedName name="body_rozpocty" localSheetId="35">'[8]Rekapitulace roz.  vč. kapitol'!#REF!</definedName>
    <definedName name="body_rozpocty" localSheetId="34">'[8]Rekapitulace roz.  vč. kapitol'!#REF!</definedName>
    <definedName name="body_rozpocty" localSheetId="33">'[8]Rekapitulace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7">'[8]Rekapitulace roz.  vč. kapitol'!#REF!</definedName>
    <definedName name="body_rozpocty" localSheetId="48">'[8]Rekapitulace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32">'[8]Rekapitulace roz.  vč. kapitol'!#REF!</definedName>
    <definedName name="body_rozpocty" localSheetId="42">'[8]Rekapitulace roz.  vč. kapitol'!#REF!</definedName>
    <definedName name="body_rozpocty">'[8]Rekapitulace roz.  vč. kapitol'!#REF!</definedName>
    <definedName name="category1" localSheetId="10">#REF!</definedName>
    <definedName name="category1" localSheetId="22">#REF!</definedName>
    <definedName name="category1" localSheetId="23">#REF!</definedName>
    <definedName name="category1" localSheetId="21">#REF!</definedName>
    <definedName name="category1" localSheetId="24">#REF!</definedName>
    <definedName name="category1" localSheetId="28">#REF!</definedName>
    <definedName name="category1" localSheetId="26">#REF!</definedName>
    <definedName name="category1" localSheetId="27">#REF!</definedName>
    <definedName name="category1" localSheetId="11">#REF!</definedName>
    <definedName name="category1" localSheetId="12">#REF!</definedName>
    <definedName name="category1" localSheetId="13">#REF!</definedName>
    <definedName name="category1" localSheetId="18">#REF!</definedName>
    <definedName name="category1" localSheetId="29">#REF!</definedName>
    <definedName name="category1" localSheetId="30">#REF!</definedName>
    <definedName name="category1" localSheetId="31">#REF!</definedName>
    <definedName name="category1" localSheetId="35">#REF!</definedName>
    <definedName name="category1" localSheetId="34">#REF!</definedName>
    <definedName name="category1" localSheetId="33">#REF!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7">#REF!</definedName>
    <definedName name="category1" localSheetId="48">#REF!</definedName>
    <definedName name="category1" localSheetId="43">#REF!</definedName>
    <definedName name="category1" localSheetId="44">#REF!</definedName>
    <definedName name="category1" localSheetId="45">#REF!</definedName>
    <definedName name="category1" localSheetId="46">#REF!</definedName>
    <definedName name="category1" localSheetId="17">#REF!</definedName>
    <definedName name="category1" localSheetId="32">#REF!</definedName>
    <definedName name="category1" localSheetId="42">#REF!</definedName>
    <definedName name="category1" localSheetId="25">#REF!</definedName>
    <definedName name="category1" localSheetId="1">#REF!</definedName>
    <definedName name="category1">#REF!</definedName>
    <definedName name="CelkemObjekty" localSheetId="0">KL!$F$68</definedName>
    <definedName name="celkrozp" localSheetId="10">#REF!</definedName>
    <definedName name="celkrozp" localSheetId="22">#REF!</definedName>
    <definedName name="celkrozp" localSheetId="23">#REF!</definedName>
    <definedName name="celkrozp" localSheetId="21">#REF!</definedName>
    <definedName name="celkrozp" localSheetId="24">#REF!</definedName>
    <definedName name="celkrozp" localSheetId="28">#REF!</definedName>
    <definedName name="celkrozp" localSheetId="26">#REF!</definedName>
    <definedName name="celkrozp" localSheetId="27">#REF!</definedName>
    <definedName name="celkrozp" localSheetId="11">#REF!</definedName>
    <definedName name="celkrozp" localSheetId="12">#REF!</definedName>
    <definedName name="celkrozp" localSheetId="13">#REF!</definedName>
    <definedName name="celkrozp" localSheetId="18">#REF!</definedName>
    <definedName name="celkrozp" localSheetId="29">#REF!</definedName>
    <definedName name="celkrozp" localSheetId="30">#REF!</definedName>
    <definedName name="celkrozp" localSheetId="31">#REF!</definedName>
    <definedName name="celkrozp" localSheetId="35">#REF!</definedName>
    <definedName name="celkrozp" localSheetId="34">#REF!</definedName>
    <definedName name="celkrozp" localSheetId="33">#REF!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7">#REF!</definedName>
    <definedName name="celkrozp" localSheetId="48">#REF!</definedName>
    <definedName name="celkrozp" localSheetId="43">#REF!</definedName>
    <definedName name="celkrozp" localSheetId="44">#REF!</definedName>
    <definedName name="celkrozp" localSheetId="45">#REF!</definedName>
    <definedName name="celkrozp" localSheetId="46">#REF!</definedName>
    <definedName name="celkrozp" localSheetId="17">#REF!</definedName>
    <definedName name="celkrozp" localSheetId="32">#REF!</definedName>
    <definedName name="celkrozp" localSheetId="42">#REF!</definedName>
    <definedName name="celkrozp" localSheetId="1">#REF!</definedName>
    <definedName name="celkrozp">#REF!</definedName>
    <definedName name="cisloobjektu" localSheetId="10">#REF!</definedName>
    <definedName name="cisloobjektu" localSheetId="22">#REF!</definedName>
    <definedName name="cisloobjektu" localSheetId="23">#REF!</definedName>
    <definedName name="cisloobjektu" localSheetId="21">#REF!</definedName>
    <definedName name="cisloobjektu" localSheetId="24">#REF!</definedName>
    <definedName name="cisloobjektu" localSheetId="28">#REF!</definedName>
    <definedName name="cisloobjektu" localSheetId="26">#REF!</definedName>
    <definedName name="cisloobjektu" localSheetId="27">#REF!</definedName>
    <definedName name="cisloobjektu" localSheetId="11">#REF!</definedName>
    <definedName name="cisloobjektu" localSheetId="12">#REF!</definedName>
    <definedName name="cisloobjektu" localSheetId="13">#REF!</definedName>
    <definedName name="cisloobjektu" localSheetId="18">#REF!</definedName>
    <definedName name="cisloobjektu" localSheetId="29">#REF!</definedName>
    <definedName name="cisloobjektu" localSheetId="30">#REF!</definedName>
    <definedName name="cisloobjektu" localSheetId="31">#REF!</definedName>
    <definedName name="cisloobjektu" localSheetId="35">#REF!</definedName>
    <definedName name="cisloobjektu" localSheetId="34">#REF!</definedName>
    <definedName name="cisloobjektu" localSheetId="33">#REF!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7">#REF!</definedName>
    <definedName name="cisloobjektu" localSheetId="48">#REF!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0">#REF!</definedName>
    <definedName name="cisloobjektu" localSheetId="17">#REF!</definedName>
    <definedName name="cisloobjektu" localSheetId="32">#REF!</definedName>
    <definedName name="cisloobjektu" localSheetId="42">#REF!</definedName>
    <definedName name="cisloobjektu" localSheetId="1">#REF!</definedName>
    <definedName name="cisloobjektu">#REF!</definedName>
    <definedName name="cislostavby" localSheetId="10">#REF!</definedName>
    <definedName name="cislostavby" localSheetId="22">#REF!</definedName>
    <definedName name="cislostavby" localSheetId="23">#REF!</definedName>
    <definedName name="cislostavby" localSheetId="21">#REF!</definedName>
    <definedName name="cislostavby" localSheetId="24">#REF!</definedName>
    <definedName name="cislostavby" localSheetId="28">#REF!</definedName>
    <definedName name="cislostavby" localSheetId="26">#REF!</definedName>
    <definedName name="cislostavby" localSheetId="27">#REF!</definedName>
    <definedName name="cislostavby" localSheetId="11">#REF!</definedName>
    <definedName name="cislostavby" localSheetId="13">#REF!</definedName>
    <definedName name="cislostavby" localSheetId="18">#REF!</definedName>
    <definedName name="cislostavby" localSheetId="29">#REF!</definedName>
    <definedName name="cislostavby" localSheetId="30">#REF!</definedName>
    <definedName name="cislostavby" localSheetId="31">#REF!</definedName>
    <definedName name="cislostavby" localSheetId="35">#REF!</definedName>
    <definedName name="cislostavby" localSheetId="34">#REF!</definedName>
    <definedName name="cislostavby" localSheetId="33">#REF!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7">#REF!</definedName>
    <definedName name="cislostavby" localSheetId="48">#REF!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0">KL!#REF!</definedName>
    <definedName name="cislostavby" localSheetId="32">#REF!</definedName>
    <definedName name="cislostavby" localSheetId="42">#REF!</definedName>
    <definedName name="cislostavby" localSheetId="1">#REF!</definedName>
    <definedName name="cislostavby">#REF!</definedName>
    <definedName name="d" localSheetId="10" hidden="1">{#N/A,#N/A,TRUE,"Krycí list"}</definedName>
    <definedName name="d" localSheetId="22" hidden="1">{#N/A,#N/A,TRUE,"Krycí list"}</definedName>
    <definedName name="d" localSheetId="23" hidden="1">{#N/A,#N/A,TRUE,"Krycí list"}</definedName>
    <definedName name="d" localSheetId="21" hidden="1">{#N/A,#N/A,TRUE,"Krycí list"}</definedName>
    <definedName name="d" localSheetId="24" hidden="1">{#N/A,#N/A,TRUE,"Krycí list"}</definedName>
    <definedName name="d" localSheetId="28" hidden="1">{#N/A,#N/A,TRUE,"Krycí list"}</definedName>
    <definedName name="d" localSheetId="26" hidden="1">{#N/A,#N/A,TRUE,"Krycí list"}</definedName>
    <definedName name="d" localSheetId="27"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8" hidden="1">{#N/A,#N/A,TRUE,"Krycí list"}</definedName>
    <definedName name="d" localSheetId="29" hidden="1">{#N/A,#N/A,TRUE,"Krycí list"}</definedName>
    <definedName name="d" localSheetId="30" hidden="1">{#N/A,#N/A,TRUE,"Krycí list"}</definedName>
    <definedName name="d" localSheetId="31"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0" hidden="1">{#N/A,#N/A,TRUE,"Krycí list"}</definedName>
    <definedName name="d" localSheetId="17" hidden="1">{#N/A,#N/A,TRUE,"Krycí list"}</definedName>
    <definedName name="d" localSheetId="32" hidden="1">{#N/A,#N/A,TRUE,"Krycí list"}</definedName>
    <definedName name="d" localSheetId="42" hidden="1">{#N/A,#N/A,TRUE,"Krycí list"}</definedName>
    <definedName name="d" localSheetId="25" hidden="1">{#N/A,#N/A,TRUE,"Krycí list"}</definedName>
    <definedName name="d" localSheetId="20"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22">#REF!</definedName>
    <definedName name="Data" localSheetId="23">#REF!</definedName>
    <definedName name="Data" localSheetId="21">#REF!</definedName>
    <definedName name="Data" localSheetId="24">#REF!</definedName>
    <definedName name="Data" localSheetId="28">#REF!</definedName>
    <definedName name="Data" localSheetId="26">#REF!</definedName>
    <definedName name="Data" localSheetId="27">#REF!</definedName>
    <definedName name="Data" localSheetId="11">#REF!</definedName>
    <definedName name="Data" localSheetId="12">#REF!</definedName>
    <definedName name="Data" localSheetId="13">#REF!</definedName>
    <definedName name="Data" localSheetId="18">#REF!</definedName>
    <definedName name="Data" localSheetId="29">#REF!</definedName>
    <definedName name="Data" localSheetId="30">#REF!</definedName>
    <definedName name="Data" localSheetId="31">#REF!</definedName>
    <definedName name="Data" localSheetId="35">#REF!</definedName>
    <definedName name="Data" localSheetId="34">#REF!</definedName>
    <definedName name="Data" localSheetId="33">#REF!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7">#REF!</definedName>
    <definedName name="Data" localSheetId="48">#REF!</definedName>
    <definedName name="Data" localSheetId="43">#REF!</definedName>
    <definedName name="Data" localSheetId="44">#REF!</definedName>
    <definedName name="Data" localSheetId="45">#REF!</definedName>
    <definedName name="Data" localSheetId="46">#REF!</definedName>
    <definedName name="Data" localSheetId="32">#REF!</definedName>
    <definedName name="Data" localSheetId="42">#REF!</definedName>
    <definedName name="Data" localSheetId="25">#REF!</definedName>
    <definedName name="Data" localSheetId="1">#REF!</definedName>
    <definedName name="Data">#REF!</definedName>
    <definedName name="Datum" localSheetId="10">#REF!</definedName>
    <definedName name="Datum" localSheetId="22">#REF!</definedName>
    <definedName name="Datum" localSheetId="23">#REF!</definedName>
    <definedName name="Datum" localSheetId="21">#REF!</definedName>
    <definedName name="Datum" localSheetId="24">#REF!</definedName>
    <definedName name="Datum" localSheetId="28">#REF!</definedName>
    <definedName name="Datum" localSheetId="26">#REF!</definedName>
    <definedName name="Datum" localSheetId="27">#REF!</definedName>
    <definedName name="Datum" localSheetId="11">#REF!</definedName>
    <definedName name="Datum" localSheetId="12">#REF!</definedName>
    <definedName name="Datum" localSheetId="13">#REF!</definedName>
    <definedName name="Datum" localSheetId="18">#REF!</definedName>
    <definedName name="Datum" localSheetId="29">#REF!</definedName>
    <definedName name="Datum" localSheetId="30">#REF!</definedName>
    <definedName name="Datum" localSheetId="31">#REF!</definedName>
    <definedName name="Datum" localSheetId="35">#REF!</definedName>
    <definedName name="Datum" localSheetId="34">#REF!</definedName>
    <definedName name="Datum" localSheetId="33">#REF!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7">#REF!</definedName>
    <definedName name="Datum" localSheetId="48">#REF!</definedName>
    <definedName name="Datum" localSheetId="43">#REF!</definedName>
    <definedName name="Datum" localSheetId="44">#REF!</definedName>
    <definedName name="Datum" localSheetId="45">#REF!</definedName>
    <definedName name="Datum" localSheetId="46">#REF!</definedName>
    <definedName name="Datum" localSheetId="0">#REF!</definedName>
    <definedName name="Datum" localSheetId="32">#REF!</definedName>
    <definedName name="Datum" localSheetId="42">#REF!</definedName>
    <definedName name="Datum" localSheetId="1">#REF!</definedName>
    <definedName name="Datum">#REF!</definedName>
    <definedName name="dfdaf" localSheetId="10">#REF!</definedName>
    <definedName name="dfdaf" localSheetId="22">#REF!</definedName>
    <definedName name="dfdaf" localSheetId="23">#REF!</definedName>
    <definedName name="dfdaf" localSheetId="21">#REF!</definedName>
    <definedName name="dfdaf" localSheetId="24">#REF!</definedName>
    <definedName name="dfdaf" localSheetId="28">#REF!</definedName>
    <definedName name="dfdaf" localSheetId="26">#REF!</definedName>
    <definedName name="dfdaf" localSheetId="27">#REF!</definedName>
    <definedName name="dfdaf" localSheetId="11">#REF!</definedName>
    <definedName name="dfdaf" localSheetId="12">#REF!</definedName>
    <definedName name="dfdaf" localSheetId="13">#REF!</definedName>
    <definedName name="dfdaf" localSheetId="18">#REF!</definedName>
    <definedName name="dfdaf" localSheetId="29">#REF!</definedName>
    <definedName name="dfdaf" localSheetId="30">#REF!</definedName>
    <definedName name="dfdaf" localSheetId="31">#REF!</definedName>
    <definedName name="dfdaf" localSheetId="35">#REF!</definedName>
    <definedName name="dfdaf" localSheetId="34">#REF!</definedName>
    <definedName name="dfdaf" localSheetId="33">#REF!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7">#REF!</definedName>
    <definedName name="dfdaf" localSheetId="48">#REF!</definedName>
    <definedName name="dfdaf" localSheetId="43">#REF!</definedName>
    <definedName name="dfdaf" localSheetId="44">#REF!</definedName>
    <definedName name="dfdaf" localSheetId="45">#REF!</definedName>
    <definedName name="dfdaf" localSheetId="46">#REF!</definedName>
    <definedName name="dfdaf" localSheetId="32">#REF!</definedName>
    <definedName name="dfdaf" localSheetId="42">#REF!</definedName>
    <definedName name="dfdaf" localSheetId="1">#REF!</definedName>
    <definedName name="dfdaf">#REF!</definedName>
    <definedName name="DIČ" localSheetId="0">KL!$J$8</definedName>
    <definedName name="Dil" localSheetId="10">#REF!</definedName>
    <definedName name="Dil" localSheetId="22">#REF!</definedName>
    <definedName name="Dil" localSheetId="23">#REF!</definedName>
    <definedName name="Dil" localSheetId="21">#REF!</definedName>
    <definedName name="Dil" localSheetId="24">#REF!</definedName>
    <definedName name="Dil" localSheetId="28">#REF!</definedName>
    <definedName name="Dil" localSheetId="26">#REF!</definedName>
    <definedName name="Dil" localSheetId="27">#REF!</definedName>
    <definedName name="Dil" localSheetId="11">#REF!</definedName>
    <definedName name="Dil" localSheetId="13">#REF!</definedName>
    <definedName name="Dil" localSheetId="18">#REF!</definedName>
    <definedName name="Dil" localSheetId="29">#REF!</definedName>
    <definedName name="Dil" localSheetId="30">#REF!</definedName>
    <definedName name="Dil" localSheetId="31">#REF!</definedName>
    <definedName name="Dil" localSheetId="35">#REF!</definedName>
    <definedName name="Dil" localSheetId="34">#REF!</definedName>
    <definedName name="Dil" localSheetId="33">#REF!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7">#REF!</definedName>
    <definedName name="Dil" localSheetId="48">#REF!</definedName>
    <definedName name="Dil" localSheetId="43">#REF!</definedName>
    <definedName name="Dil" localSheetId="44">#REF!</definedName>
    <definedName name="Dil" localSheetId="45">#REF!</definedName>
    <definedName name="Dil" localSheetId="46">#REF!</definedName>
    <definedName name="Dil" localSheetId="0">#REF!</definedName>
    <definedName name="Dil" localSheetId="32">#REF!</definedName>
    <definedName name="Dil" localSheetId="42">#REF!</definedName>
    <definedName name="Dil" localSheetId="1">#REF!</definedName>
    <definedName name="Dil">#REF!</definedName>
    <definedName name="DKGJSDGS" localSheetId="10">#REF!</definedName>
    <definedName name="DKGJSDGS" localSheetId="22">#REF!</definedName>
    <definedName name="DKGJSDGS" localSheetId="23">#REF!</definedName>
    <definedName name="DKGJSDGS" localSheetId="21">#REF!</definedName>
    <definedName name="DKGJSDGS" localSheetId="24">#REF!</definedName>
    <definedName name="DKGJSDGS" localSheetId="28">#REF!</definedName>
    <definedName name="DKGJSDGS" localSheetId="26">#REF!</definedName>
    <definedName name="DKGJSDGS" localSheetId="27">#REF!</definedName>
    <definedName name="DKGJSDGS" localSheetId="11">#REF!</definedName>
    <definedName name="DKGJSDGS" localSheetId="13">#REF!</definedName>
    <definedName name="DKGJSDGS" localSheetId="18">#REF!</definedName>
    <definedName name="DKGJSDGS" localSheetId="29">#REF!</definedName>
    <definedName name="DKGJSDGS" localSheetId="30">#REF!</definedName>
    <definedName name="DKGJSDGS" localSheetId="31">#REF!</definedName>
    <definedName name="DKGJSDGS" localSheetId="35">#REF!</definedName>
    <definedName name="DKGJSDGS" localSheetId="34">#REF!</definedName>
    <definedName name="DKGJSDGS" localSheetId="33">#REF!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7">#REF!</definedName>
    <definedName name="DKGJSDGS" localSheetId="48">#REF!</definedName>
    <definedName name="DKGJSDGS" localSheetId="43">#REF!</definedName>
    <definedName name="DKGJSDGS" localSheetId="44">#REF!</definedName>
    <definedName name="DKGJSDGS" localSheetId="45">#REF!</definedName>
    <definedName name="DKGJSDGS" localSheetId="46">#REF!</definedName>
    <definedName name="DKGJSDGS" localSheetId="32">#REF!</definedName>
    <definedName name="DKGJSDGS" localSheetId="42">#REF!</definedName>
    <definedName name="DKGJSDGS" localSheetId="1">#REF!</definedName>
    <definedName name="DKGJSDGS">#REF!</definedName>
    <definedName name="dmisto" localSheetId="0">KL!#REF!</definedName>
    <definedName name="dod" localSheetId="10">'[9]F.1.4.5. ZZTI'!#REF!</definedName>
    <definedName name="dod" localSheetId="22">'[9]F.1.4.5. ZZTI'!#REF!</definedName>
    <definedName name="dod" localSheetId="23">'[9]F.1.4.5. ZZTI'!#REF!</definedName>
    <definedName name="dod" localSheetId="21">'[9]F.1.4.5. ZZTI'!#REF!</definedName>
    <definedName name="dod" localSheetId="24">'[10]F.1.4.5. ZZTI'!#REF!</definedName>
    <definedName name="dod" localSheetId="28">'[10]F.1.4.5. ZZTI'!#REF!</definedName>
    <definedName name="dod" localSheetId="26">'[10]F.1.4.5. ZZTI'!#REF!</definedName>
    <definedName name="dod" localSheetId="27">'[10]F.1.4.5. ZZTI'!#REF!</definedName>
    <definedName name="dod" localSheetId="11">'[9]F.1.4.5. ZZTI'!#REF!</definedName>
    <definedName name="dod" localSheetId="12">'[10]F.1.4.5. ZZTI'!#REF!</definedName>
    <definedName name="dod" localSheetId="13">'[9]F.1.4.5. ZZTI'!#REF!</definedName>
    <definedName name="dod" localSheetId="18">'[10]F.1.4.5. ZZTI'!#REF!</definedName>
    <definedName name="dod" localSheetId="29">'[9]F.1.4.5. ZZTI'!#REF!</definedName>
    <definedName name="dod" localSheetId="30">'[9]F.1.4.5. ZZTI'!#REF!</definedName>
    <definedName name="dod" localSheetId="31">'[9]F.1.4.5. ZZTI'!#REF!</definedName>
    <definedName name="dod" localSheetId="35">'[9]F.1.4.5. ZZTI'!#REF!</definedName>
    <definedName name="dod" localSheetId="34">'[9]F.1.4.5. ZZTI'!#REF!</definedName>
    <definedName name="dod" localSheetId="33">'[9]F.1.4.5.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7">'[9]F.1.4.5. ZZTI'!#REF!</definedName>
    <definedName name="dod" localSheetId="48">'[9]F.1.4.5.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17">'[9]F.1.4.5. ZZTI'!#REF!</definedName>
    <definedName name="dod" localSheetId="32">'[9]F.1.4.5. ZZTI'!#REF!</definedName>
    <definedName name="dod" localSheetId="42">'[9]F.1.4.5. ZZTI'!#REF!</definedName>
    <definedName name="dod" localSheetId="25">'[9]F.1.4.5. ZZTI'!#REF!</definedName>
    <definedName name="dod" localSheetId="20">'[9]F.1.4.5. ZZTI'!#REF!</definedName>
    <definedName name="dod" localSheetId="1">'[9]F.1.4.5. ZZTI'!#REF!</definedName>
    <definedName name="dod">'[9]F.1.4.5. ZZTI'!#REF!</definedName>
    <definedName name="Dodavka" localSheetId="10">#REF!</definedName>
    <definedName name="Dodavka" localSheetId="22">#REF!</definedName>
    <definedName name="Dodavka" localSheetId="23">#REF!</definedName>
    <definedName name="Dodavka" localSheetId="21">#REF!</definedName>
    <definedName name="Dodavka" localSheetId="24">#REF!</definedName>
    <definedName name="Dodavka" localSheetId="28">#REF!</definedName>
    <definedName name="Dodavka" localSheetId="26">#REF!</definedName>
    <definedName name="Dodavka" localSheetId="27">#REF!</definedName>
    <definedName name="Dodavka" localSheetId="11">#REF!</definedName>
    <definedName name="Dodavka" localSheetId="12">#REF!</definedName>
    <definedName name="Dodavka" localSheetId="13">#REF!</definedName>
    <definedName name="Dodavka" localSheetId="18">#REF!</definedName>
    <definedName name="Dodavka" localSheetId="29">#REF!</definedName>
    <definedName name="Dodavka" localSheetId="30">#REF!</definedName>
    <definedName name="Dodavka" localSheetId="31">#REF!</definedName>
    <definedName name="Dodavka" localSheetId="35">#REF!</definedName>
    <definedName name="Dodavka" localSheetId="34">#REF!</definedName>
    <definedName name="Dodavka" localSheetId="33">#REF!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7">#REF!</definedName>
    <definedName name="Dodavka" localSheetId="48">#REF!</definedName>
    <definedName name="Dodavka" localSheetId="43">#REF!</definedName>
    <definedName name="Dodavka" localSheetId="44">#REF!</definedName>
    <definedName name="Dodavka" localSheetId="45">#REF!</definedName>
    <definedName name="Dodavka" localSheetId="46">#REF!</definedName>
    <definedName name="Dodavka" localSheetId="0">#REF!</definedName>
    <definedName name="Dodavka" localSheetId="17">#REF!</definedName>
    <definedName name="Dodavka" localSheetId="32">#REF!</definedName>
    <definedName name="Dodavka" localSheetId="42">#REF!</definedName>
    <definedName name="Dodavka" localSheetId="25">#REF!</definedName>
    <definedName name="Dodavka" localSheetId="20">#REF!</definedName>
    <definedName name="Dodavka" localSheetId="1">#REF!</definedName>
    <definedName name="Dodavka">#REF!</definedName>
    <definedName name="Dodavka0" localSheetId="10">#REF!</definedName>
    <definedName name="Dodavka0" localSheetId="22">#REF!</definedName>
    <definedName name="Dodavka0" localSheetId="23">#REF!</definedName>
    <definedName name="Dodavka0" localSheetId="21">#REF!</definedName>
    <definedName name="Dodavka0" localSheetId="24">#REF!</definedName>
    <definedName name="Dodavka0" localSheetId="28">#REF!</definedName>
    <definedName name="Dodavka0" localSheetId="26">#REF!</definedName>
    <definedName name="Dodavka0" localSheetId="27">#REF!</definedName>
    <definedName name="Dodavka0" localSheetId="11">#REF!</definedName>
    <definedName name="Dodavka0" localSheetId="12">#REF!</definedName>
    <definedName name="Dodavka0" localSheetId="13">#REF!</definedName>
    <definedName name="Dodavka0" localSheetId="18">#REF!</definedName>
    <definedName name="Dodavka0" localSheetId="29">#REF!</definedName>
    <definedName name="Dodavka0" localSheetId="30">#REF!</definedName>
    <definedName name="Dodavka0" localSheetId="31">#REF!</definedName>
    <definedName name="Dodavka0" localSheetId="35">#REF!</definedName>
    <definedName name="Dodavka0" localSheetId="34">#REF!</definedName>
    <definedName name="Dodavka0" localSheetId="33">#REF!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7">#REF!</definedName>
    <definedName name="Dodavka0" localSheetId="48">#REF!</definedName>
    <definedName name="Dodavka0" localSheetId="43">#REF!</definedName>
    <definedName name="Dodavka0" localSheetId="44">#REF!</definedName>
    <definedName name="Dodavka0" localSheetId="45">#REF!</definedName>
    <definedName name="Dodavka0" localSheetId="46">#REF!</definedName>
    <definedName name="Dodavka0" localSheetId="0">'[11]002-A.1. Archstav  reseni'!#REF!</definedName>
    <definedName name="Dodavka0" localSheetId="17">#REF!</definedName>
    <definedName name="Dodavka0" localSheetId="32">#REF!</definedName>
    <definedName name="Dodavka0" localSheetId="42">#REF!</definedName>
    <definedName name="Dodavka0" localSheetId="1">#REF!</definedName>
    <definedName name="Dodavka0">#REF!</definedName>
    <definedName name="dpsc" localSheetId="0">KL!#REF!</definedName>
    <definedName name="dsfbhbg" localSheetId="10">#REF!</definedName>
    <definedName name="dsfbhbg" localSheetId="22">#REF!</definedName>
    <definedName name="dsfbhbg" localSheetId="23">#REF!</definedName>
    <definedName name="dsfbhbg" localSheetId="21">#REF!</definedName>
    <definedName name="dsfbhbg" localSheetId="24">#REF!</definedName>
    <definedName name="dsfbhbg" localSheetId="28">#REF!</definedName>
    <definedName name="dsfbhbg" localSheetId="26">#REF!</definedName>
    <definedName name="dsfbhbg" localSheetId="27">#REF!</definedName>
    <definedName name="dsfbhbg" localSheetId="11">#REF!</definedName>
    <definedName name="dsfbhbg" localSheetId="12">#REF!</definedName>
    <definedName name="dsfbhbg" localSheetId="13">#REF!</definedName>
    <definedName name="dsfbhbg" localSheetId="18">#REF!</definedName>
    <definedName name="dsfbhbg" localSheetId="29">#REF!</definedName>
    <definedName name="dsfbhbg" localSheetId="30">#REF!</definedName>
    <definedName name="dsfbhbg" localSheetId="31">#REF!</definedName>
    <definedName name="dsfbhbg" localSheetId="35">#REF!</definedName>
    <definedName name="dsfbhbg" localSheetId="34">#REF!</definedName>
    <definedName name="dsfbhbg" localSheetId="33">#REF!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7">#REF!</definedName>
    <definedName name="dsfbhbg" localSheetId="48">#REF!</definedName>
    <definedName name="dsfbhbg" localSheetId="43">#REF!</definedName>
    <definedName name="dsfbhbg" localSheetId="44">#REF!</definedName>
    <definedName name="dsfbhbg" localSheetId="45">#REF!</definedName>
    <definedName name="dsfbhbg" localSheetId="46">#REF!</definedName>
    <definedName name="dsfbhbg" localSheetId="17">#REF!</definedName>
    <definedName name="dsfbhbg" localSheetId="32">#REF!</definedName>
    <definedName name="dsfbhbg" localSheetId="42">#REF!</definedName>
    <definedName name="dsfbhbg" localSheetId="1">#REF!</definedName>
    <definedName name="dsfbhbg">#REF!</definedName>
    <definedName name="End_Bal" localSheetId="10">#REF!</definedName>
    <definedName name="End_Bal" localSheetId="22">#REF!</definedName>
    <definedName name="End_Bal" localSheetId="23">#REF!</definedName>
    <definedName name="End_Bal" localSheetId="21">#REF!</definedName>
    <definedName name="End_Bal" localSheetId="24">#REF!</definedName>
    <definedName name="End_Bal" localSheetId="28">#REF!</definedName>
    <definedName name="End_Bal" localSheetId="26">#REF!</definedName>
    <definedName name="End_Bal" localSheetId="27">#REF!</definedName>
    <definedName name="End_Bal" localSheetId="11">#REF!</definedName>
    <definedName name="End_Bal" localSheetId="13">#REF!</definedName>
    <definedName name="End_Bal" localSheetId="18">#REF!</definedName>
    <definedName name="End_Bal" localSheetId="29">#REF!</definedName>
    <definedName name="End_Bal" localSheetId="30">#REF!</definedName>
    <definedName name="End_Bal" localSheetId="31">#REF!</definedName>
    <definedName name="End_Bal" localSheetId="35">#REF!</definedName>
    <definedName name="End_Bal" localSheetId="34">#REF!</definedName>
    <definedName name="End_Bal" localSheetId="33">#REF!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7">#REF!</definedName>
    <definedName name="End_Bal" localSheetId="48">#REF!</definedName>
    <definedName name="End_Bal" localSheetId="43">#REF!</definedName>
    <definedName name="End_Bal" localSheetId="44">#REF!</definedName>
    <definedName name="End_Bal" localSheetId="45">#REF!</definedName>
    <definedName name="End_Bal" localSheetId="46">#REF!</definedName>
    <definedName name="End_Bal" localSheetId="32">#REF!</definedName>
    <definedName name="End_Bal" localSheetId="42">#REF!</definedName>
    <definedName name="End_Bal" localSheetId="1">#REF!</definedName>
    <definedName name="End_Bal">#REF!</definedName>
    <definedName name="exter1" localSheetId="10">#REF!</definedName>
    <definedName name="exter1" localSheetId="22">#REF!</definedName>
    <definedName name="exter1" localSheetId="23">#REF!</definedName>
    <definedName name="exter1" localSheetId="21">#REF!</definedName>
    <definedName name="exter1" localSheetId="24">#REF!</definedName>
    <definedName name="exter1" localSheetId="28">#REF!</definedName>
    <definedName name="exter1" localSheetId="26">#REF!</definedName>
    <definedName name="exter1" localSheetId="27">#REF!</definedName>
    <definedName name="exter1" localSheetId="11">#REF!</definedName>
    <definedName name="exter1" localSheetId="13">#REF!</definedName>
    <definedName name="exter1" localSheetId="18">#REF!</definedName>
    <definedName name="exter1" localSheetId="29">#REF!</definedName>
    <definedName name="exter1" localSheetId="30">#REF!</definedName>
    <definedName name="exter1" localSheetId="31">#REF!</definedName>
    <definedName name="exter1" localSheetId="35">#REF!</definedName>
    <definedName name="exter1" localSheetId="34">#REF!</definedName>
    <definedName name="exter1" localSheetId="33">#REF!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7">#REF!</definedName>
    <definedName name="exter1" localSheetId="48">#REF!</definedName>
    <definedName name="exter1" localSheetId="43">#REF!</definedName>
    <definedName name="exter1" localSheetId="44">#REF!</definedName>
    <definedName name="exter1" localSheetId="45">#REF!</definedName>
    <definedName name="exter1" localSheetId="46">#REF!</definedName>
    <definedName name="exter1" localSheetId="32">#REF!</definedName>
    <definedName name="exter1" localSheetId="42">#REF!</definedName>
    <definedName name="exter1" localSheetId="1">#REF!</definedName>
    <definedName name="exter1">#REF!</definedName>
    <definedName name="Extra_Pay" localSheetId="10">#REF!</definedName>
    <definedName name="Extra_Pay" localSheetId="22">#REF!</definedName>
    <definedName name="Extra_Pay" localSheetId="23">#REF!</definedName>
    <definedName name="Extra_Pay" localSheetId="21">#REF!</definedName>
    <definedName name="Extra_Pay" localSheetId="24">#REF!</definedName>
    <definedName name="Extra_Pay" localSheetId="28">#REF!</definedName>
    <definedName name="Extra_Pay" localSheetId="26">#REF!</definedName>
    <definedName name="Extra_Pay" localSheetId="27">#REF!</definedName>
    <definedName name="Extra_Pay" localSheetId="11">#REF!</definedName>
    <definedName name="Extra_Pay" localSheetId="13">#REF!</definedName>
    <definedName name="Extra_Pay" localSheetId="18">#REF!</definedName>
    <definedName name="Extra_Pay" localSheetId="29">#REF!</definedName>
    <definedName name="Extra_Pay" localSheetId="30">#REF!</definedName>
    <definedName name="Extra_Pay" localSheetId="31">#REF!</definedName>
    <definedName name="Extra_Pay" localSheetId="35">#REF!</definedName>
    <definedName name="Extra_Pay" localSheetId="34">#REF!</definedName>
    <definedName name="Extra_Pay" localSheetId="33">#REF!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7">#REF!</definedName>
    <definedName name="Extra_Pay" localSheetId="48">#REF!</definedName>
    <definedName name="Extra_Pay" localSheetId="43">#REF!</definedName>
    <definedName name="Extra_Pay" localSheetId="44">#REF!</definedName>
    <definedName name="Extra_Pay" localSheetId="45">#REF!</definedName>
    <definedName name="Extra_Pay" localSheetId="46">#REF!</definedName>
    <definedName name="Extra_Pay" localSheetId="32">#REF!</definedName>
    <definedName name="Extra_Pay" localSheetId="42">#REF!</definedName>
    <definedName name="Extra_Pay" localSheetId="1">#REF!</definedName>
    <definedName name="Extra_Pay">#REF!</definedName>
    <definedName name="f" localSheetId="10">#REF!</definedName>
    <definedName name="f" localSheetId="22">#REF!</definedName>
    <definedName name="f" localSheetId="23">#REF!</definedName>
    <definedName name="f" localSheetId="21">#REF!</definedName>
    <definedName name="f" localSheetId="24">#REF!</definedName>
    <definedName name="f" localSheetId="28">#REF!</definedName>
    <definedName name="f" localSheetId="26">#REF!</definedName>
    <definedName name="f" localSheetId="27">#REF!</definedName>
    <definedName name="f" localSheetId="11">#REF!</definedName>
    <definedName name="f" localSheetId="13">#REF!</definedName>
    <definedName name="f" localSheetId="18">#REF!</definedName>
    <definedName name="f" localSheetId="29">#REF!</definedName>
    <definedName name="f" localSheetId="30">#REF!</definedName>
    <definedName name="f" localSheetId="31">#REF!</definedName>
    <definedName name="f" localSheetId="35">#REF!</definedName>
    <definedName name="f" localSheetId="34">#REF!</definedName>
    <definedName name="f" localSheetId="33">#REF!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7">#REF!</definedName>
    <definedName name="f" localSheetId="48">#REF!</definedName>
    <definedName name="f" localSheetId="43">#REF!</definedName>
    <definedName name="f" localSheetId="44">#REF!</definedName>
    <definedName name="f" localSheetId="45">#REF!</definedName>
    <definedName name="f" localSheetId="46">#REF!</definedName>
    <definedName name="f" localSheetId="32">#REF!</definedName>
    <definedName name="f" localSheetId="42">#REF!</definedName>
    <definedName name="f" localSheetId="1">#REF!</definedName>
    <definedName name="f">#REF!</definedName>
    <definedName name="Full_Print" localSheetId="10">#REF!</definedName>
    <definedName name="Full_Print" localSheetId="22">#REF!</definedName>
    <definedName name="Full_Print" localSheetId="23">#REF!</definedName>
    <definedName name="Full_Print" localSheetId="21">#REF!</definedName>
    <definedName name="Full_Print" localSheetId="24">#REF!</definedName>
    <definedName name="Full_Print" localSheetId="28">#REF!</definedName>
    <definedName name="Full_Print" localSheetId="26">#REF!</definedName>
    <definedName name="Full_Print" localSheetId="27">#REF!</definedName>
    <definedName name="Full_Print" localSheetId="11">#REF!</definedName>
    <definedName name="Full_Print" localSheetId="13">#REF!</definedName>
    <definedName name="Full_Print" localSheetId="18">#REF!</definedName>
    <definedName name="Full_Print" localSheetId="29">#REF!</definedName>
    <definedName name="Full_Print" localSheetId="30">#REF!</definedName>
    <definedName name="Full_Print" localSheetId="31">#REF!</definedName>
    <definedName name="Full_Print" localSheetId="35">#REF!</definedName>
    <definedName name="Full_Print" localSheetId="34">#REF!</definedName>
    <definedName name="Full_Print" localSheetId="33">#REF!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7">#REF!</definedName>
    <definedName name="Full_Print" localSheetId="48">#REF!</definedName>
    <definedName name="Full_Print" localSheetId="43">#REF!</definedName>
    <definedName name="Full_Print" localSheetId="44">#REF!</definedName>
    <definedName name="Full_Print" localSheetId="45">#REF!</definedName>
    <definedName name="Full_Print" localSheetId="46">#REF!</definedName>
    <definedName name="Full_Print" localSheetId="32">#REF!</definedName>
    <definedName name="Full_Print" localSheetId="42">#REF!</definedName>
    <definedName name="Full_Print" localSheetId="1">#REF!</definedName>
    <definedName name="Full_Print">#REF!</definedName>
    <definedName name="H" localSheetId="23">'[8]Rekapitulace roz.  vč. kapitol'!#REF!</definedName>
    <definedName name="H" localSheetId="24">'[8]Rekapitulace roz.  vč. kapitol'!#REF!</definedName>
    <definedName name="H" localSheetId="28">'[8]Rekapitulace roz.  vč. kapitol'!#REF!</definedName>
    <definedName name="H" localSheetId="26">'[8]Rekapitulace roz.  vč. kapitol'!#REF!</definedName>
    <definedName name="H" localSheetId="27">'[8]Rekapitulace roz.  vč. kapitol'!#REF!</definedName>
    <definedName name="H" localSheetId="18">'[8]Rekapitulace roz.  vč. kapitol'!#REF!</definedName>
    <definedName name="H" localSheetId="35">'[8]Rekapitulace roz.  vč. kapitol'!#REF!</definedName>
    <definedName name="H" localSheetId="36">'[8]Rekapitulace roz.  vč. kapitol'!#REF!</definedName>
    <definedName name="H" localSheetId="37">'[8]Rekapitulace roz.  vč. kapitol'!#REF!</definedName>
    <definedName name="H">'[8]Rekapitulace roz.  vč. kapitol'!#REF!</definedName>
    <definedName name="ha" localSheetId="10">'[9]F.1.4.5. ZZTI'!#REF!</definedName>
    <definedName name="ha" localSheetId="22">'[9]F.1.4.5. ZZTI'!#REF!</definedName>
    <definedName name="ha" localSheetId="23">'[9]F.1.4.5. ZZTI'!#REF!</definedName>
    <definedName name="ha" localSheetId="21">'[9]F.1.4.5. ZZTI'!#REF!</definedName>
    <definedName name="ha" localSheetId="24">'[10]F.1.4.5. ZZTI'!#REF!</definedName>
    <definedName name="ha" localSheetId="28">'[10]F.1.4.5. ZZTI'!#REF!</definedName>
    <definedName name="ha" localSheetId="26">'[10]F.1.4.5. ZZTI'!#REF!</definedName>
    <definedName name="ha" localSheetId="27">'[10]F.1.4.5. ZZTI'!#REF!</definedName>
    <definedName name="ha" localSheetId="11">'[9]F.1.4.5. ZZTI'!#REF!</definedName>
    <definedName name="ha" localSheetId="12">'[10]F.1.4.5. ZZTI'!#REF!</definedName>
    <definedName name="ha" localSheetId="13">'[9]F.1.4.5. ZZTI'!#REF!</definedName>
    <definedName name="ha" localSheetId="18">'[10]F.1.4.5. ZZTI'!#REF!</definedName>
    <definedName name="ha" localSheetId="29">'[9]F.1.4.5. ZZTI'!#REF!</definedName>
    <definedName name="ha" localSheetId="30">'[9]F.1.4.5. ZZTI'!#REF!</definedName>
    <definedName name="ha" localSheetId="31">'[9]F.1.4.5. ZZTI'!#REF!</definedName>
    <definedName name="ha" localSheetId="35">'[9]F.1.4.5. ZZTI'!#REF!</definedName>
    <definedName name="ha" localSheetId="34">'[9]F.1.4.5. ZZTI'!#REF!</definedName>
    <definedName name="ha" localSheetId="33">'[9]F.1.4.5.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7">'[9]F.1.4.5. ZZTI'!#REF!</definedName>
    <definedName name="ha" localSheetId="48">'[9]F.1.4.5.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17">'[9]F.1.4.5. ZZTI'!#REF!</definedName>
    <definedName name="ha" localSheetId="32">'[9]F.1.4.5. ZZTI'!#REF!</definedName>
    <definedName name="ha" localSheetId="42">'[9]F.1.4.5. ZZTI'!#REF!</definedName>
    <definedName name="ha" localSheetId="25">'[9]F.1.4.5. ZZTI'!#REF!</definedName>
    <definedName name="ha" localSheetId="20">'[9]F.1.4.5. ZZTI'!#REF!</definedName>
    <definedName name="ha" localSheetId="1">'[9]F.1.4.5. ZZTI'!#REF!</definedName>
    <definedName name="ha">'[9]F.1.4.5. ZZTI'!#REF!</definedName>
    <definedName name="Header_Row" localSheetId="10">ROW(#REF!)</definedName>
    <definedName name="Header_Row" localSheetId="22">ROW(#REF!)</definedName>
    <definedName name="Header_Row" localSheetId="23">ROW(#REF!)</definedName>
    <definedName name="Header_Row" localSheetId="21">ROW(#REF!)</definedName>
    <definedName name="Header_Row" localSheetId="24">ROW(#REF!)</definedName>
    <definedName name="Header_Row" localSheetId="28">ROW(#REF!)</definedName>
    <definedName name="Header_Row" localSheetId="26">ROW(#REF!)</definedName>
    <definedName name="Header_Row" localSheetId="27">ROW(#REF!)</definedName>
    <definedName name="Header_Row" localSheetId="11">ROW(#REF!)</definedName>
    <definedName name="Header_Row" localSheetId="13">ROW(#REF!)</definedName>
    <definedName name="Header_Row" localSheetId="29">ROW(#REF!)</definedName>
    <definedName name="Header_Row" localSheetId="30">ROW(#REF!)</definedName>
    <definedName name="Header_Row" localSheetId="31">ROW(#REF!)</definedName>
    <definedName name="Header_Row" localSheetId="35">ROW(#REF!)</definedName>
    <definedName name="Header_Row" localSheetId="34">ROW(#REF!)</definedName>
    <definedName name="Header_Row" localSheetId="33">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7">ROW(#REF!)</definedName>
    <definedName name="Header_Row" localSheetId="48">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32">ROW(#REF!)</definedName>
    <definedName name="Header_Row" localSheetId="42">ROW(#REF!)</definedName>
    <definedName name="Header_Row" localSheetId="1">ROW(#REF!)</definedName>
    <definedName name="Header_Row">ROW(#REF!)</definedName>
    <definedName name="hovno" localSheetId="10">#REF!</definedName>
    <definedName name="hovno" localSheetId="22">#REF!</definedName>
    <definedName name="hovno" localSheetId="23">#REF!</definedName>
    <definedName name="hovno" localSheetId="21">#REF!</definedName>
    <definedName name="hovno" localSheetId="24">#REF!</definedName>
    <definedName name="hovno" localSheetId="28">#REF!</definedName>
    <definedName name="hovno" localSheetId="26">#REF!</definedName>
    <definedName name="hovno" localSheetId="27">#REF!</definedName>
    <definedName name="hovno" localSheetId="11">#REF!</definedName>
    <definedName name="hovno" localSheetId="13">#REF!</definedName>
    <definedName name="hovno" localSheetId="18">#REF!</definedName>
    <definedName name="hovno" localSheetId="29">#REF!</definedName>
    <definedName name="hovno" localSheetId="30">#REF!</definedName>
    <definedName name="hovno" localSheetId="31">#REF!</definedName>
    <definedName name="hovno" localSheetId="35">#REF!</definedName>
    <definedName name="hovno" localSheetId="34">#REF!</definedName>
    <definedName name="hovno" localSheetId="33">#REF!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7">#REF!</definedName>
    <definedName name="hovno" localSheetId="48">#REF!</definedName>
    <definedName name="hovno" localSheetId="43">#REF!</definedName>
    <definedName name="hovno" localSheetId="44">#REF!</definedName>
    <definedName name="hovno" localSheetId="45">#REF!</definedName>
    <definedName name="hovno" localSheetId="46">#REF!</definedName>
    <definedName name="hovno" localSheetId="32">#REF!</definedName>
    <definedName name="hovno" localSheetId="42">#REF!</definedName>
    <definedName name="hovno" localSheetId="1">#REF!</definedName>
    <definedName name="hovno">#REF!</definedName>
    <definedName name="hs" localSheetId="10">#REF!</definedName>
    <definedName name="hs" localSheetId="22">#REF!</definedName>
    <definedName name="hs" localSheetId="23">#REF!</definedName>
    <definedName name="hs" localSheetId="21">#REF!</definedName>
    <definedName name="hs" localSheetId="24">#REF!</definedName>
    <definedName name="hs" localSheetId="28">#REF!</definedName>
    <definedName name="hs" localSheetId="26">#REF!</definedName>
    <definedName name="hs" localSheetId="27">#REF!</definedName>
    <definedName name="hs" localSheetId="11">#REF!</definedName>
    <definedName name="hs" localSheetId="13">#REF!</definedName>
    <definedName name="hs" localSheetId="18">#REF!</definedName>
    <definedName name="hs" localSheetId="29">#REF!</definedName>
    <definedName name="hs" localSheetId="30">#REF!</definedName>
    <definedName name="hs" localSheetId="31">#REF!</definedName>
    <definedName name="hs" localSheetId="35">#REF!</definedName>
    <definedName name="hs" localSheetId="34">#REF!</definedName>
    <definedName name="hs" localSheetId="33">#REF!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7">#REF!</definedName>
    <definedName name="hs" localSheetId="48">#REF!</definedName>
    <definedName name="hs" localSheetId="43">#REF!</definedName>
    <definedName name="hs" localSheetId="44">#REF!</definedName>
    <definedName name="hs" localSheetId="45">#REF!</definedName>
    <definedName name="hs" localSheetId="46">#REF!</definedName>
    <definedName name="hs" localSheetId="32">#REF!</definedName>
    <definedName name="hs" localSheetId="42">#REF!</definedName>
    <definedName name="hs" localSheetId="1">#REF!</definedName>
    <definedName name="hs">#REF!</definedName>
    <definedName name="HSV" localSheetId="10">#REF!</definedName>
    <definedName name="HSV" localSheetId="22">#REF!</definedName>
    <definedName name="HSV" localSheetId="23">#REF!</definedName>
    <definedName name="HSV" localSheetId="21">#REF!</definedName>
    <definedName name="HSV" localSheetId="24">#REF!</definedName>
    <definedName name="HSV" localSheetId="28">#REF!</definedName>
    <definedName name="HSV" localSheetId="26">#REF!</definedName>
    <definedName name="HSV" localSheetId="27">#REF!</definedName>
    <definedName name="HSV" localSheetId="11">#REF!</definedName>
    <definedName name="HSV" localSheetId="13">#REF!</definedName>
    <definedName name="HSV" localSheetId="18">#REF!</definedName>
    <definedName name="HSV" localSheetId="29">#REF!</definedName>
    <definedName name="HSV" localSheetId="30">#REF!</definedName>
    <definedName name="HSV" localSheetId="31">#REF!</definedName>
    <definedName name="HSV" localSheetId="35">#REF!</definedName>
    <definedName name="HSV" localSheetId="34">#REF!</definedName>
    <definedName name="HSV" localSheetId="33">#REF!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7">#REF!</definedName>
    <definedName name="HSV" localSheetId="48">#REF!</definedName>
    <definedName name="HSV" localSheetId="43">#REF!</definedName>
    <definedName name="HSV" localSheetId="44">#REF!</definedName>
    <definedName name="HSV" localSheetId="45">#REF!</definedName>
    <definedName name="HSV" localSheetId="46">#REF!</definedName>
    <definedName name="HSV" localSheetId="0">#REF!</definedName>
    <definedName name="HSV" localSheetId="32">#REF!</definedName>
    <definedName name="HSV" localSheetId="42">#REF!</definedName>
    <definedName name="HSV" localSheetId="1">#REF!</definedName>
    <definedName name="HSV">#REF!</definedName>
    <definedName name="HSV0" localSheetId="10">#REF!</definedName>
    <definedName name="HSV0" localSheetId="22">#REF!</definedName>
    <definedName name="HSV0" localSheetId="23">#REF!</definedName>
    <definedName name="HSV0" localSheetId="21">#REF!</definedName>
    <definedName name="HSV0" localSheetId="24">#REF!</definedName>
    <definedName name="HSV0" localSheetId="28">#REF!</definedName>
    <definedName name="HSV0" localSheetId="26">#REF!</definedName>
    <definedName name="HSV0" localSheetId="27">#REF!</definedName>
    <definedName name="HSV0" localSheetId="11">#REF!</definedName>
    <definedName name="HSV0" localSheetId="13">#REF!</definedName>
    <definedName name="HSV0" localSheetId="18">#REF!</definedName>
    <definedName name="HSV0" localSheetId="29">#REF!</definedName>
    <definedName name="HSV0" localSheetId="30">#REF!</definedName>
    <definedName name="HSV0" localSheetId="31">#REF!</definedName>
    <definedName name="HSV0" localSheetId="35">#REF!</definedName>
    <definedName name="HSV0" localSheetId="34">#REF!</definedName>
    <definedName name="HSV0" localSheetId="33">#REF!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7">#REF!</definedName>
    <definedName name="HSV0" localSheetId="48">#REF!</definedName>
    <definedName name="HSV0" localSheetId="43">#REF!</definedName>
    <definedName name="HSV0" localSheetId="44">#REF!</definedName>
    <definedName name="HSV0" localSheetId="45">#REF!</definedName>
    <definedName name="HSV0" localSheetId="46">#REF!</definedName>
    <definedName name="HSV0" localSheetId="0">'[11]002-A.1. Archstav  reseni'!#REF!</definedName>
    <definedName name="HSV0" localSheetId="32">#REF!</definedName>
    <definedName name="HSV0" localSheetId="42">#REF!</definedName>
    <definedName name="HSV0" localSheetId="1">#REF!</definedName>
    <definedName name="HSV0">#REF!</definedName>
    <definedName name="HZS" localSheetId="10">#REF!</definedName>
    <definedName name="HZS" localSheetId="22">#REF!</definedName>
    <definedName name="HZS" localSheetId="23">#REF!</definedName>
    <definedName name="HZS" localSheetId="21">#REF!</definedName>
    <definedName name="HZS" localSheetId="24">#REF!</definedName>
    <definedName name="HZS" localSheetId="28">#REF!</definedName>
    <definedName name="HZS" localSheetId="26">#REF!</definedName>
    <definedName name="HZS" localSheetId="27">#REF!</definedName>
    <definedName name="HZS" localSheetId="11">#REF!</definedName>
    <definedName name="HZS" localSheetId="13">#REF!</definedName>
    <definedName name="HZS" localSheetId="18">#REF!</definedName>
    <definedName name="HZS" localSheetId="29">#REF!</definedName>
    <definedName name="HZS" localSheetId="30">#REF!</definedName>
    <definedName name="HZS" localSheetId="31">#REF!</definedName>
    <definedName name="HZS" localSheetId="35">#REF!</definedName>
    <definedName name="HZS" localSheetId="34">#REF!</definedName>
    <definedName name="HZS" localSheetId="33">#REF!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7">#REF!</definedName>
    <definedName name="HZS" localSheetId="48">#REF!</definedName>
    <definedName name="HZS" localSheetId="43">#REF!</definedName>
    <definedName name="HZS" localSheetId="44">#REF!</definedName>
    <definedName name="HZS" localSheetId="45">#REF!</definedName>
    <definedName name="HZS" localSheetId="46">#REF!</definedName>
    <definedName name="HZS" localSheetId="0">#REF!</definedName>
    <definedName name="HZS" localSheetId="32">#REF!</definedName>
    <definedName name="HZS" localSheetId="42">#REF!</definedName>
    <definedName name="HZS" localSheetId="1">#REF!</definedName>
    <definedName name="HZS">#REF!</definedName>
    <definedName name="HZS0" localSheetId="10">#REF!</definedName>
    <definedName name="HZS0" localSheetId="22">#REF!</definedName>
    <definedName name="HZS0" localSheetId="23">#REF!</definedName>
    <definedName name="HZS0" localSheetId="21">#REF!</definedName>
    <definedName name="HZS0" localSheetId="24">#REF!</definedName>
    <definedName name="HZS0" localSheetId="28">#REF!</definedName>
    <definedName name="HZS0" localSheetId="26">#REF!</definedName>
    <definedName name="HZS0" localSheetId="27">#REF!</definedName>
    <definedName name="HZS0" localSheetId="11">#REF!</definedName>
    <definedName name="HZS0" localSheetId="13">#REF!</definedName>
    <definedName name="HZS0" localSheetId="18">#REF!</definedName>
    <definedName name="HZS0" localSheetId="29">#REF!</definedName>
    <definedName name="HZS0" localSheetId="30">#REF!</definedName>
    <definedName name="HZS0" localSheetId="31">#REF!</definedName>
    <definedName name="HZS0" localSheetId="35">#REF!</definedName>
    <definedName name="HZS0" localSheetId="34">#REF!</definedName>
    <definedName name="HZS0" localSheetId="33">#REF!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7">#REF!</definedName>
    <definedName name="HZS0" localSheetId="48">#REF!</definedName>
    <definedName name="HZS0" localSheetId="43">#REF!</definedName>
    <definedName name="HZS0" localSheetId="44">#REF!</definedName>
    <definedName name="HZS0" localSheetId="45">#REF!</definedName>
    <definedName name="HZS0" localSheetId="46">#REF!</definedName>
    <definedName name="HZS0" localSheetId="0">'[11]002-A.1. Archstav  reseni'!#REF!</definedName>
    <definedName name="HZS0" localSheetId="32">#REF!</definedName>
    <definedName name="HZS0" localSheetId="42">#REF!</definedName>
    <definedName name="HZS0" localSheetId="1">#REF!</definedName>
    <definedName name="HZS0">#REF!</definedName>
    <definedName name="IČO" localSheetId="0">KL!$J$7</definedName>
    <definedName name="Int" localSheetId="10">#REF!</definedName>
    <definedName name="Int" localSheetId="22">#REF!</definedName>
    <definedName name="Int" localSheetId="23">#REF!</definedName>
    <definedName name="Int" localSheetId="21">#REF!</definedName>
    <definedName name="Int" localSheetId="24">#REF!</definedName>
    <definedName name="Int" localSheetId="28">#REF!</definedName>
    <definedName name="Int" localSheetId="26">#REF!</definedName>
    <definedName name="Int" localSheetId="27">#REF!</definedName>
    <definedName name="Int" localSheetId="11">#REF!</definedName>
    <definedName name="Int" localSheetId="13">#REF!</definedName>
    <definedName name="Int" localSheetId="18">#REF!</definedName>
    <definedName name="Int" localSheetId="29">#REF!</definedName>
    <definedName name="Int" localSheetId="30">#REF!</definedName>
    <definedName name="Int" localSheetId="31">#REF!</definedName>
    <definedName name="Int" localSheetId="35">#REF!</definedName>
    <definedName name="Int" localSheetId="34">#REF!</definedName>
    <definedName name="Int" localSheetId="33">#REF!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7">#REF!</definedName>
    <definedName name="Int" localSheetId="48">#REF!</definedName>
    <definedName name="Int" localSheetId="43">#REF!</definedName>
    <definedName name="Int" localSheetId="44">#REF!</definedName>
    <definedName name="Int" localSheetId="45">#REF!</definedName>
    <definedName name="Int" localSheetId="46">#REF!</definedName>
    <definedName name="Int" localSheetId="32">#REF!</definedName>
    <definedName name="Int" localSheetId="42">#REF!</definedName>
    <definedName name="Int" localSheetId="1">#REF!</definedName>
    <definedName name="Int">#REF!</definedName>
    <definedName name="inter1" localSheetId="10">#REF!</definedName>
    <definedName name="inter1" localSheetId="22">#REF!</definedName>
    <definedName name="inter1" localSheetId="23">#REF!</definedName>
    <definedName name="inter1" localSheetId="21">#REF!</definedName>
    <definedName name="inter1" localSheetId="24">#REF!</definedName>
    <definedName name="inter1" localSheetId="28">#REF!</definedName>
    <definedName name="inter1" localSheetId="26">#REF!</definedName>
    <definedName name="inter1" localSheetId="27">#REF!</definedName>
    <definedName name="inter1" localSheetId="11">#REF!</definedName>
    <definedName name="inter1" localSheetId="13">#REF!</definedName>
    <definedName name="inter1" localSheetId="18">#REF!</definedName>
    <definedName name="inter1" localSheetId="29">#REF!</definedName>
    <definedName name="inter1" localSheetId="30">#REF!</definedName>
    <definedName name="inter1" localSheetId="31">#REF!</definedName>
    <definedName name="inter1" localSheetId="35">#REF!</definedName>
    <definedName name="inter1" localSheetId="34">#REF!</definedName>
    <definedName name="inter1" localSheetId="33">#REF!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7">#REF!</definedName>
    <definedName name="inter1" localSheetId="48">#REF!</definedName>
    <definedName name="inter1" localSheetId="43">#REF!</definedName>
    <definedName name="inter1" localSheetId="44">#REF!</definedName>
    <definedName name="inter1" localSheetId="45">#REF!</definedName>
    <definedName name="inter1" localSheetId="46">#REF!</definedName>
    <definedName name="inter1" localSheetId="32">#REF!</definedName>
    <definedName name="inter1" localSheetId="42">#REF!</definedName>
    <definedName name="inter1" localSheetId="1">#REF!</definedName>
    <definedName name="inter1">#REF!</definedName>
    <definedName name="Interest_Rate" localSheetId="10">#REF!</definedName>
    <definedName name="Interest_Rate" localSheetId="22">#REF!</definedName>
    <definedName name="Interest_Rate" localSheetId="23">#REF!</definedName>
    <definedName name="Interest_Rate" localSheetId="21">#REF!</definedName>
    <definedName name="Interest_Rate" localSheetId="24">#REF!</definedName>
    <definedName name="Interest_Rate" localSheetId="28">#REF!</definedName>
    <definedName name="Interest_Rate" localSheetId="26">#REF!</definedName>
    <definedName name="Interest_Rate" localSheetId="27">#REF!</definedName>
    <definedName name="Interest_Rate" localSheetId="11">#REF!</definedName>
    <definedName name="Interest_Rate" localSheetId="13">#REF!</definedName>
    <definedName name="Interest_Rate" localSheetId="18">#REF!</definedName>
    <definedName name="Interest_Rate" localSheetId="29">#REF!</definedName>
    <definedName name="Interest_Rate" localSheetId="30">#REF!</definedName>
    <definedName name="Interest_Rate" localSheetId="31">#REF!</definedName>
    <definedName name="Interest_Rate" localSheetId="35">#REF!</definedName>
    <definedName name="Interest_Rate" localSheetId="34">#REF!</definedName>
    <definedName name="Interest_Rate" localSheetId="33">#REF!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7">#REF!</definedName>
    <definedName name="Interest_Rate" localSheetId="48">#REF!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32">#REF!</definedName>
    <definedName name="Interest_Rate" localSheetId="42">#REF!</definedName>
    <definedName name="Interest_Rate" localSheetId="1">#REF!</definedName>
    <definedName name="Interest_Rate">#REF!</definedName>
    <definedName name="JKSO" localSheetId="10">#REF!</definedName>
    <definedName name="JKSO" localSheetId="22">#REF!</definedName>
    <definedName name="JKSO" localSheetId="23">#REF!</definedName>
    <definedName name="JKSO" localSheetId="21">#REF!</definedName>
    <definedName name="JKSO" localSheetId="24">#REF!</definedName>
    <definedName name="JKSO" localSheetId="28">#REF!</definedName>
    <definedName name="JKSO" localSheetId="26">#REF!</definedName>
    <definedName name="JKSO" localSheetId="27">#REF!</definedName>
    <definedName name="JKSO" localSheetId="11">#REF!</definedName>
    <definedName name="JKSO" localSheetId="13">#REF!</definedName>
    <definedName name="JKSO" localSheetId="18">#REF!</definedName>
    <definedName name="JKSO" localSheetId="29">#REF!</definedName>
    <definedName name="JKSO" localSheetId="30">#REF!</definedName>
    <definedName name="JKSO" localSheetId="31">#REF!</definedName>
    <definedName name="JKSO" localSheetId="35">#REF!</definedName>
    <definedName name="JKSO" localSheetId="34">#REF!</definedName>
    <definedName name="JKSO" localSheetId="33">#REF!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7">#REF!</definedName>
    <definedName name="JKSO" localSheetId="48">#REF!</definedName>
    <definedName name="JKSO" localSheetId="43">#REF!</definedName>
    <definedName name="JKSO" localSheetId="44">#REF!</definedName>
    <definedName name="JKSO" localSheetId="45">#REF!</definedName>
    <definedName name="JKSO" localSheetId="46">#REF!</definedName>
    <definedName name="JKSO" localSheetId="0">#REF!</definedName>
    <definedName name="JKSO" localSheetId="32">#REF!</definedName>
    <definedName name="JKSO" localSheetId="42">#REF!</definedName>
    <definedName name="JKSO" localSheetId="1">#REF!</definedName>
    <definedName name="JKSO">#REF!</definedName>
    <definedName name="jzzuggt" localSheetId="10">#REF!</definedName>
    <definedName name="jzzuggt" localSheetId="22">#REF!</definedName>
    <definedName name="jzzuggt" localSheetId="23">#REF!</definedName>
    <definedName name="jzzuggt" localSheetId="21">#REF!</definedName>
    <definedName name="jzzuggt" localSheetId="24">#REF!</definedName>
    <definedName name="jzzuggt" localSheetId="28">#REF!</definedName>
    <definedName name="jzzuggt" localSheetId="26">#REF!</definedName>
    <definedName name="jzzuggt" localSheetId="27">#REF!</definedName>
    <definedName name="jzzuggt" localSheetId="11">#REF!</definedName>
    <definedName name="jzzuggt" localSheetId="13">#REF!</definedName>
    <definedName name="jzzuggt" localSheetId="18">#REF!</definedName>
    <definedName name="jzzuggt" localSheetId="29">#REF!</definedName>
    <definedName name="jzzuggt" localSheetId="30">#REF!</definedName>
    <definedName name="jzzuggt" localSheetId="31">#REF!</definedName>
    <definedName name="jzzuggt" localSheetId="35">#REF!</definedName>
    <definedName name="jzzuggt" localSheetId="34">#REF!</definedName>
    <definedName name="jzzuggt" localSheetId="33">#REF!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7">#REF!</definedName>
    <definedName name="jzzuggt" localSheetId="48">#REF!</definedName>
    <definedName name="jzzuggt" localSheetId="43">#REF!</definedName>
    <definedName name="jzzuggt" localSheetId="44">#REF!</definedName>
    <definedName name="jzzuggt" localSheetId="45">#REF!</definedName>
    <definedName name="jzzuggt" localSheetId="46">#REF!</definedName>
    <definedName name="jzzuggt" localSheetId="32">#REF!</definedName>
    <definedName name="jzzuggt" localSheetId="42">#REF!</definedName>
    <definedName name="jzzuggt" localSheetId="1">#REF!</definedName>
    <definedName name="jzzuggt">#REF!</definedName>
    <definedName name="Last_Row" localSheetId="10">IF('D.1.4.1. ZTI'!Values_Entered,'D.1.4.1. ZTI'!Header_Row+'D.1.4.1. ZTI'!Number_of_Payments,'D.1.4.1. ZTI'!Header_Row)</definedName>
    <definedName name="Last_Row" localSheetId="22">IF('D.1.4.10.1. MOBILIÁŘ'!Values_Entered,'D.1.4.10.1. MOBILIÁŘ'!Header_Row+'D.1.4.10.1. MOBILIÁŘ'!Number_of_Payments,'D.1.4.10.1. MOBILIÁŘ'!Header_Row)</definedName>
    <definedName name="Last_Row" localSheetId="23">IF('D.1.4.10.1. OPLOCENÍ'!Values_Entered,'D.1.4.10.1. OPLOCENÍ'!Header_Row+'D.1.4.10.1. OPLOCENÍ'!Number_of_Payments,'D.1.4.10.1. OPLOCENÍ'!Header_Row)</definedName>
    <definedName name="Last_Row" localSheetId="21">IF('D.1.4.10.1. SADOVÉ ÚPRAVY'!Values_Entered,'D.1.4.10.1. SADOVÉ ÚPRAVY'!Header_Row+'D.1.4.10.1. SADOVÉ ÚPRAVY'!Number_of_Payments,'D.1.4.10.1. SADOVÉ ÚPRAVY'!Header_Row)</definedName>
    <definedName name="Last_Row" localSheetId="24">IF('D.1.4.10.2. ZP. PLOCHY A KOMUN.'!Values_Entered,'D.1.4.10.2. ZP. PLOCHY A KOMUN.'!Header_Row+'D.1.4.10.2. ZP. PLOCHY A KOMUN.'!Number_of_Payments,'D.1.4.10.2. ZP. PLOCHY A KOMUN.'!Header_Row)</definedName>
    <definedName name="Last_Row" localSheetId="28">IF('D.1.4.10.3. DROBNÁ ARCH. - KOL.'!Values_Entered,'D.1.4.10.3. DROBNÁ ARCH. - KOL.'!Header_Row+'D.1.4.10.3. DROBNÁ ARCH. - KOL.'!Number_of_Payments,'D.1.4.10.3. DROBNÁ ARCH. - KOL.'!Header_Row)</definedName>
    <definedName name="Last_Row" localSheetId="26">IF('D.1.4.10.3. DROBNÁ ARCH. - SKL.'!Values_Entered,'D.1.4.10.3. DROBNÁ ARCH. - SKL.'!Header_Row+'D.1.4.10.3. DROBNÁ ARCH. - SKL.'!Number_of_Payments,'D.1.4.10.3. DROBNÁ ARCH. - SKL.'!Header_Row)</definedName>
    <definedName name="Last_Row" localSheetId="27">IF('D.1.4.10.3. DROBNÁ ARCH. - ZÁZ.'!Values_Entered,'D.1.4.10.3. DROBNÁ ARCH. - ZÁZ.'!Header_Row+'D.1.4.10.3. DROBNÁ ARCH. - ZÁZ.'!Number_of_Payments,'D.1.4.10.3. DROBNÁ ARCH. - ZÁZ.'!Header_Row)</definedName>
    <definedName name="Last_Row" localSheetId="11">IF('D.1.4.2. ODBĚR. PLYN. ZAŘÍZ.'!Values_Entered,'D.1.4.2. ODBĚR. PLYN. ZAŘÍZ.'!Header_Row+'D.1.4.2. ODBĚR. PLYN. ZAŘÍZ.'!Number_of_Payments,'D.1.4.2. ODBĚR. PLYN. ZAŘÍZ.'!Header_Row)</definedName>
    <definedName name="Last_Row" localSheetId="12">IF('D.1.4.3. VZDUCHOTECHNIKA'!Values_Entered,Header_Row+'D.1.4.3. VZDUCHOTECHNIKA'!Number_of_Payments,Header_Row)</definedName>
    <definedName name="Last_Row" localSheetId="13">IF('D.1.4.4. VYTÁPĚNÍ'!Values_Entered,'D.1.4.4. VYTÁPĚNÍ'!Header_Row+'D.1.4.4. VYTÁPĚNÍ'!Number_of_Payments,'D.1.4.4. VYTÁPĚNÍ'!Header_Row)</definedName>
    <definedName name="Last_Row" localSheetId="18">IF('D.1.4.8. EL. KOMUNIKACE'!Values_Entered,Header_Row+'D.1.4.8. EL. KOMUNIKACE'!Number_of_Payments,Header_Row)</definedName>
    <definedName name="Last_Row" localSheetId="29">IF('D.2.1. PŘÍPOJKA VODOVODU'!Values_Entered,'D.2.1. PŘÍPOJKA VODOVODU'!Header_Row+'D.2.1. PŘÍPOJKA VODOVODU'!Number_of_Payments,'D.2.1. PŘÍPOJKA VODOVODU'!Header_Row)</definedName>
    <definedName name="Last_Row" localSheetId="30">IF('D.2.1.1. AREÁLOVÝ VODOVOD'!Values_Entered,'D.2.1.1. AREÁLOVÝ VODOVOD'!Header_Row+'D.2.1.1. AREÁLOVÝ VODOVOD'!Number_of_Payments,'D.2.1.1. AREÁLOVÝ VODOVOD'!Header_Row)</definedName>
    <definedName name="Last_Row" localSheetId="31">IF('D.2.2. PŘÍPOJKA KANALIZACE'!Values_Entered,'D.2.2. PŘÍPOJKA KANALIZACE'!Header_Row+'D.2.2. PŘÍPOJKA KANALIZACE'!Number_of_Payments,'D.2.2. PŘÍPOJKA KANALIZACE'!Header_Row)</definedName>
    <definedName name="Last_Row" localSheetId="35">IF('D.2.3. AKUMULAČNÍ NÁDRŽ'!Values_Entered,'D.2.3. AKUMULAČNÍ NÁDRŽ'!Header_Row+'D.2.3. AKUMULAČNÍ NÁDRŽ'!Number_of_Payments,'D.2.3. AKUMULAČNÍ NÁDRŽ'!Header_Row)</definedName>
    <definedName name="Last_Row" localSheetId="34">IF('D.2.3. AREÁL DEŠŤOVÁ KANAL.'!Values_Entered,'D.2.3. AREÁL DEŠŤOVÁ KANAL.'!Header_Row+'D.2.3. AREÁL DEŠŤOVÁ KANAL.'!Number_of_Payments,'D.2.3. AREÁL DEŠŤOVÁ KANAL.'!Header_Row)</definedName>
    <definedName name="Last_Row" localSheetId="33">IF('D.2.3. AREÁL SPLAŠKOVÁ KANAL.'!Values_Entered,'D.2.3. AREÁL SPLAŠKOVÁ KANAL.'!Header_Row+'D.2.3. AREÁL SPLAŠKOVÁ KANAL.'!Number_of_Payments,'D.2.3. AREÁL SPLAŠKOVÁ KANAL.'!Header_Row)</definedName>
    <definedName name="Last_Row" localSheetId="36">IF('D.2.3. ČERPACÍ STANICE'!Values_Entered,'D.2.3. ČERPACÍ STANICE'!Header_Row+'D.2.3. ČERPACÍ STANICE'!Number_of_Payments,'D.2.3. ČERPACÍ STANICE'!Header_Row)</definedName>
    <definedName name="Last_Row" localSheetId="37">IF('D.2.3. VSAKOVACÍ NÁDRŽE'!Values_Entered,'D.2.3. VSAKOVACÍ NÁDRŽE'!Header_Row+'D.2.3. VSAKOVACÍ NÁDRŽE'!Number_of_Payments,'D.2.3. VSAKOVACÍ NÁDRŽE'!Header_Row)</definedName>
    <definedName name="Last_Row" localSheetId="38">IF('D.2.4. PŘELOŽKA STL PLYNOVODU'!Values_Entered,'D.2.4. PŘELOŽKA STL PLYNOVODU'!Header_Row+'D.2.4. PŘELOŽKA STL PLYNOVODU'!Number_of_Payments,'D.2.4. PŘELOŽKA STL PLYNOVODU'!Header_Row)</definedName>
    <definedName name="Last_Row" localSheetId="39">IF('D.2.5. PŘÍPOJKA NN'!Values_Entered,'D.2.5. PŘÍPOJKA NN'!Header_Row+'D.2.5. PŘÍPOJKA NN'!Number_of_Payments,'D.2.5. PŘÍPOJKA NN'!Header_Row)</definedName>
    <definedName name="Last_Row" localSheetId="40">IF('D.2.6. PŘÍPOJKA EL. KOMUNIKACE'!Values_Entered,'D.2.6. PŘÍPOJKA EL. KOMUNIKACE'!Header_Row+'D.2.6. PŘÍPOJKA EL. KOMUNIKACE'!Number_of_Payments,'D.2.6. PŘÍPOJKA EL. KOMUNIKACE'!Header_Row)</definedName>
    <definedName name="Last_Row" localSheetId="41">IF('D.2.7. AREÁL OSVĚTLENÍ - TR. A1'!Values_Entered,'D.2.7. AREÁL OSVĚTLENÍ - TR. A1'!Header_Row+'D.2.7. AREÁL OSVĚTLENÍ - TR. A1'!Number_of_Payments,'D.2.7. AREÁL OSVĚTLENÍ - TR. A1'!Header_Row)</definedName>
    <definedName name="Last_Row" localSheetId="47">IF('D.2.8. AREÁL VEDENÍ NN-TR.  NN5'!Values_Entered,'D.2.8. AREÁL VEDENÍ NN-TR.  NN5'!Header_Row+'D.2.8. AREÁL VEDENÍ NN-TR.  NN5'!Number_of_Payments,'D.2.8. AREÁL VEDENÍ NN-TR.  NN5'!Header_Row)</definedName>
    <definedName name="Last_Row" localSheetId="48">IF('D.2.8. AREÁL VEDENÍ NN-TR.  NN6'!Values_Entered,'D.2.8. AREÁL VEDENÍ NN-TR.  NN6'!Header_Row+'D.2.8. AREÁL VEDENÍ NN-TR.  NN6'!Number_of_Payments,'D.2.8. AREÁL VEDENÍ NN-TR.  NN6'!Header_Row)</definedName>
    <definedName name="Last_Row" localSheetId="43">IF('D.2.8. AREÁL VEDENÍ NN-TR. NN1 '!Values_Entered,'D.2.8. AREÁL VEDENÍ NN-TR. NN1 '!Header_Row+'D.2.8. AREÁL VEDENÍ NN-TR. NN1 '!Number_of_Payments,'D.2.8. AREÁL VEDENÍ NN-TR. NN1 '!Header_Row)</definedName>
    <definedName name="Last_Row" localSheetId="44">IF('D.2.8. AREÁL VEDENÍ NN-TR. NN2'!Values_Entered,'D.2.8. AREÁL VEDENÍ NN-TR. NN2'!Header_Row+'D.2.8. AREÁL VEDENÍ NN-TR. NN2'!Number_of_Payments,'D.2.8. AREÁL VEDENÍ NN-TR. NN2'!Header_Row)</definedName>
    <definedName name="Last_Row" localSheetId="45">IF('D.2.8. AREÁL VEDENÍ NN-TR. NN3'!Values_Entered,'D.2.8. AREÁL VEDENÍ NN-TR. NN3'!Header_Row+'D.2.8. AREÁL VEDENÍ NN-TR. NN3'!Number_of_Payments,'D.2.8. AREÁL VEDENÍ NN-TR. NN3'!Header_Row)</definedName>
    <definedName name="Last_Row" localSheetId="46">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7">IF(REKAPITULACE!Values_Entered,Header_Row+REKAPITULACE!Number_of_Payments,Header_Row)</definedName>
    <definedName name="Last_Row" localSheetId="32">IF('REKAPITULACE - AREÁL KAN'!Values_Entered,'REKAPITULACE - AREÁL KAN'!Header_Row+'REKAPITULACE - AREÁL KAN'!Number_of_Payments,'REKAPITULACE - AREÁL KAN'!Header_Row)</definedName>
    <definedName name="Last_Row" localSheetId="42">IF('REKAPITULACE - AREÁL NN'!Values_Entered,'REKAPITULACE - AREÁL NN'!Header_Row+'REKAPITULACE - AREÁL NN'!Number_of_Payments,'REKAPITULACE - AREÁL NN'!Header_Row)</definedName>
    <definedName name="Last_Row" localSheetId="25">IF('REKAPITULACE - DA'!Values_Entered,Header_Row+'REKAPITULACE - DA'!Number_of_Payments,Header_Row)</definedName>
    <definedName name="Last_Row" localSheetId="20">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22" hidden="1">{#N/A,#N/A,TRUE,"Krycí list"}</definedName>
    <definedName name="Light" localSheetId="23" hidden="1">{#N/A,#N/A,TRUE,"Krycí list"}</definedName>
    <definedName name="Light" localSheetId="21" hidden="1">{#N/A,#N/A,TRUE,"Krycí list"}</definedName>
    <definedName name="Light" localSheetId="24" hidden="1">{#N/A,#N/A,TRUE,"Krycí list"}</definedName>
    <definedName name="Light" localSheetId="28" hidden="1">{#N/A,#N/A,TRUE,"Krycí list"}</definedName>
    <definedName name="Light" localSheetId="26" hidden="1">{#N/A,#N/A,TRUE,"Krycí list"}</definedName>
    <definedName name="Light" localSheetId="27"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8" hidden="1">{#N/A,#N/A,TRUE,"Krycí list"}</definedName>
    <definedName name="Light" localSheetId="29" hidden="1">{#N/A,#N/A,TRUE,"Krycí list"}</definedName>
    <definedName name="Light" localSheetId="30" hidden="1">{#N/A,#N/A,TRUE,"Krycí list"}</definedName>
    <definedName name="Light" localSheetId="31"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0" hidden="1">{#N/A,#N/A,TRUE,"Krycí list"}</definedName>
    <definedName name="Light" localSheetId="17" hidden="1">{#N/A,#N/A,TRUE,"Krycí list"}</definedName>
    <definedName name="Light" localSheetId="32" hidden="1">{#N/A,#N/A,TRUE,"Krycí list"}</definedName>
    <definedName name="Light" localSheetId="42" hidden="1">{#N/A,#N/A,TRUE,"Krycí list"}</definedName>
    <definedName name="Light" localSheetId="25" hidden="1">{#N/A,#N/A,TRUE,"Krycí list"}</definedName>
    <definedName name="Light" localSheetId="20"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22" hidden="1">{#N/A,#N/A,TRUE,"Krycí list"}</definedName>
    <definedName name="Lighting" localSheetId="23" hidden="1">{#N/A,#N/A,TRUE,"Krycí list"}</definedName>
    <definedName name="Lighting" localSheetId="21" hidden="1">{#N/A,#N/A,TRUE,"Krycí list"}</definedName>
    <definedName name="Lighting" localSheetId="24" hidden="1">{#N/A,#N/A,TRUE,"Krycí list"}</definedName>
    <definedName name="Lighting" localSheetId="28" hidden="1">{#N/A,#N/A,TRUE,"Krycí list"}</definedName>
    <definedName name="Lighting" localSheetId="26" hidden="1">{#N/A,#N/A,TRUE,"Krycí list"}</definedName>
    <definedName name="Lighting" localSheetId="27"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8" hidden="1">{#N/A,#N/A,TRUE,"Krycí list"}</definedName>
    <definedName name="Lighting" localSheetId="29" hidden="1">{#N/A,#N/A,TRUE,"Krycí list"}</definedName>
    <definedName name="Lighting" localSheetId="30" hidden="1">{#N/A,#N/A,TRUE,"Krycí list"}</definedName>
    <definedName name="Lighting" localSheetId="31"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0" hidden="1">{#N/A,#N/A,TRUE,"Krycí list"}</definedName>
    <definedName name="Lighting" localSheetId="17" hidden="1">{#N/A,#N/A,TRUE,"Krycí list"}</definedName>
    <definedName name="Lighting" localSheetId="32" hidden="1">{#N/A,#N/A,TRUE,"Krycí list"}</definedName>
    <definedName name="Lighting" localSheetId="42" hidden="1">{#N/A,#N/A,TRUE,"Krycí list"}</definedName>
    <definedName name="Lighting" localSheetId="25" hidden="1">{#N/A,#N/A,TRUE,"Krycí list"}</definedName>
    <definedName name="Lighting" localSheetId="20" hidden="1">{#N/A,#N/A,TRUE,"Krycí list"}</definedName>
    <definedName name="Lighting" localSheetId="1" hidden="1">{#N/A,#N/A,TRUE,"Krycí list"}</definedName>
    <definedName name="Lighting" hidden="1">{#N/A,#N/A,TRUE,"Krycí list"}</definedName>
    <definedName name="Loan_Amount" localSheetId="10">#REF!</definedName>
    <definedName name="Loan_Amount" localSheetId="22">#REF!</definedName>
    <definedName name="Loan_Amount" localSheetId="23">#REF!</definedName>
    <definedName name="Loan_Amount" localSheetId="21">#REF!</definedName>
    <definedName name="Loan_Amount" localSheetId="24">#REF!</definedName>
    <definedName name="Loan_Amount" localSheetId="28">#REF!</definedName>
    <definedName name="Loan_Amount" localSheetId="26">#REF!</definedName>
    <definedName name="Loan_Amount" localSheetId="27">#REF!</definedName>
    <definedName name="Loan_Amount" localSheetId="11">#REF!</definedName>
    <definedName name="Loan_Amount" localSheetId="12">#REF!</definedName>
    <definedName name="Loan_Amount" localSheetId="13">#REF!</definedName>
    <definedName name="Loan_Amount" localSheetId="18">#REF!</definedName>
    <definedName name="Loan_Amount" localSheetId="29">#REF!</definedName>
    <definedName name="Loan_Amount" localSheetId="30">#REF!</definedName>
    <definedName name="Loan_Amount" localSheetId="31">#REF!</definedName>
    <definedName name="Loan_Amount" localSheetId="35">#REF!</definedName>
    <definedName name="Loan_Amount" localSheetId="34">#REF!</definedName>
    <definedName name="Loan_Amount" localSheetId="33">#REF!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7">#REF!</definedName>
    <definedName name="Loan_Amount" localSheetId="48">#REF!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32">#REF!</definedName>
    <definedName name="Loan_Amount" localSheetId="42">#REF!</definedName>
    <definedName name="Loan_Amount" localSheetId="25">#REF!</definedName>
    <definedName name="Loan_Amount" localSheetId="1">#REF!</definedName>
    <definedName name="Loan_Amount">#REF!</definedName>
    <definedName name="Loan_Start" localSheetId="10">#REF!</definedName>
    <definedName name="Loan_Start" localSheetId="22">#REF!</definedName>
    <definedName name="Loan_Start" localSheetId="23">#REF!</definedName>
    <definedName name="Loan_Start" localSheetId="21">#REF!</definedName>
    <definedName name="Loan_Start" localSheetId="24">#REF!</definedName>
    <definedName name="Loan_Start" localSheetId="28">#REF!</definedName>
    <definedName name="Loan_Start" localSheetId="26">#REF!</definedName>
    <definedName name="Loan_Start" localSheetId="27">#REF!</definedName>
    <definedName name="Loan_Start" localSheetId="11">#REF!</definedName>
    <definedName name="Loan_Start" localSheetId="12">#REF!</definedName>
    <definedName name="Loan_Start" localSheetId="13">#REF!</definedName>
    <definedName name="Loan_Start" localSheetId="18">#REF!</definedName>
    <definedName name="Loan_Start" localSheetId="29">#REF!</definedName>
    <definedName name="Loan_Start" localSheetId="30">#REF!</definedName>
    <definedName name="Loan_Start" localSheetId="31">#REF!</definedName>
    <definedName name="Loan_Start" localSheetId="35">#REF!</definedName>
    <definedName name="Loan_Start" localSheetId="34">#REF!</definedName>
    <definedName name="Loan_Start" localSheetId="33">#REF!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7">#REF!</definedName>
    <definedName name="Loan_Start" localSheetId="48">#REF!</definedName>
    <definedName name="Loan_Start" localSheetId="43">#REF!</definedName>
    <definedName name="Loan_Start" localSheetId="44">#REF!</definedName>
    <definedName name="Loan_Start" localSheetId="45">#REF!</definedName>
    <definedName name="Loan_Start" localSheetId="46">#REF!</definedName>
    <definedName name="Loan_Start" localSheetId="32">#REF!</definedName>
    <definedName name="Loan_Start" localSheetId="42">#REF!</definedName>
    <definedName name="Loan_Start" localSheetId="1">#REF!</definedName>
    <definedName name="Loan_Start">#REF!</definedName>
    <definedName name="Loan_Years" localSheetId="10">#REF!</definedName>
    <definedName name="Loan_Years" localSheetId="22">#REF!</definedName>
    <definedName name="Loan_Years" localSheetId="23">#REF!</definedName>
    <definedName name="Loan_Years" localSheetId="21">#REF!</definedName>
    <definedName name="Loan_Years" localSheetId="24">#REF!</definedName>
    <definedName name="Loan_Years" localSheetId="28">#REF!</definedName>
    <definedName name="Loan_Years" localSheetId="26">#REF!</definedName>
    <definedName name="Loan_Years" localSheetId="27">#REF!</definedName>
    <definedName name="Loan_Years" localSheetId="11">#REF!</definedName>
    <definedName name="Loan_Years" localSheetId="12">#REF!</definedName>
    <definedName name="Loan_Years" localSheetId="13">#REF!</definedName>
    <definedName name="Loan_Years" localSheetId="18">#REF!</definedName>
    <definedName name="Loan_Years" localSheetId="29">#REF!</definedName>
    <definedName name="Loan_Years" localSheetId="30">#REF!</definedName>
    <definedName name="Loan_Years" localSheetId="31">#REF!</definedName>
    <definedName name="Loan_Years" localSheetId="35">#REF!</definedName>
    <definedName name="Loan_Years" localSheetId="34">#REF!</definedName>
    <definedName name="Loan_Years" localSheetId="33">#REF!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7">#REF!</definedName>
    <definedName name="Loan_Years" localSheetId="48">#REF!</definedName>
    <definedName name="Loan_Years" localSheetId="43">#REF!</definedName>
    <definedName name="Loan_Years" localSheetId="44">#REF!</definedName>
    <definedName name="Loan_Years" localSheetId="45">#REF!</definedName>
    <definedName name="Loan_Years" localSheetId="46">#REF!</definedName>
    <definedName name="Loan_Years" localSheetId="32">#REF!</definedName>
    <definedName name="Loan_Years" localSheetId="42">#REF!</definedName>
    <definedName name="Loan_Years" localSheetId="1">#REF!</definedName>
    <definedName name="Loan_Years">#REF!</definedName>
    <definedName name="MaR" localSheetId="10" hidden="1">{#N/A,#N/A,TRUE,"Krycí list"}</definedName>
    <definedName name="MaR" localSheetId="22" hidden="1">{#N/A,#N/A,TRUE,"Krycí list"}</definedName>
    <definedName name="MaR" localSheetId="23" hidden="1">{#N/A,#N/A,TRUE,"Krycí list"}</definedName>
    <definedName name="MaR" localSheetId="21" hidden="1">{#N/A,#N/A,TRUE,"Krycí list"}</definedName>
    <definedName name="MaR" localSheetId="24" hidden="1">{#N/A,#N/A,TRUE,"Krycí list"}</definedName>
    <definedName name="MaR" localSheetId="28" hidden="1">{#N/A,#N/A,TRUE,"Krycí list"}</definedName>
    <definedName name="MaR" localSheetId="26" hidden="1">{#N/A,#N/A,TRUE,"Krycí list"}</definedName>
    <definedName name="MaR" localSheetId="27"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8" hidden="1">{#N/A,#N/A,TRUE,"Krycí list"}</definedName>
    <definedName name="MaR" localSheetId="29" hidden="1">{#N/A,#N/A,TRUE,"Krycí list"}</definedName>
    <definedName name="MaR" localSheetId="30" hidden="1">{#N/A,#N/A,TRUE,"Krycí list"}</definedName>
    <definedName name="MaR" localSheetId="31"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0" hidden="1">{#N/A,#N/A,TRUE,"Krycí list"}</definedName>
    <definedName name="MaR" localSheetId="17" hidden="1">{#N/A,#N/A,TRUE,"Krycí list"}</definedName>
    <definedName name="MaR" localSheetId="32" hidden="1">{#N/A,#N/A,TRUE,"Krycí list"}</definedName>
    <definedName name="MaR" localSheetId="42" hidden="1">{#N/A,#N/A,TRUE,"Krycí list"}</definedName>
    <definedName name="MaR" localSheetId="25" hidden="1">{#N/A,#N/A,TRUE,"Krycí list"}</definedName>
    <definedName name="MaR" localSheetId="20"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22" hidden="1">{#N/A,#N/A,TRUE,"Krycí list"}</definedName>
    <definedName name="meraregulace" localSheetId="23" hidden="1">{#N/A,#N/A,TRUE,"Krycí list"}</definedName>
    <definedName name="meraregulace" localSheetId="21" hidden="1">{#N/A,#N/A,TRUE,"Krycí list"}</definedName>
    <definedName name="meraregulace" localSheetId="24" hidden="1">{#N/A,#N/A,TRUE,"Krycí list"}</definedName>
    <definedName name="meraregulace" localSheetId="28" hidden="1">{#N/A,#N/A,TRUE,"Krycí list"}</definedName>
    <definedName name="meraregulace" localSheetId="26" hidden="1">{#N/A,#N/A,TRUE,"Krycí list"}</definedName>
    <definedName name="meraregulace" localSheetId="27"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8" hidden="1">{#N/A,#N/A,TRUE,"Krycí list"}</definedName>
    <definedName name="meraregulace" localSheetId="29" hidden="1">{#N/A,#N/A,TRUE,"Krycí list"}</definedName>
    <definedName name="meraregulace" localSheetId="30" hidden="1">{#N/A,#N/A,TRUE,"Krycí list"}</definedName>
    <definedName name="meraregulace" localSheetId="31"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0" hidden="1">{#N/A,#N/A,TRUE,"Krycí list"}</definedName>
    <definedName name="meraregulace" localSheetId="17" hidden="1">{#N/A,#N/A,TRUE,"Krycí list"}</definedName>
    <definedName name="meraregulace" localSheetId="32" hidden="1">{#N/A,#N/A,TRUE,"Krycí list"}</definedName>
    <definedName name="meraregulace" localSheetId="42" hidden="1">{#N/A,#N/A,TRUE,"Krycí list"}</definedName>
    <definedName name="meraregulace" localSheetId="25" hidden="1">{#N/A,#N/A,TRUE,"Krycí list"}</definedName>
    <definedName name="meraregulace" localSheetId="20"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22">Scheduled_Payment+Extra_Payment</definedName>
    <definedName name="mereni" localSheetId="23">Scheduled_Payment+Extra_Payment</definedName>
    <definedName name="mereni" localSheetId="21">Scheduled_Payment+Extra_Payment</definedName>
    <definedName name="mereni" localSheetId="24">Scheduled_Payment+Extra_Payment</definedName>
    <definedName name="mereni" localSheetId="28">Scheduled_Payment+Extra_Payment</definedName>
    <definedName name="mereni" localSheetId="26">Scheduled_Payment+Extra_Payment</definedName>
    <definedName name="mereni" localSheetId="27">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8">Scheduled_Payment+Extra_Payment</definedName>
    <definedName name="mereni" localSheetId="19">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5">Scheduled_Payment+Extra_Payment</definedName>
    <definedName name="mereni" localSheetId="34">Scheduled_Payment+Extra_Payment</definedName>
    <definedName name="mereni" localSheetId="33">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7">Scheduled_Payment+Extra_Payment</definedName>
    <definedName name="mereni" localSheetId="48">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0">Scheduled_Payment+Extra_Payment</definedName>
    <definedName name="mereni" localSheetId="17">Scheduled_Payment+Extra_Payment</definedName>
    <definedName name="mereni" localSheetId="32">Scheduled_Payment+Extra_Payment</definedName>
    <definedName name="mereni" localSheetId="42">Scheduled_Payment+Extra_Payment</definedName>
    <definedName name="mereni" localSheetId="25">Scheduled_Payment+Extra_Payment</definedName>
    <definedName name="mereni" localSheetId="20">Scheduled_Payment+Extra_Payment</definedName>
    <definedName name="mereni" localSheetId="1">Scheduled_Payment+Extra_Payment</definedName>
    <definedName name="mereni">Scheduled_Payment+Extra_Payment</definedName>
    <definedName name="MJ" localSheetId="10">#REF!</definedName>
    <definedName name="MJ" localSheetId="22">#REF!</definedName>
    <definedName name="MJ" localSheetId="23">#REF!</definedName>
    <definedName name="MJ" localSheetId="21">#REF!</definedName>
    <definedName name="MJ" localSheetId="24">#REF!</definedName>
    <definedName name="MJ" localSheetId="28">#REF!</definedName>
    <definedName name="MJ" localSheetId="26">#REF!</definedName>
    <definedName name="MJ" localSheetId="27">#REF!</definedName>
    <definedName name="MJ" localSheetId="11">#REF!</definedName>
    <definedName name="MJ" localSheetId="12">#REF!</definedName>
    <definedName name="MJ" localSheetId="13">#REF!</definedName>
    <definedName name="MJ" localSheetId="18">#REF!</definedName>
    <definedName name="MJ" localSheetId="29">#REF!</definedName>
    <definedName name="MJ" localSheetId="30">#REF!</definedName>
    <definedName name="MJ" localSheetId="31">#REF!</definedName>
    <definedName name="MJ" localSheetId="35">#REF!</definedName>
    <definedName name="MJ" localSheetId="34">#REF!</definedName>
    <definedName name="MJ" localSheetId="33">#REF!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7">#REF!</definedName>
    <definedName name="MJ" localSheetId="48">#REF!</definedName>
    <definedName name="MJ" localSheetId="43">#REF!</definedName>
    <definedName name="MJ" localSheetId="44">#REF!</definedName>
    <definedName name="MJ" localSheetId="45">#REF!</definedName>
    <definedName name="MJ" localSheetId="46">#REF!</definedName>
    <definedName name="MJ" localSheetId="0">#REF!</definedName>
    <definedName name="MJ" localSheetId="17">#REF!</definedName>
    <definedName name="MJ" localSheetId="32">#REF!</definedName>
    <definedName name="MJ" localSheetId="42">#REF!</definedName>
    <definedName name="MJ" localSheetId="25">#REF!</definedName>
    <definedName name="MJ" localSheetId="20">#REF!</definedName>
    <definedName name="MJ" localSheetId="1">#REF!</definedName>
    <definedName name="MJ">#REF!</definedName>
    <definedName name="Mont" localSheetId="10">#REF!</definedName>
    <definedName name="Mont" localSheetId="22">#REF!</definedName>
    <definedName name="Mont" localSheetId="23">#REF!</definedName>
    <definedName name="Mont" localSheetId="21">#REF!</definedName>
    <definedName name="Mont" localSheetId="24">#REF!</definedName>
    <definedName name="Mont" localSheetId="28">#REF!</definedName>
    <definedName name="Mont" localSheetId="26">#REF!</definedName>
    <definedName name="Mont" localSheetId="27">#REF!</definedName>
    <definedName name="Mont" localSheetId="11">#REF!</definedName>
    <definedName name="Mont" localSheetId="12">#REF!</definedName>
    <definedName name="Mont" localSheetId="13">#REF!</definedName>
    <definedName name="Mont" localSheetId="18">#REF!</definedName>
    <definedName name="Mont" localSheetId="29">#REF!</definedName>
    <definedName name="Mont" localSheetId="30">#REF!</definedName>
    <definedName name="Mont" localSheetId="31">#REF!</definedName>
    <definedName name="Mont" localSheetId="35">#REF!</definedName>
    <definedName name="Mont" localSheetId="34">#REF!</definedName>
    <definedName name="Mont" localSheetId="33">#REF!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7">#REF!</definedName>
    <definedName name="Mont" localSheetId="48">#REF!</definedName>
    <definedName name="Mont" localSheetId="43">#REF!</definedName>
    <definedName name="Mont" localSheetId="44">#REF!</definedName>
    <definedName name="Mont" localSheetId="45">#REF!</definedName>
    <definedName name="Mont" localSheetId="46">#REF!</definedName>
    <definedName name="Mont" localSheetId="0">#REF!</definedName>
    <definedName name="Mont" localSheetId="17">#REF!</definedName>
    <definedName name="Mont" localSheetId="32">#REF!</definedName>
    <definedName name="Mont" localSheetId="42">#REF!</definedName>
    <definedName name="Mont" localSheetId="25">#REF!</definedName>
    <definedName name="Mont" localSheetId="20">#REF!</definedName>
    <definedName name="Mont" localSheetId="1">#REF!</definedName>
    <definedName name="Mont">#REF!</definedName>
    <definedName name="Montaz0" localSheetId="10">#REF!</definedName>
    <definedName name="Montaz0" localSheetId="22">#REF!</definedName>
    <definedName name="Montaz0" localSheetId="23">#REF!</definedName>
    <definedName name="Montaz0" localSheetId="21">#REF!</definedName>
    <definedName name="Montaz0" localSheetId="24">#REF!</definedName>
    <definedName name="Montaz0" localSheetId="28">#REF!</definedName>
    <definedName name="Montaz0" localSheetId="26">#REF!</definedName>
    <definedName name="Montaz0" localSheetId="27">#REF!</definedName>
    <definedName name="Montaz0" localSheetId="11">#REF!</definedName>
    <definedName name="Montaz0" localSheetId="12">#REF!</definedName>
    <definedName name="Montaz0" localSheetId="13">#REF!</definedName>
    <definedName name="Montaz0" localSheetId="18">#REF!</definedName>
    <definedName name="Montaz0" localSheetId="29">#REF!</definedName>
    <definedName name="Montaz0" localSheetId="30">#REF!</definedName>
    <definedName name="Montaz0" localSheetId="31">#REF!</definedName>
    <definedName name="Montaz0" localSheetId="35">#REF!</definedName>
    <definedName name="Montaz0" localSheetId="34">#REF!</definedName>
    <definedName name="Montaz0" localSheetId="33">#REF!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7">#REF!</definedName>
    <definedName name="Montaz0" localSheetId="48">#REF!</definedName>
    <definedName name="Montaz0" localSheetId="43">#REF!</definedName>
    <definedName name="Montaz0" localSheetId="44">#REF!</definedName>
    <definedName name="Montaz0" localSheetId="45">#REF!</definedName>
    <definedName name="Montaz0" localSheetId="46">#REF!</definedName>
    <definedName name="Montaz0" localSheetId="0">'[11]002-A.1. Archstav  reseni'!#REF!</definedName>
    <definedName name="Montaz0" localSheetId="17">#REF!</definedName>
    <definedName name="Montaz0" localSheetId="32">#REF!</definedName>
    <definedName name="Montaz0" localSheetId="42">#REF!</definedName>
    <definedName name="Montaz0" localSheetId="1">#REF!</definedName>
    <definedName name="Montaz0">#REF!</definedName>
    <definedName name="mts" localSheetId="10">#REF!</definedName>
    <definedName name="mts" localSheetId="22">#REF!</definedName>
    <definedName name="mts" localSheetId="23">#REF!</definedName>
    <definedName name="mts" localSheetId="21">#REF!</definedName>
    <definedName name="mts" localSheetId="24">#REF!</definedName>
    <definedName name="mts" localSheetId="28">#REF!</definedName>
    <definedName name="mts" localSheetId="26">#REF!</definedName>
    <definedName name="mts" localSheetId="27">#REF!</definedName>
    <definedName name="mts" localSheetId="11">#REF!</definedName>
    <definedName name="mts" localSheetId="13">#REF!</definedName>
    <definedName name="mts" localSheetId="18">#REF!</definedName>
    <definedName name="mts" localSheetId="29">#REF!</definedName>
    <definedName name="mts" localSheetId="30">#REF!</definedName>
    <definedName name="mts" localSheetId="31">#REF!</definedName>
    <definedName name="mts" localSheetId="35">#REF!</definedName>
    <definedName name="mts" localSheetId="34">#REF!</definedName>
    <definedName name="mts" localSheetId="33">#REF!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7">#REF!</definedName>
    <definedName name="mts" localSheetId="48">#REF!</definedName>
    <definedName name="mts" localSheetId="43">#REF!</definedName>
    <definedName name="mts" localSheetId="44">#REF!</definedName>
    <definedName name="mts" localSheetId="45">#REF!</definedName>
    <definedName name="mts" localSheetId="46">#REF!</definedName>
    <definedName name="mts" localSheetId="32">#REF!</definedName>
    <definedName name="mts" localSheetId="42">#REF!</definedName>
    <definedName name="mts" localSheetId="1">#REF!</definedName>
    <definedName name="mts">#REF!</definedName>
    <definedName name="n" localSheetId="10">Scheduled_Payment+Extra_Payment</definedName>
    <definedName name="n" localSheetId="22">Scheduled_Payment+Extra_Payment</definedName>
    <definedName name="n" localSheetId="23">Scheduled_Payment+Extra_Payment</definedName>
    <definedName name="n" localSheetId="21">Scheduled_Payment+Extra_Payment</definedName>
    <definedName name="n" localSheetId="24">Scheduled_Payment+Extra_Payment</definedName>
    <definedName name="n" localSheetId="28">Scheduled_Payment+Extra_Payment</definedName>
    <definedName name="n" localSheetId="26">Scheduled_Payment+Extra_Payment</definedName>
    <definedName name="n" localSheetId="27">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8">Scheduled_Payment+Extra_Payment</definedName>
    <definedName name="n" localSheetId="19">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5">Scheduled_Payment+Extra_Payment</definedName>
    <definedName name="n" localSheetId="34">Scheduled_Payment+Extra_Payment</definedName>
    <definedName name="n" localSheetId="33">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7">Scheduled_Payment+Extra_Payment</definedName>
    <definedName name="n" localSheetId="48">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0">Scheduled_Payment+Extra_Payment</definedName>
    <definedName name="n" localSheetId="17">Scheduled_Payment+Extra_Payment</definedName>
    <definedName name="n" localSheetId="32">Scheduled_Payment+Extra_Payment</definedName>
    <definedName name="n" localSheetId="42">Scheduled_Payment+Extra_Payment</definedName>
    <definedName name="n" localSheetId="25">Scheduled_Payment+Extra_Payment</definedName>
    <definedName name="n" localSheetId="20">Scheduled_Payment+Extra_Payment</definedName>
    <definedName name="n" localSheetId="1">Scheduled_Payment+Extra_Payment</definedName>
    <definedName name="n">Scheduled_Payment+Extra_Payment</definedName>
    <definedName name="NazevDilu" localSheetId="10">#REF!</definedName>
    <definedName name="NazevDilu" localSheetId="22">#REF!</definedName>
    <definedName name="NazevDilu" localSheetId="23">#REF!</definedName>
    <definedName name="NazevDilu" localSheetId="21">#REF!</definedName>
    <definedName name="NazevDilu" localSheetId="24">#REF!</definedName>
    <definedName name="NazevDilu" localSheetId="28">#REF!</definedName>
    <definedName name="NazevDilu" localSheetId="26">#REF!</definedName>
    <definedName name="NazevDilu" localSheetId="27">#REF!</definedName>
    <definedName name="NazevDilu" localSheetId="11">#REF!</definedName>
    <definedName name="NazevDilu" localSheetId="12">#REF!</definedName>
    <definedName name="NazevDilu" localSheetId="13">#REF!</definedName>
    <definedName name="NazevDilu" localSheetId="18">#REF!</definedName>
    <definedName name="NazevDilu" localSheetId="29">#REF!</definedName>
    <definedName name="NazevDilu" localSheetId="30">#REF!</definedName>
    <definedName name="NazevDilu" localSheetId="31">#REF!</definedName>
    <definedName name="NazevDilu" localSheetId="35">#REF!</definedName>
    <definedName name="NazevDilu" localSheetId="34">#REF!</definedName>
    <definedName name="NazevDilu" localSheetId="33">#REF!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7">#REF!</definedName>
    <definedName name="NazevDilu" localSheetId="48">#REF!</definedName>
    <definedName name="NazevDilu" localSheetId="43">#REF!</definedName>
    <definedName name="NazevDilu" localSheetId="44">#REF!</definedName>
    <definedName name="NazevDilu" localSheetId="45">#REF!</definedName>
    <definedName name="NazevDilu" localSheetId="46">#REF!</definedName>
    <definedName name="NazevDilu" localSheetId="0">#REF!</definedName>
    <definedName name="NazevDilu" localSheetId="17">#REF!</definedName>
    <definedName name="NazevDilu" localSheetId="32">#REF!</definedName>
    <definedName name="NazevDilu" localSheetId="42">#REF!</definedName>
    <definedName name="NazevDilu" localSheetId="25">#REF!</definedName>
    <definedName name="NazevDilu" localSheetId="20">#REF!</definedName>
    <definedName name="NazevDilu" localSheetId="1">#REF!</definedName>
    <definedName name="NazevDilu">#REF!</definedName>
    <definedName name="nazevobjektu" localSheetId="10">#REF!</definedName>
    <definedName name="nazevobjektu" localSheetId="22">#REF!</definedName>
    <definedName name="nazevobjektu" localSheetId="23">#REF!</definedName>
    <definedName name="nazevobjektu" localSheetId="21">#REF!</definedName>
    <definedName name="nazevobjektu" localSheetId="24">#REF!</definedName>
    <definedName name="nazevobjektu" localSheetId="28">#REF!</definedName>
    <definedName name="nazevobjektu" localSheetId="26">#REF!</definedName>
    <definedName name="nazevobjektu" localSheetId="27">#REF!</definedName>
    <definedName name="nazevobjektu" localSheetId="11">#REF!</definedName>
    <definedName name="nazevobjektu" localSheetId="12">#REF!</definedName>
    <definedName name="nazevobjektu" localSheetId="13">#REF!</definedName>
    <definedName name="nazevobjektu" localSheetId="18">#REF!</definedName>
    <definedName name="nazevobjektu" localSheetId="29">#REF!</definedName>
    <definedName name="nazevobjektu" localSheetId="30">#REF!</definedName>
    <definedName name="nazevobjektu" localSheetId="31">#REF!</definedName>
    <definedName name="nazevobjektu" localSheetId="35">#REF!</definedName>
    <definedName name="nazevobjektu" localSheetId="34">#REF!</definedName>
    <definedName name="nazevobjektu" localSheetId="33">#REF!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7">#REF!</definedName>
    <definedName name="nazevobjektu" localSheetId="48">#REF!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0">KL!$C$34</definedName>
    <definedName name="nazevobjektu" localSheetId="17">#REF!</definedName>
    <definedName name="nazevobjektu" localSheetId="32">#REF!</definedName>
    <definedName name="nazevobjektu" localSheetId="42">#REF!</definedName>
    <definedName name="nazevobjektu" localSheetId="25">#REF!</definedName>
    <definedName name="nazevobjektu" localSheetId="20">#REF!</definedName>
    <definedName name="nazevobjektu" localSheetId="1">#REF!</definedName>
    <definedName name="nazevobjektu">#REF!</definedName>
    <definedName name="nazevstavby" localSheetId="10">#REF!</definedName>
    <definedName name="nazevstavby" localSheetId="22">#REF!</definedName>
    <definedName name="nazevstavby" localSheetId="23">#REF!</definedName>
    <definedName name="nazevstavby" localSheetId="21">#REF!</definedName>
    <definedName name="nazevstavby" localSheetId="24">#REF!</definedName>
    <definedName name="nazevstavby" localSheetId="28">#REF!</definedName>
    <definedName name="nazevstavby" localSheetId="26">#REF!</definedName>
    <definedName name="nazevstavby" localSheetId="27">#REF!</definedName>
    <definedName name="nazevstavby" localSheetId="11">#REF!</definedName>
    <definedName name="nazevstavby" localSheetId="12">#REF!</definedName>
    <definedName name="nazevstavby" localSheetId="13">#REF!</definedName>
    <definedName name="nazevstavby" localSheetId="18">#REF!</definedName>
    <definedName name="nazevstavby" localSheetId="29">#REF!</definedName>
    <definedName name="nazevstavby" localSheetId="30">#REF!</definedName>
    <definedName name="nazevstavby" localSheetId="31">#REF!</definedName>
    <definedName name="nazevstavby" localSheetId="35">#REF!</definedName>
    <definedName name="nazevstavby" localSheetId="34">#REF!</definedName>
    <definedName name="nazevstavby" localSheetId="33">#REF!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7">#REF!</definedName>
    <definedName name="nazevstavby" localSheetId="48">#REF!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0">KL!$D$5</definedName>
    <definedName name="nazevstavby" localSheetId="17">#REF!</definedName>
    <definedName name="nazevstavby" localSheetId="32">#REF!</definedName>
    <definedName name="nazevstavby" localSheetId="42">#REF!</definedName>
    <definedName name="nazevstavby" localSheetId="25">#REF!</definedName>
    <definedName name="nazevstavby" localSheetId="20">#REF!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Vyýpisy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22">#REF!</definedName>
    <definedName name="Num_Pmt_Per_Year" localSheetId="23">#REF!</definedName>
    <definedName name="Num_Pmt_Per_Year" localSheetId="21">#REF!</definedName>
    <definedName name="Num_Pmt_Per_Year" localSheetId="24">#REF!</definedName>
    <definedName name="Num_Pmt_Per_Year" localSheetId="28">#REF!</definedName>
    <definedName name="Num_Pmt_Per_Year" localSheetId="26">#REF!</definedName>
    <definedName name="Num_Pmt_Per_Year" localSheetId="27">#REF!</definedName>
    <definedName name="Num_Pmt_Per_Year" localSheetId="11">#REF!</definedName>
    <definedName name="Num_Pmt_Per_Year" localSheetId="12">#REF!</definedName>
    <definedName name="Num_Pmt_Per_Year" localSheetId="13">#REF!</definedName>
    <definedName name="Num_Pmt_Per_Year" localSheetId="18">#REF!</definedName>
    <definedName name="Num_Pmt_Per_Year" localSheetId="29">#REF!</definedName>
    <definedName name="Num_Pmt_Per_Year" localSheetId="30">#REF!</definedName>
    <definedName name="Num_Pmt_Per_Year" localSheetId="31">#REF!</definedName>
    <definedName name="Num_Pmt_Per_Year" localSheetId="35">#REF!</definedName>
    <definedName name="Num_Pmt_Per_Year" localSheetId="34">#REF!</definedName>
    <definedName name="Num_Pmt_Per_Year" localSheetId="33">#REF!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7">#REF!</definedName>
    <definedName name="Num_Pmt_Per_Year" localSheetId="48">#REF!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32">#REF!</definedName>
    <definedName name="Num_Pmt_Per_Year" localSheetId="42">#REF!</definedName>
    <definedName name="Num_Pmt_Per_Year" localSheetId="1">#REF!</definedName>
    <definedName name="Num_Pmt_Per_Year">#REF!</definedName>
    <definedName name="Number_of_Payments" localSheetId="10">MATCH(0.01,'D.1.4.1. ZTI'!End_Bal,-1)+1</definedName>
    <definedName name="Number_of_Payments" localSheetId="22">MATCH(0.01,'D.1.4.10.1. MOBILIÁŘ'!End_Bal,-1)+1</definedName>
    <definedName name="Number_of_Payments" localSheetId="23">MATCH(0.01,'D.1.4.10.1. OPLOCENÍ'!End_Bal,-1)+1</definedName>
    <definedName name="Number_of_Payments" localSheetId="21">MATCH(0.01,'D.1.4.10.1. SADOVÉ ÚPRAVY'!End_Bal,-1)+1</definedName>
    <definedName name="Number_of_Payments" localSheetId="24">MATCH(0.01,'D.1.4.10.2. ZP. PLOCHY A KOMUN.'!End_Bal,-1)+1</definedName>
    <definedName name="Number_of_Payments" localSheetId="28">MATCH(0.01,'D.1.4.10.3. DROBNÁ ARCH. - KOL.'!End_Bal,-1)+1</definedName>
    <definedName name="Number_of_Payments" localSheetId="26">MATCH(0.01,'D.1.4.10.3. DROBNÁ ARCH. - SKL.'!End_Bal,-1)+1</definedName>
    <definedName name="Number_of_Payments" localSheetId="27">MATCH(0.01,'D.1.4.10.3. DROBNÁ ARCH. - ZÁZ.'!End_Bal,-1)+1</definedName>
    <definedName name="Number_of_Payments" localSheetId="11">MATCH(0.01,'D.1.4.2. ODBĚR. PLYN. ZAŘÍZ.'!End_Bal,-1)+1</definedName>
    <definedName name="Number_of_Payments" localSheetId="12">MATCH(0.01,End_Bal,-1)+1</definedName>
    <definedName name="Number_of_Payments" localSheetId="13">MATCH(0.01,'D.1.4.4. VYTÁPĚNÍ'!End_Bal,-1)+1</definedName>
    <definedName name="Number_of_Payments" localSheetId="18">MATCH(0.01,'D.1.4.8. EL. KOMUNIKACE'!End_Bal,-1)+1</definedName>
    <definedName name="Number_of_Payments" localSheetId="29">MATCH(0.01,'D.2.1. PŘÍPOJKA VODOVODU'!End_Bal,-1)+1</definedName>
    <definedName name="Number_of_Payments" localSheetId="30">MATCH(0.01,'D.2.1.1. AREÁLOVÝ VODOVOD'!End_Bal,-1)+1</definedName>
    <definedName name="Number_of_Payments" localSheetId="31">MATCH(0.01,'D.2.2. PŘÍPOJKA KANALIZACE'!End_Bal,-1)+1</definedName>
    <definedName name="Number_of_Payments" localSheetId="35">MATCH(0.01,'D.2.3. AKUMULAČNÍ NÁDRŽ'!End_Bal,-1)+1</definedName>
    <definedName name="Number_of_Payments" localSheetId="34">MATCH(0.01,'D.2.3. AREÁL DEŠŤOVÁ KANAL.'!End_Bal,-1)+1</definedName>
    <definedName name="Number_of_Payments" localSheetId="33">MATCH(0.01,'D.2.3. AREÁL SPLAŠKOVÁ KANAL.'!End_Bal,-1)+1</definedName>
    <definedName name="Number_of_Payments" localSheetId="36">MATCH(0.01,'D.2.3. ČERPACÍ STANICE'!End_Bal,-1)+1</definedName>
    <definedName name="Number_of_Payments" localSheetId="37">MATCH(0.01,'D.2.3. VSAKOVACÍ NÁDRŽE'!End_Bal,-1)+1</definedName>
    <definedName name="Number_of_Payments" localSheetId="38">MATCH(0.01,'D.2.4. PŘELOŽKA STL PLYNOVODU'!End_Bal,-1)+1</definedName>
    <definedName name="Number_of_Payments" localSheetId="39">MATCH(0.01,'D.2.5. PŘÍPOJKA NN'!End_Bal,-1)+1</definedName>
    <definedName name="Number_of_Payments" localSheetId="40">MATCH(0.01,'D.2.6. PŘÍPOJKA EL. KOMUNIKACE'!End_Bal,-1)+1</definedName>
    <definedName name="Number_of_Payments" localSheetId="41">MATCH(0.01,'D.2.7. AREÁL OSVĚTLENÍ - TR. A1'!End_Bal,-1)+1</definedName>
    <definedName name="Number_of_Payments" localSheetId="47">MATCH(0.01,'D.2.8. AREÁL VEDENÍ NN-TR.  NN5'!End_Bal,-1)+1</definedName>
    <definedName name="Number_of_Payments" localSheetId="48">MATCH(0.01,'D.2.8. AREÁL VEDENÍ NN-TR.  NN6'!End_Bal,-1)+1</definedName>
    <definedName name="Number_of_Payments" localSheetId="43">MATCH(0.01,'D.2.8. AREÁL VEDENÍ NN-TR. NN1 '!End_Bal,-1)+1</definedName>
    <definedName name="Number_of_Payments" localSheetId="44">MATCH(0.01,'D.2.8. AREÁL VEDENÍ NN-TR. NN2'!End_Bal,-1)+1</definedName>
    <definedName name="Number_of_Payments" localSheetId="45">MATCH(0.01,'D.2.8. AREÁL VEDENÍ NN-TR. NN3'!End_Bal,-1)+1</definedName>
    <definedName name="Number_of_Payments" localSheetId="46">MATCH(0.01,'D.2.8. AREÁL VEDENÍ NN-TR. NN4'!End_Bal,-1)+1</definedName>
    <definedName name="Number_of_Payments" localSheetId="0">MATCH(0.01,End_Bal,-1)+1</definedName>
    <definedName name="Number_of_Payments" localSheetId="17">MATCH(0.01,End_Bal,-1)+1</definedName>
    <definedName name="Number_of_Payments" localSheetId="32">MATCH(0.01,'REKAPITULACE - AREÁL KAN'!End_Bal,-1)+1</definedName>
    <definedName name="Number_of_Payments" localSheetId="42">MATCH(0.01,'REKAPITULACE - AREÁL NN'!End_Bal,-1)+1</definedName>
    <definedName name="Number_of_Payments" localSheetId="25">MATCH(0.01,End_Bal,-1)+1</definedName>
    <definedName name="Number_of_Payments" localSheetId="20">MATCH(0.01,[0]!End_Bal,-1)+1</definedName>
    <definedName name="Number_of_Payments" localSheetId="1">MATCH(0.01,VRN!End_Bal,-1)+1</definedName>
    <definedName name="Number_of_Payments">MATCH(0.01,End_Bal,-1)+1</definedName>
    <definedName name="obch_sleva" localSheetId="10">#REF!</definedName>
    <definedName name="obch_sleva" localSheetId="22">#REF!</definedName>
    <definedName name="obch_sleva" localSheetId="23">#REF!</definedName>
    <definedName name="obch_sleva" localSheetId="21">#REF!</definedName>
    <definedName name="obch_sleva" localSheetId="24">#REF!</definedName>
    <definedName name="obch_sleva" localSheetId="28">#REF!</definedName>
    <definedName name="obch_sleva" localSheetId="26">#REF!</definedName>
    <definedName name="obch_sleva" localSheetId="27">#REF!</definedName>
    <definedName name="obch_sleva" localSheetId="11">#REF!</definedName>
    <definedName name="obch_sleva" localSheetId="12">#REF!</definedName>
    <definedName name="obch_sleva" localSheetId="13">#REF!</definedName>
    <definedName name="obch_sleva" localSheetId="18">#REF!</definedName>
    <definedName name="obch_sleva" localSheetId="29">#REF!</definedName>
    <definedName name="obch_sleva" localSheetId="30">#REF!</definedName>
    <definedName name="obch_sleva" localSheetId="31">#REF!</definedName>
    <definedName name="obch_sleva" localSheetId="35">#REF!</definedName>
    <definedName name="obch_sleva" localSheetId="34">#REF!</definedName>
    <definedName name="obch_sleva" localSheetId="33">#REF!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7">#REF!</definedName>
    <definedName name="obch_sleva" localSheetId="48">#REF!</definedName>
    <definedName name="obch_sleva" localSheetId="43">#REF!</definedName>
    <definedName name="obch_sleva" localSheetId="44">#REF!</definedName>
    <definedName name="obch_sleva" localSheetId="45">#REF!</definedName>
    <definedName name="obch_sleva" localSheetId="46">#REF!</definedName>
    <definedName name="obch_sleva" localSheetId="17">#REF!</definedName>
    <definedName name="obch_sleva" localSheetId="32">#REF!</definedName>
    <definedName name="obch_sleva" localSheetId="42">#REF!</definedName>
    <definedName name="obch_sleva" localSheetId="25">#REF!</definedName>
    <definedName name="obch_sleva" localSheetId="20">#REF!</definedName>
    <definedName name="obch_sleva" localSheetId="1">#REF!</definedName>
    <definedName name="obch_sleva">#REF!</definedName>
    <definedName name="Objednatel" localSheetId="10">#REF!</definedName>
    <definedName name="Objednatel" localSheetId="22">#REF!</definedName>
    <definedName name="Objednatel" localSheetId="23">#REF!</definedName>
    <definedName name="Objednatel" localSheetId="21">#REF!</definedName>
    <definedName name="Objednatel" localSheetId="24">#REF!</definedName>
    <definedName name="Objednatel" localSheetId="28">#REF!</definedName>
    <definedName name="Objednatel" localSheetId="26">#REF!</definedName>
    <definedName name="Objednatel" localSheetId="27">#REF!</definedName>
    <definedName name="Objednatel" localSheetId="11">#REF!</definedName>
    <definedName name="Objednatel" localSheetId="12">#REF!</definedName>
    <definedName name="Objednatel" localSheetId="13">#REF!</definedName>
    <definedName name="Objednatel" localSheetId="18">#REF!</definedName>
    <definedName name="Objednatel" localSheetId="29">#REF!</definedName>
    <definedName name="Objednatel" localSheetId="30">#REF!</definedName>
    <definedName name="Objednatel" localSheetId="31">#REF!</definedName>
    <definedName name="Objednatel" localSheetId="35">#REF!</definedName>
    <definedName name="Objednatel" localSheetId="34">#REF!</definedName>
    <definedName name="Objednatel" localSheetId="33">#REF!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7">#REF!</definedName>
    <definedName name="Objednatel" localSheetId="48">#REF!</definedName>
    <definedName name="Objednatel" localSheetId="43">#REF!</definedName>
    <definedName name="Objednatel" localSheetId="44">#REF!</definedName>
    <definedName name="Objednatel" localSheetId="45">#REF!</definedName>
    <definedName name="Objednatel" localSheetId="46">#REF!</definedName>
    <definedName name="Objednatel" localSheetId="0">KL!$D$9</definedName>
    <definedName name="Objednatel" localSheetId="17">#REF!</definedName>
    <definedName name="Objednatel" localSheetId="32">#REF!</definedName>
    <definedName name="Objednatel" localSheetId="42">#REF!</definedName>
    <definedName name="Objednatel" localSheetId="25">#REF!</definedName>
    <definedName name="Objednatel" localSheetId="20">#REF!</definedName>
    <definedName name="Objednatel" localSheetId="1">#REF!</definedName>
    <definedName name="Objednatel">#REF!</definedName>
    <definedName name="Objekt" localSheetId="0">KL!$B$34</definedName>
    <definedName name="_xlnm.Print_Area" localSheetId="3">'01 - Novostavba'!$C$4:$K$1126</definedName>
    <definedName name="_xlnm.Print_Area" localSheetId="4">'01.1 - Novostavba - podlahy'!$C$4:$K$336</definedName>
    <definedName name="_xlnm.Print_Area" localSheetId="5">'01.2 - Vyýpisy prvků - ta...'!$C$4:$K$1891</definedName>
    <definedName name="_xlnm.Print_Area" localSheetId="6">'01.3 - Gabionové stěny'!$C$4:$K$244</definedName>
    <definedName name="_xlnm.Print_Area" localSheetId="7">'01.4 - Opěrná stěna schod...'!$C$4:$K$319</definedName>
    <definedName name="_xlnm.Print_Area" localSheetId="8">'01.5 - Náklady souvisejíc...'!$C$4:$K$127</definedName>
    <definedName name="_xlnm.Print_Area" localSheetId="10">'D.1.4.1. ZTI'!$A$1:$J$1005</definedName>
    <definedName name="_xlnm.Print_Area" localSheetId="22">'D.1.4.10.1. MOBILIÁŘ'!$A$1:$I$76</definedName>
    <definedName name="_xlnm.Print_Area" localSheetId="23">'D.1.4.10.1. OPLOCENÍ'!$A$1:$I$125</definedName>
    <definedName name="_xlnm.Print_Area" localSheetId="21">'D.1.4.10.1. SADOVÉ ÚPRAVY'!$A$1:$I$241</definedName>
    <definedName name="_xlnm.Print_Area" localSheetId="24">'D.1.4.10.2. ZP. PLOCHY A KOMUN.'!$A$1:$I$436</definedName>
    <definedName name="_xlnm.Print_Area" localSheetId="28">'D.1.4.10.3. DROBNÁ ARCH. - KOL.'!$A$1:$I$215</definedName>
    <definedName name="_xlnm.Print_Area" localSheetId="26">'D.1.4.10.3. DROBNÁ ARCH. - SKL.'!$A$1:$I$166</definedName>
    <definedName name="_xlnm.Print_Area" localSheetId="27">'D.1.4.10.3. DROBNÁ ARCH. - ZÁZ.'!$A$1:$I$313</definedName>
    <definedName name="_xlnm.Print_Area" localSheetId="11">'D.1.4.2. ODBĚR. PLYN. ZAŘÍZ.'!$A$1:$I$284</definedName>
    <definedName name="_xlnm.Print_Area" localSheetId="12">'D.1.4.3. VZDUCHOTECHNIKA'!$A$1:$J$1522</definedName>
    <definedName name="_xlnm.Print_Area" localSheetId="13">'D.1.4.4. VYTÁPĚNÍ'!$A$1:$J$608</definedName>
    <definedName name="_xlnm.Print_Area" localSheetId="14">'D.1.4.5. CHLAZENÍ'!$A$1:$I$498</definedName>
    <definedName name="_xlnm.Print_Area" localSheetId="15">'D.1.4.7. SILNOPROUD'!$A$1:$J$491</definedName>
    <definedName name="_xlnm.Print_Area" localSheetId="16">'D.1.4.7.1 FOTOVOLTAIKA'!$A$1:$I$103</definedName>
    <definedName name="_xlnm.Print_Area" localSheetId="18">'D.1.4.8. EL. KOMUNIKACE'!$A$1:$J$316</definedName>
    <definedName name="_xlnm.Print_Area" localSheetId="19">'D.1.4.8. EL. KOMUNIKACE-MEDICAL'!$A$1:$I$260</definedName>
    <definedName name="_xlnm.Print_Area" localSheetId="29">'D.2.1. PŘÍPOJKA VODOVODU'!$A$1:$I$220</definedName>
    <definedName name="_xlnm.Print_Area" localSheetId="30">'D.2.1.1. AREÁLOVÝ VODOVOD'!$A$1:$I$176</definedName>
    <definedName name="_xlnm.Print_Area" localSheetId="31">'D.2.2. PŘÍPOJKA KANALIZACE'!$A$1:$I$247</definedName>
    <definedName name="_xlnm.Print_Area" localSheetId="35">'D.2.3. AKUMULAČNÍ NÁDRŽ'!$A$1:$I$160</definedName>
    <definedName name="_xlnm.Print_Area" localSheetId="34">'D.2.3. AREÁL DEŠŤOVÁ KANAL.'!$A$1:$I$509</definedName>
    <definedName name="_xlnm.Print_Area" localSheetId="33">'D.2.3. AREÁL SPLAŠKOVÁ KANAL.'!$A$1:$I$468</definedName>
    <definedName name="_xlnm.Print_Area" localSheetId="36">'D.2.3. ČERPACÍ STANICE'!$A$1:$I$164</definedName>
    <definedName name="_xlnm.Print_Area" localSheetId="37">'D.2.3. VSAKOVACÍ NÁDRŽE'!$A$1:$I$164</definedName>
    <definedName name="_xlnm.Print_Area" localSheetId="38">'D.2.4. PŘELOŽKA STL PLYNOVODU'!$A$1:$I$215</definedName>
    <definedName name="_xlnm.Print_Area" localSheetId="39">'D.2.5. PŘÍPOJKA NN'!$A$1:$I$221</definedName>
    <definedName name="_xlnm.Print_Area" localSheetId="40">'D.2.6. PŘÍPOJKA EL. KOMUNIKACE'!$A$1:$I$207</definedName>
    <definedName name="_xlnm.Print_Area" localSheetId="41">'D.2.7. AREÁL OSVĚTLENÍ - TR. A1'!$A$1:$I$135</definedName>
    <definedName name="_xlnm.Print_Area" localSheetId="47">'D.2.8. AREÁL VEDENÍ NN-TR.  NN5'!$A$1:$I$129</definedName>
    <definedName name="_xlnm.Print_Area" localSheetId="48">'D.2.8. AREÁL VEDENÍ NN-TR.  NN6'!$A$1:$I$142</definedName>
    <definedName name="_xlnm.Print_Area" localSheetId="43">'D.2.8. AREÁL VEDENÍ NN-TR. NN1 '!$A$1:$I$177</definedName>
    <definedName name="_xlnm.Print_Area" localSheetId="44">'D.2.8. AREÁL VEDENÍ NN-TR. NN2'!$A$1:$I$206</definedName>
    <definedName name="_xlnm.Print_Area" localSheetId="45">'D.2.8. AREÁL VEDENÍ NN-TR. NN3'!$A$1:$I$200</definedName>
    <definedName name="_xlnm.Print_Area" localSheetId="46">'D.2.8. AREÁL VEDENÍ NN-TR. NN4'!$A$1:$I$129</definedName>
    <definedName name="_xlnm.Print_Area" localSheetId="0">KL!$A$1:$I$80</definedName>
    <definedName name="_xlnm.Print_Area" localSheetId="49">'KOLEJNICOVÝ SYSTÉM'!$A$1:$F$33</definedName>
    <definedName name="_xlnm.Print_Area" localSheetId="17">REKAPITULACE!$A$1:$C$10</definedName>
    <definedName name="_xlnm.Print_Area" localSheetId="32">'REKAPITULACE - AREÁL KAN'!$A$1:$C$15</definedName>
    <definedName name="_xlnm.Print_Area" localSheetId="42">'REKAPITULACE - AREÁL NN'!$A$1:$C$16</definedName>
    <definedName name="_xlnm.Print_Area" localSheetId="25">'REKAPITULACE - DA'!$A$1:$C$11</definedName>
    <definedName name="_xlnm.Print_Area" localSheetId="20">'REKAPITULACE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22">#REF!</definedName>
    <definedName name="op" localSheetId="23">#REF!</definedName>
    <definedName name="op" localSheetId="21">#REF!</definedName>
    <definedName name="op" localSheetId="24">#REF!</definedName>
    <definedName name="op" localSheetId="28">#REF!</definedName>
    <definedName name="op" localSheetId="26">#REF!</definedName>
    <definedName name="op" localSheetId="27">#REF!</definedName>
    <definedName name="op" localSheetId="11">#REF!</definedName>
    <definedName name="op" localSheetId="12">#REF!</definedName>
    <definedName name="op" localSheetId="13">#REF!</definedName>
    <definedName name="op" localSheetId="18">#REF!</definedName>
    <definedName name="op" localSheetId="29">#REF!</definedName>
    <definedName name="op" localSheetId="30">#REF!</definedName>
    <definedName name="op" localSheetId="31">#REF!</definedName>
    <definedName name="op" localSheetId="35">#REF!</definedName>
    <definedName name="op" localSheetId="34">#REF!</definedName>
    <definedName name="op" localSheetId="33">#REF!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7">#REF!</definedName>
    <definedName name="op" localSheetId="48">#REF!</definedName>
    <definedName name="op" localSheetId="43">#REF!</definedName>
    <definedName name="op" localSheetId="44">#REF!</definedName>
    <definedName name="op" localSheetId="45">#REF!</definedName>
    <definedName name="op" localSheetId="46">#REF!</definedName>
    <definedName name="op" localSheetId="17">#REF!</definedName>
    <definedName name="op" localSheetId="32">#REF!</definedName>
    <definedName name="op" localSheetId="42">#REF!</definedName>
    <definedName name="op" localSheetId="25">#REF!</definedName>
    <definedName name="op" localSheetId="20">#REF!</definedName>
    <definedName name="op" localSheetId="1">#REF!</definedName>
    <definedName name="op">#REF!</definedName>
    <definedName name="opsc" localSheetId="0">KL!#REF!</definedName>
    <definedName name="Outside" localSheetId="10" hidden="1">{#N/A,#N/A,TRUE,"Krycí list"}</definedName>
    <definedName name="Outside" localSheetId="22" hidden="1">{#N/A,#N/A,TRUE,"Krycí list"}</definedName>
    <definedName name="Outside" localSheetId="23" hidden="1">{#N/A,#N/A,TRUE,"Krycí list"}</definedName>
    <definedName name="Outside" localSheetId="21" hidden="1">{#N/A,#N/A,TRUE,"Krycí list"}</definedName>
    <definedName name="Outside" localSheetId="24" hidden="1">{#N/A,#N/A,TRUE,"Krycí list"}</definedName>
    <definedName name="Outside" localSheetId="28" hidden="1">{#N/A,#N/A,TRUE,"Krycí list"}</definedName>
    <definedName name="Outside" localSheetId="26" hidden="1">{#N/A,#N/A,TRUE,"Krycí list"}</definedName>
    <definedName name="Outside" localSheetId="27"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8" hidden="1">{#N/A,#N/A,TRUE,"Krycí list"}</definedName>
    <definedName name="Outside" localSheetId="29" hidden="1">{#N/A,#N/A,TRUE,"Krycí list"}</definedName>
    <definedName name="Outside" localSheetId="30" hidden="1">{#N/A,#N/A,TRUE,"Krycí list"}</definedName>
    <definedName name="Outside" localSheetId="31"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0" hidden="1">{#N/A,#N/A,TRUE,"Krycí list"}</definedName>
    <definedName name="Outside" localSheetId="17" hidden="1">{#N/A,#N/A,TRUE,"Krycí list"}</definedName>
    <definedName name="Outside" localSheetId="32" hidden="1">{#N/A,#N/A,TRUE,"Krycí list"}</definedName>
    <definedName name="Outside" localSheetId="42" hidden="1">{#N/A,#N/A,TRUE,"Krycí list"}</definedName>
    <definedName name="Outside" localSheetId="25" hidden="1">{#N/A,#N/A,TRUE,"Krycí list"}</definedName>
    <definedName name="Outside" localSheetId="20" hidden="1">{#N/A,#N/A,TRUE,"Krycí list"}</definedName>
    <definedName name="Outside" localSheetId="1" hidden="1">{#N/A,#N/A,TRUE,"Krycí list"}</definedName>
    <definedName name="Outside" hidden="1">{#N/A,#N/A,TRUE,"Krycí list"}</definedName>
    <definedName name="Pay_Date" localSheetId="10">#REF!</definedName>
    <definedName name="Pay_Date" localSheetId="22">#REF!</definedName>
    <definedName name="Pay_Date" localSheetId="23">#REF!</definedName>
    <definedName name="Pay_Date" localSheetId="21">#REF!</definedName>
    <definedName name="Pay_Date" localSheetId="24">#REF!</definedName>
    <definedName name="Pay_Date" localSheetId="28">#REF!</definedName>
    <definedName name="Pay_Date" localSheetId="26">#REF!</definedName>
    <definedName name="Pay_Date" localSheetId="27">#REF!</definedName>
    <definedName name="Pay_Date" localSheetId="11">#REF!</definedName>
    <definedName name="Pay_Date" localSheetId="12">#REF!</definedName>
    <definedName name="Pay_Date" localSheetId="13">#REF!</definedName>
    <definedName name="Pay_Date" localSheetId="18">#REF!</definedName>
    <definedName name="Pay_Date" localSheetId="29">#REF!</definedName>
    <definedName name="Pay_Date" localSheetId="30">#REF!</definedName>
    <definedName name="Pay_Date" localSheetId="31">#REF!</definedName>
    <definedName name="Pay_Date" localSheetId="35">#REF!</definedName>
    <definedName name="Pay_Date" localSheetId="34">#REF!</definedName>
    <definedName name="Pay_Date" localSheetId="33">#REF!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7">#REF!</definedName>
    <definedName name="Pay_Date" localSheetId="48">#REF!</definedName>
    <definedName name="Pay_Date" localSheetId="43">#REF!</definedName>
    <definedName name="Pay_Date" localSheetId="44">#REF!</definedName>
    <definedName name="Pay_Date" localSheetId="45">#REF!</definedName>
    <definedName name="Pay_Date" localSheetId="46">#REF!</definedName>
    <definedName name="Pay_Date" localSheetId="32">#REF!</definedName>
    <definedName name="Pay_Date" localSheetId="42">#REF!</definedName>
    <definedName name="Pay_Date" localSheetId="25">#REF!</definedName>
    <definedName name="Pay_Date" localSheetId="1">#REF!</definedName>
    <definedName name="Pay_Date">#REF!</definedName>
    <definedName name="Pay_Num" localSheetId="10">#REF!</definedName>
    <definedName name="Pay_Num" localSheetId="22">#REF!</definedName>
    <definedName name="Pay_Num" localSheetId="23">#REF!</definedName>
    <definedName name="Pay_Num" localSheetId="21">#REF!</definedName>
    <definedName name="Pay_Num" localSheetId="24">#REF!</definedName>
    <definedName name="Pay_Num" localSheetId="28">#REF!</definedName>
    <definedName name="Pay_Num" localSheetId="26">#REF!</definedName>
    <definedName name="Pay_Num" localSheetId="27">#REF!</definedName>
    <definedName name="Pay_Num" localSheetId="11">#REF!</definedName>
    <definedName name="Pay_Num" localSheetId="12">#REF!</definedName>
    <definedName name="Pay_Num" localSheetId="13">#REF!</definedName>
    <definedName name="Pay_Num" localSheetId="18">#REF!</definedName>
    <definedName name="Pay_Num" localSheetId="29">#REF!</definedName>
    <definedName name="Pay_Num" localSheetId="30">#REF!</definedName>
    <definedName name="Pay_Num" localSheetId="31">#REF!</definedName>
    <definedName name="Pay_Num" localSheetId="35">#REF!</definedName>
    <definedName name="Pay_Num" localSheetId="34">#REF!</definedName>
    <definedName name="Pay_Num" localSheetId="33">#REF!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7">#REF!</definedName>
    <definedName name="Pay_Num" localSheetId="48">#REF!</definedName>
    <definedName name="Pay_Num" localSheetId="43">#REF!</definedName>
    <definedName name="Pay_Num" localSheetId="44">#REF!</definedName>
    <definedName name="Pay_Num" localSheetId="45">#REF!</definedName>
    <definedName name="Pay_Num" localSheetId="46">#REF!</definedName>
    <definedName name="Pay_Num" localSheetId="32">#REF!</definedName>
    <definedName name="Pay_Num" localSheetId="42">#REF!</definedName>
    <definedName name="Pay_Num" localSheetId="1">#REF!</definedName>
    <definedName name="Pay_Num">#REF!</definedName>
    <definedName name="Payment_Date" localSheetId="10">DATE(YEAR('D.1.4.1. ZTI'!Loan_Start),MONTH('D.1.4.1. ZTI'!Loan_Start)+Payment_Number,DAY('D.1.4.1. ZTI'!Loan_Start))</definedName>
    <definedName name="Payment_Date" localSheetId="22">DATE(YEAR('D.1.4.10.1. MOBILIÁŘ'!Loan_Start),MONTH('D.1.4.10.1. MOBILIÁŘ'!Loan_Start)+Payment_Number,DAY('D.1.4.10.1. MOBILIÁŘ'!Loan_Start))</definedName>
    <definedName name="Payment_Date" localSheetId="23">DATE(YEAR('D.1.4.10.1. OPLOCENÍ'!Loan_Start),MONTH('D.1.4.10.1. OPLOCENÍ'!Loan_Start)+Payment_Number,DAY('D.1.4.10.1. OPLOCENÍ'!Loan_Start))</definedName>
    <definedName name="Payment_Date" localSheetId="21">DATE(YEAR('D.1.4.10.1. SADOVÉ ÚPRAVY'!Loan_Start),MONTH('D.1.4.10.1. SADOVÉ ÚPRAVY'!Loan_Start)+Payment_Number,DAY('D.1.4.10.1. SADOVÉ ÚPRAVY'!Loan_Start))</definedName>
    <definedName name="Payment_Date" localSheetId="24">DATE(YEAR('D.1.4.10.2. ZP. PLOCHY A KOMUN.'!Loan_Start),MONTH('D.1.4.10.2. ZP. PLOCHY A KOMUN.'!Loan_Start)+Payment_Number,DAY('D.1.4.10.2. ZP. PLOCHY A KOMUN.'!Loan_Start))</definedName>
    <definedName name="Payment_Date" localSheetId="28">DATE(YEAR('D.1.4.10.3. DROBNÁ ARCH. - KOL.'!Loan_Start),MONTH('D.1.4.10.3. DROBNÁ ARCH. - KOL.'!Loan_Start)+Payment_Number,DAY('D.1.4.10.3. DROBNÁ ARCH. - KOL.'!Loan_Start))</definedName>
    <definedName name="Payment_Date" localSheetId="26">DATE(YEAR('D.1.4.10.3. DROBNÁ ARCH. - SKL.'!Loan_Start),MONTH('D.1.4.10.3. DROBNÁ ARCH. - SKL.'!Loan_Start)+Payment_Number,DAY('D.1.4.10.3. DROBNÁ ARCH. - SKL.'!Loan_Start))</definedName>
    <definedName name="Payment_Date" localSheetId="27">DATE(YEAR('D.1.4.10.3. DROBNÁ ARCH. - ZÁZ.'!Loan_Start),MONTH('D.1.4.10.3. DROBNÁ ARCH. - ZÁZ.'!Loan_Start)+Payment_Number,DAY('D.1.4.10.3. DROBNÁ ARCH. - ZÁZ.'!Loan_Start))</definedName>
    <definedName name="Payment_Date" localSheetId="11">DATE(YEAR('D.1.4.2. ODBĚR. PLYN. ZAŘÍZ.'!Loan_Start),MONTH('D.1.4.2. ODBĚR. PLYN. ZAŘÍZ.'!Loan_Start)+Payment_Number,DAY('D.1.4.2. ODBĚR. PLYN. ZAŘÍZ.'!Loan_Start))</definedName>
    <definedName name="Payment_Date" localSheetId="12">DATE(YEAR('D.1.4.3. VZDUCHOTECHNIKA'!Loan_Start),MONTH('D.1.4.3. VZDUCHOTECHNIKA'!Loan_Start)+Payment_Number,DAY('D.1.4.3. VZDUCHOTECHNIKA'!Loan_Start))</definedName>
    <definedName name="Payment_Date" localSheetId="13">DATE(YEAR('D.1.4.4. VYTÁPĚNÍ'!Loan_Start),MONTH('D.1.4.4. VYTÁPĚNÍ'!Loan_Start)+Payment_Number,DAY('D.1.4.4. VYTÁPĚNÍ'!Loan_Start))</definedName>
    <definedName name="Payment_Date" localSheetId="18">DATE(YEAR('D.1.4.8. EL. KOMUNIKACE'!Loan_Start),MONTH('D.1.4.8. EL. KOMUNIKACE'!Loan_Start)+Payment_Number,DAY('D.1.4.8. EL. KOMUNIKACE'!Loan_Start))</definedName>
    <definedName name="Payment_Date" localSheetId="19">DATE(YEAR([0]!Loan_Start),MONTH([0]!Loan_Start)+Payment_Number,DAY([0]!Loan_Start))</definedName>
    <definedName name="Payment_Date" localSheetId="29">DATE(YEAR('D.2.1. PŘÍPOJKA VODOVODU'!Loan_Start),MONTH('D.2.1. PŘÍPOJKA VODOVODU'!Loan_Start)+Payment_Number,DAY('D.2.1. PŘÍPOJKA VODOVODU'!Loan_Start))</definedName>
    <definedName name="Payment_Date" localSheetId="30">DATE(YEAR('D.2.1.1. AREÁLOVÝ VODOVOD'!Loan_Start),MONTH('D.2.1.1. AREÁLOVÝ VODOVOD'!Loan_Start)+Payment_Number,DAY('D.2.1.1. AREÁLOVÝ VODOVOD'!Loan_Start))</definedName>
    <definedName name="Payment_Date" localSheetId="31">DATE(YEAR('D.2.2. PŘÍPOJKA KANALIZACE'!Loan_Start),MONTH('D.2.2. PŘÍPOJKA KANALIZACE'!Loan_Start)+Payment_Number,DAY('D.2.2. PŘÍPOJKA KANALIZACE'!Loan_Start))</definedName>
    <definedName name="Payment_Date" localSheetId="35">DATE(YEAR('D.2.3. AKUMULAČNÍ NÁDRŽ'!Loan_Start),MONTH('D.2.3. AKUMULAČNÍ NÁDRŽ'!Loan_Start)+Payment_Number,DAY('D.2.3. AKUMULAČNÍ NÁDRŽ'!Loan_Start))</definedName>
    <definedName name="Payment_Date" localSheetId="34">DATE(YEAR('D.2.3. AREÁL DEŠŤOVÁ KANAL.'!Loan_Start),MONTH('D.2.3. AREÁL DEŠŤOVÁ KANAL.'!Loan_Start)+Payment_Number,DAY('D.2.3. AREÁL DEŠŤOVÁ KANAL.'!Loan_Start))</definedName>
    <definedName name="Payment_Date" localSheetId="33">DATE(YEAR('D.2.3. AREÁL SPLAŠKOVÁ KANAL.'!Loan_Start),MONTH('D.2.3. AREÁL SPLAŠKOVÁ KANAL.'!Loan_Start)+Payment_Number,DAY('D.2.3. AREÁL SPLAŠKOVÁ KANAL.'!Loan_Start))</definedName>
    <definedName name="Payment_Date" localSheetId="36">DATE(YEAR('D.2.3. ČERPACÍ STANICE'!Loan_Start),MONTH('D.2.3. ČERPACÍ STANICE'!Loan_Start)+Payment_Number,DAY('D.2.3. ČERPACÍ STANICE'!Loan_Start))</definedName>
    <definedName name="Payment_Date" localSheetId="37">DATE(YEAR('D.2.3. VSAKOVACÍ NÁDRŽE'!Loan_Start),MONTH('D.2.3. VSAKOVACÍ NÁDRŽE'!Loan_Start)+Payment_Number,DAY('D.2.3. VSAKOVACÍ NÁDRŽE'!Loan_Start))</definedName>
    <definedName name="Payment_Date" localSheetId="38">DATE(YEAR('D.2.4. PŘELOŽKA STL PLYNOVODU'!Loan_Start),MONTH('D.2.4. PŘELOŽKA STL PLYNOVODU'!Loan_Start)+Payment_Number,DAY('D.2.4. PŘELOŽKA STL PLYNOVODU'!Loan_Start))</definedName>
    <definedName name="Payment_Date" localSheetId="39">DATE(YEAR('D.2.5. PŘÍPOJKA NN'!Loan_Start),MONTH('D.2.5. PŘÍPOJKA NN'!Loan_Start)+Payment_Number,DAY('D.2.5. PŘÍPOJKA NN'!Loan_Start))</definedName>
    <definedName name="Payment_Date" localSheetId="40">DATE(YEAR('D.2.6. PŘÍPOJKA EL. KOMUNIKACE'!Loan_Start),MONTH('D.2.6. PŘÍPOJKA EL. KOMUNIKACE'!Loan_Start)+Payment_Number,DAY('D.2.6. PŘÍPOJKA EL. KOMUNIKACE'!Loan_Start))</definedName>
    <definedName name="Payment_Date" localSheetId="41">DATE(YEAR('D.2.7. AREÁL OSVĚTLENÍ - TR. A1'!Loan_Start),MONTH('D.2.7. AREÁL OSVĚTLENÍ - TR. A1'!Loan_Start)+Payment_Number,DAY('D.2.7. AREÁL OSVĚTLENÍ - TR. A1'!Loan_Start))</definedName>
    <definedName name="Payment_Date" localSheetId="47">DATE(YEAR('D.2.8. AREÁL VEDENÍ NN-TR.  NN5'!Loan_Start),MONTH('D.2.8. AREÁL VEDENÍ NN-TR.  NN5'!Loan_Start)+Payment_Number,DAY('D.2.8. AREÁL VEDENÍ NN-TR.  NN5'!Loan_Start))</definedName>
    <definedName name="Payment_Date" localSheetId="48">DATE(YEAR('D.2.8. AREÁL VEDENÍ NN-TR.  NN6'!Loan_Start),MONTH('D.2.8. AREÁL VEDENÍ NN-TR.  NN6'!Loan_Start)+Payment_Number,DAY('D.2.8. AREÁL VEDENÍ NN-TR.  NN6'!Loan_Start))</definedName>
    <definedName name="Payment_Date" localSheetId="43">DATE(YEAR('D.2.8. AREÁL VEDENÍ NN-TR. NN1 '!Loan_Start),MONTH('D.2.8. AREÁL VEDENÍ NN-TR. NN1 '!Loan_Start)+Payment_Number,DAY('D.2.8. AREÁL VEDENÍ NN-TR. NN1 '!Loan_Start))</definedName>
    <definedName name="Payment_Date" localSheetId="44">DATE(YEAR('D.2.8. AREÁL VEDENÍ NN-TR. NN2'!Loan_Start),MONTH('D.2.8. AREÁL VEDENÍ NN-TR. NN2'!Loan_Start)+Payment_Number,DAY('D.2.8. AREÁL VEDENÍ NN-TR. NN2'!Loan_Start))</definedName>
    <definedName name="Payment_Date" localSheetId="45">DATE(YEAR('D.2.8. AREÁL VEDENÍ NN-TR. NN3'!Loan_Start),MONTH('D.2.8. AREÁL VEDENÍ NN-TR. NN3'!Loan_Start)+Payment_Number,DAY('D.2.8. AREÁL VEDENÍ NN-TR. NN3'!Loan_Start))</definedName>
    <definedName name="Payment_Date" localSheetId="46">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7">DATE(YEAR(Loan_Start),MONTH(Loan_Start)+Payment_Number,DAY(Loan_Start))</definedName>
    <definedName name="Payment_Date" localSheetId="32">DATE(YEAR('REKAPITULACE - AREÁL KAN'!Loan_Start),MONTH('REKAPITULACE - AREÁL KAN'!Loan_Start)+Payment_Number,DAY('REKAPITULACE - AREÁL KAN'!Loan_Start))</definedName>
    <definedName name="Payment_Date" localSheetId="42">DATE(YEAR('REKAPITULACE - AREÁL NN'!Loan_Start),MONTH('REKAPITULACE - AREÁL NN'!Loan_Start)+Payment_Number,DAY('REKAPITULACE - AREÁL NN'!Loan_Start))</definedName>
    <definedName name="Payment_Date" localSheetId="25">DATE(YEAR(Loan_Start),MONTH(Loan_Start)+Payment_Number,DAY(Loan_Start))</definedName>
    <definedName name="Payment_Date" localSheetId="20">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22">#REF!</definedName>
    <definedName name="PocetMJ" localSheetId="23">#REF!</definedName>
    <definedName name="PocetMJ" localSheetId="21">#REF!</definedName>
    <definedName name="PocetMJ" localSheetId="24">#REF!</definedName>
    <definedName name="PocetMJ" localSheetId="28">#REF!</definedName>
    <definedName name="PocetMJ" localSheetId="26">#REF!</definedName>
    <definedName name="PocetMJ" localSheetId="27">#REF!</definedName>
    <definedName name="PocetMJ" localSheetId="11">#REF!</definedName>
    <definedName name="PocetMJ" localSheetId="12">#REF!</definedName>
    <definedName name="PocetMJ" localSheetId="13">#REF!</definedName>
    <definedName name="PocetMJ" localSheetId="18">#REF!</definedName>
    <definedName name="PocetMJ" localSheetId="29">#REF!</definedName>
    <definedName name="PocetMJ" localSheetId="30">#REF!</definedName>
    <definedName name="PocetMJ" localSheetId="31">#REF!</definedName>
    <definedName name="PocetMJ" localSheetId="35">#REF!</definedName>
    <definedName name="PocetMJ" localSheetId="34">#REF!</definedName>
    <definedName name="PocetMJ" localSheetId="33">#REF!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7">#REF!</definedName>
    <definedName name="PocetMJ" localSheetId="48">#REF!</definedName>
    <definedName name="PocetMJ" localSheetId="43">#REF!</definedName>
    <definedName name="PocetMJ" localSheetId="44">#REF!</definedName>
    <definedName name="PocetMJ" localSheetId="45">#REF!</definedName>
    <definedName name="PocetMJ" localSheetId="46">#REF!</definedName>
    <definedName name="PocetMJ" localSheetId="0">#REF!</definedName>
    <definedName name="PocetMJ" localSheetId="17">#REF!</definedName>
    <definedName name="PocetMJ" localSheetId="32">#REF!</definedName>
    <definedName name="PocetMJ" localSheetId="42">#REF!</definedName>
    <definedName name="PocetMJ" localSheetId="25">#REF!</definedName>
    <definedName name="PocetMJ" localSheetId="20">#REF!</definedName>
    <definedName name="PocetMJ" localSheetId="1">#REF!</definedName>
    <definedName name="PocetMJ">#REF!</definedName>
    <definedName name="pokusAAAA" localSheetId="10">#REF!</definedName>
    <definedName name="pokusAAAA" localSheetId="22">#REF!</definedName>
    <definedName name="pokusAAAA" localSheetId="23">#REF!</definedName>
    <definedName name="pokusAAAA" localSheetId="21">#REF!</definedName>
    <definedName name="pokusAAAA" localSheetId="24">#REF!</definedName>
    <definedName name="pokusAAAA" localSheetId="28">#REF!</definedName>
    <definedName name="pokusAAAA" localSheetId="26">#REF!</definedName>
    <definedName name="pokusAAAA" localSheetId="27">#REF!</definedName>
    <definedName name="pokusAAAA" localSheetId="11">#REF!</definedName>
    <definedName name="pokusAAAA" localSheetId="12">#REF!</definedName>
    <definedName name="pokusAAAA" localSheetId="13">#REF!</definedName>
    <definedName name="pokusAAAA" localSheetId="18">#REF!</definedName>
    <definedName name="pokusAAAA" localSheetId="29">#REF!</definedName>
    <definedName name="pokusAAAA" localSheetId="30">#REF!</definedName>
    <definedName name="pokusAAAA" localSheetId="31">#REF!</definedName>
    <definedName name="pokusAAAA" localSheetId="35">#REF!</definedName>
    <definedName name="pokusAAAA" localSheetId="34">#REF!</definedName>
    <definedName name="pokusAAAA" localSheetId="33">#REF!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7">#REF!</definedName>
    <definedName name="pokusAAAA" localSheetId="48">#REF!</definedName>
    <definedName name="pokusAAAA" localSheetId="43">#REF!</definedName>
    <definedName name="pokusAAAA" localSheetId="44">#REF!</definedName>
    <definedName name="pokusAAAA" localSheetId="45">#REF!</definedName>
    <definedName name="pokusAAAA" localSheetId="46">#REF!</definedName>
    <definedName name="pokusAAAA" localSheetId="17">#REF!</definedName>
    <definedName name="pokusAAAA" localSheetId="32">#REF!</definedName>
    <definedName name="pokusAAAA" localSheetId="42">#REF!</definedName>
    <definedName name="pokusAAAA" localSheetId="25">#REF!</definedName>
    <definedName name="pokusAAAA" localSheetId="20">#REF!</definedName>
    <definedName name="pokusAAAA" localSheetId="1">#REF!</definedName>
    <definedName name="pokusAAAA">#REF!</definedName>
    <definedName name="pokusadres" localSheetId="10">#REF!</definedName>
    <definedName name="pokusadres" localSheetId="22">#REF!</definedName>
    <definedName name="pokusadres" localSheetId="23">#REF!</definedName>
    <definedName name="pokusadres" localSheetId="21">#REF!</definedName>
    <definedName name="pokusadres" localSheetId="24">#REF!</definedName>
    <definedName name="pokusadres" localSheetId="28">#REF!</definedName>
    <definedName name="pokusadres" localSheetId="26">#REF!</definedName>
    <definedName name="pokusadres" localSheetId="27">#REF!</definedName>
    <definedName name="pokusadres" localSheetId="11">#REF!</definedName>
    <definedName name="pokusadres" localSheetId="12">#REF!</definedName>
    <definedName name="pokusadres" localSheetId="13">#REF!</definedName>
    <definedName name="pokusadres" localSheetId="18">#REF!</definedName>
    <definedName name="pokusadres" localSheetId="29">#REF!</definedName>
    <definedName name="pokusadres" localSheetId="30">#REF!</definedName>
    <definedName name="pokusadres" localSheetId="31">#REF!</definedName>
    <definedName name="pokusadres" localSheetId="35">#REF!</definedName>
    <definedName name="pokusadres" localSheetId="34">#REF!</definedName>
    <definedName name="pokusadres" localSheetId="33">#REF!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7">#REF!</definedName>
    <definedName name="pokusadres" localSheetId="48">#REF!</definedName>
    <definedName name="pokusadres" localSheetId="43">#REF!</definedName>
    <definedName name="pokusadres" localSheetId="44">#REF!</definedName>
    <definedName name="pokusadres" localSheetId="45">#REF!</definedName>
    <definedName name="pokusadres" localSheetId="46">#REF!</definedName>
    <definedName name="pokusadres" localSheetId="17">#REF!</definedName>
    <definedName name="pokusadres" localSheetId="32">#REF!</definedName>
    <definedName name="pokusadres" localSheetId="42">#REF!</definedName>
    <definedName name="pokusadres" localSheetId="25">#REF!</definedName>
    <definedName name="pokusadres" localSheetId="20">#REF!</definedName>
    <definedName name="pokusadres" localSheetId="1">#REF!</definedName>
    <definedName name="pokusadres">#REF!</definedName>
    <definedName name="položka_A1" localSheetId="10">#REF!</definedName>
    <definedName name="položka_A1" localSheetId="22">#REF!</definedName>
    <definedName name="položka_A1" localSheetId="23">#REF!</definedName>
    <definedName name="položka_A1" localSheetId="21">#REF!</definedName>
    <definedName name="položka_A1" localSheetId="24">#REF!</definedName>
    <definedName name="položka_A1" localSheetId="28">#REF!</definedName>
    <definedName name="položka_A1" localSheetId="26">#REF!</definedName>
    <definedName name="položka_A1" localSheetId="27">#REF!</definedName>
    <definedName name="položka_A1" localSheetId="11">#REF!</definedName>
    <definedName name="položka_A1" localSheetId="13">#REF!</definedName>
    <definedName name="položka_A1" localSheetId="18">#REF!</definedName>
    <definedName name="položka_A1" localSheetId="29">#REF!</definedName>
    <definedName name="položka_A1" localSheetId="30">#REF!</definedName>
    <definedName name="položka_A1" localSheetId="31">#REF!</definedName>
    <definedName name="položka_A1" localSheetId="35">#REF!</definedName>
    <definedName name="položka_A1" localSheetId="34">#REF!</definedName>
    <definedName name="položka_A1" localSheetId="33">#REF!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7">#REF!</definedName>
    <definedName name="položka_A1" localSheetId="48">#REF!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32">#REF!</definedName>
    <definedName name="položka_A1" localSheetId="42">#REF!</definedName>
    <definedName name="položka_A1" localSheetId="1">#REF!</definedName>
    <definedName name="položka_A1">#REF!</definedName>
    <definedName name="položky" localSheetId="10">#REF!</definedName>
    <definedName name="položky" localSheetId="22">#REF!</definedName>
    <definedName name="položky" localSheetId="23">#REF!</definedName>
    <definedName name="položky" localSheetId="21">#REF!</definedName>
    <definedName name="položky" localSheetId="24">#REF!</definedName>
    <definedName name="položky" localSheetId="28">#REF!</definedName>
    <definedName name="položky" localSheetId="26">#REF!</definedName>
    <definedName name="položky" localSheetId="27">#REF!</definedName>
    <definedName name="položky" localSheetId="11">#REF!</definedName>
    <definedName name="položky" localSheetId="13">#REF!</definedName>
    <definedName name="položky" localSheetId="18">#REF!</definedName>
    <definedName name="položky" localSheetId="29">#REF!</definedName>
    <definedName name="položky" localSheetId="30">#REF!</definedName>
    <definedName name="položky" localSheetId="31">#REF!</definedName>
    <definedName name="položky" localSheetId="35">#REF!</definedName>
    <definedName name="položky" localSheetId="34">#REF!</definedName>
    <definedName name="položky" localSheetId="33">#REF!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7">#REF!</definedName>
    <definedName name="položky" localSheetId="48">#REF!</definedName>
    <definedName name="položky" localSheetId="43">#REF!</definedName>
    <definedName name="položky" localSheetId="44">#REF!</definedName>
    <definedName name="položky" localSheetId="45">#REF!</definedName>
    <definedName name="položky" localSheetId="46">#REF!</definedName>
    <definedName name="položky" localSheetId="32">#REF!</definedName>
    <definedName name="položky" localSheetId="42">#REF!</definedName>
    <definedName name="položky" localSheetId="1">#REF!</definedName>
    <definedName name="položky">#REF!</definedName>
    <definedName name="pom_výp_zač" localSheetId="10">#REF!</definedName>
    <definedName name="pom_výp_zač" localSheetId="22">#REF!</definedName>
    <definedName name="pom_výp_zač" localSheetId="23">#REF!</definedName>
    <definedName name="pom_výp_zač" localSheetId="21">#REF!</definedName>
    <definedName name="pom_výp_zač" localSheetId="24">#REF!</definedName>
    <definedName name="pom_výp_zač" localSheetId="28">#REF!</definedName>
    <definedName name="pom_výp_zač" localSheetId="26">#REF!</definedName>
    <definedName name="pom_výp_zač" localSheetId="27">#REF!</definedName>
    <definedName name="pom_výp_zač" localSheetId="11">#REF!</definedName>
    <definedName name="pom_výp_zač" localSheetId="13">#REF!</definedName>
    <definedName name="pom_výp_zač" localSheetId="18">#REF!</definedName>
    <definedName name="pom_výp_zač" localSheetId="29">#REF!</definedName>
    <definedName name="pom_výp_zač" localSheetId="30">#REF!</definedName>
    <definedName name="pom_výp_zač" localSheetId="31">#REF!</definedName>
    <definedName name="pom_výp_zač" localSheetId="35">#REF!</definedName>
    <definedName name="pom_výp_zač" localSheetId="34">#REF!</definedName>
    <definedName name="pom_výp_zač" localSheetId="33">#REF!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7">#REF!</definedName>
    <definedName name="pom_výp_zač" localSheetId="48">#REF!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32">#REF!</definedName>
    <definedName name="pom_výp_zač" localSheetId="42">#REF!</definedName>
    <definedName name="pom_výp_zač" localSheetId="1">#REF!</definedName>
    <definedName name="pom_výp_zač">#REF!</definedName>
    <definedName name="pom_výpočty" localSheetId="10">#REF!</definedName>
    <definedName name="pom_výpočty" localSheetId="22">#REF!</definedName>
    <definedName name="pom_výpočty" localSheetId="23">#REF!</definedName>
    <definedName name="pom_výpočty" localSheetId="21">#REF!</definedName>
    <definedName name="pom_výpočty" localSheetId="24">#REF!</definedName>
    <definedName name="pom_výpočty" localSheetId="28">#REF!</definedName>
    <definedName name="pom_výpočty" localSheetId="26">#REF!</definedName>
    <definedName name="pom_výpočty" localSheetId="27">#REF!</definedName>
    <definedName name="pom_výpočty" localSheetId="11">#REF!</definedName>
    <definedName name="pom_výpočty" localSheetId="13">#REF!</definedName>
    <definedName name="pom_výpočty" localSheetId="18">#REF!</definedName>
    <definedName name="pom_výpočty" localSheetId="29">#REF!</definedName>
    <definedName name="pom_výpočty" localSheetId="30">#REF!</definedName>
    <definedName name="pom_výpočty" localSheetId="31">#REF!</definedName>
    <definedName name="pom_výpočty" localSheetId="35">#REF!</definedName>
    <definedName name="pom_výpočty" localSheetId="34">#REF!</definedName>
    <definedName name="pom_výpočty" localSheetId="33">#REF!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7">#REF!</definedName>
    <definedName name="pom_výpočty" localSheetId="48">#REF!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32">#REF!</definedName>
    <definedName name="pom_výpočty" localSheetId="42">#REF!</definedName>
    <definedName name="pom_výpočty" localSheetId="1">#REF!</definedName>
    <definedName name="pom_výpočty">#REF!</definedName>
    <definedName name="powersock" localSheetId="10" hidden="1">{#N/A,#N/A,TRUE,"Krycí list"}</definedName>
    <definedName name="powersock" localSheetId="22" hidden="1">{#N/A,#N/A,TRUE,"Krycí list"}</definedName>
    <definedName name="powersock" localSheetId="23" hidden="1">{#N/A,#N/A,TRUE,"Krycí list"}</definedName>
    <definedName name="powersock" localSheetId="21" hidden="1">{#N/A,#N/A,TRUE,"Krycí list"}</definedName>
    <definedName name="powersock" localSheetId="24" hidden="1">{#N/A,#N/A,TRUE,"Krycí list"}</definedName>
    <definedName name="powersock" localSheetId="28" hidden="1">{#N/A,#N/A,TRUE,"Krycí list"}</definedName>
    <definedName name="powersock" localSheetId="26" hidden="1">{#N/A,#N/A,TRUE,"Krycí list"}</definedName>
    <definedName name="powersock" localSheetId="27"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8" hidden="1">{#N/A,#N/A,TRUE,"Krycí list"}</definedName>
    <definedName name="powersock" localSheetId="29" hidden="1">{#N/A,#N/A,TRUE,"Krycí list"}</definedName>
    <definedName name="powersock" localSheetId="30" hidden="1">{#N/A,#N/A,TRUE,"Krycí list"}</definedName>
    <definedName name="powersock" localSheetId="31"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0" hidden="1">{#N/A,#N/A,TRUE,"Krycí list"}</definedName>
    <definedName name="powersock" localSheetId="17" hidden="1">{#N/A,#N/A,TRUE,"Krycí list"}</definedName>
    <definedName name="powersock" localSheetId="32" hidden="1">{#N/A,#N/A,TRUE,"Krycí list"}</definedName>
    <definedName name="powersock" localSheetId="42" hidden="1">{#N/A,#N/A,TRUE,"Krycí list"}</definedName>
    <definedName name="powersock" localSheetId="25" hidden="1">{#N/A,#N/A,TRUE,"Krycí list"}</definedName>
    <definedName name="powersock" localSheetId="20"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22" hidden="1">{#N/A,#N/A,TRUE,"Krycí list"}</definedName>
    <definedName name="PowerSocket" localSheetId="23" hidden="1">{#N/A,#N/A,TRUE,"Krycí list"}</definedName>
    <definedName name="PowerSocket" localSheetId="21" hidden="1">{#N/A,#N/A,TRUE,"Krycí list"}</definedName>
    <definedName name="PowerSocket" localSheetId="24" hidden="1">{#N/A,#N/A,TRUE,"Krycí list"}</definedName>
    <definedName name="PowerSocket" localSheetId="28" hidden="1">{#N/A,#N/A,TRUE,"Krycí list"}</definedName>
    <definedName name="PowerSocket" localSheetId="26" hidden="1">{#N/A,#N/A,TRUE,"Krycí list"}</definedName>
    <definedName name="PowerSocket" localSheetId="27"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8" hidden="1">{#N/A,#N/A,TRUE,"Krycí list"}</definedName>
    <definedName name="PowerSocket" localSheetId="29" hidden="1">{#N/A,#N/A,TRUE,"Krycí list"}</definedName>
    <definedName name="PowerSocket" localSheetId="30" hidden="1">{#N/A,#N/A,TRUE,"Krycí list"}</definedName>
    <definedName name="PowerSocket" localSheetId="31"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0" hidden="1">{#N/A,#N/A,TRUE,"Krycí list"}</definedName>
    <definedName name="PowerSocket" localSheetId="17" hidden="1">{#N/A,#N/A,TRUE,"Krycí list"}</definedName>
    <definedName name="PowerSocket" localSheetId="32" hidden="1">{#N/A,#N/A,TRUE,"Krycí list"}</definedName>
    <definedName name="PowerSocket" localSheetId="42" hidden="1">{#N/A,#N/A,TRUE,"Krycí list"}</definedName>
    <definedName name="PowerSocket" localSheetId="25" hidden="1">{#N/A,#N/A,TRUE,"Krycí list"}</definedName>
    <definedName name="PowerSocket" localSheetId="20" hidden="1">{#N/A,#N/A,TRUE,"Krycí list"}</definedName>
    <definedName name="PowerSocket" localSheetId="1" hidden="1">{#N/A,#N/A,TRUE,"Krycí list"}</definedName>
    <definedName name="PowerSocket" hidden="1">{#N/A,#N/A,TRUE,"Krycí list"}</definedName>
    <definedName name="Poznamka" localSheetId="10">#REF!</definedName>
    <definedName name="Poznamka" localSheetId="22">#REF!</definedName>
    <definedName name="Poznamka" localSheetId="23">#REF!</definedName>
    <definedName name="Poznamka" localSheetId="21">#REF!</definedName>
    <definedName name="Poznamka" localSheetId="24">#REF!</definedName>
    <definedName name="Poznamka" localSheetId="28">#REF!</definedName>
    <definedName name="Poznamka" localSheetId="26">#REF!</definedName>
    <definedName name="Poznamka" localSheetId="27">#REF!</definedName>
    <definedName name="Poznamka" localSheetId="11">#REF!</definedName>
    <definedName name="Poznamka" localSheetId="12">#REF!</definedName>
    <definedName name="Poznamka" localSheetId="13">#REF!</definedName>
    <definedName name="Poznamka" localSheetId="18">#REF!</definedName>
    <definedName name="Poznamka" localSheetId="29">#REF!</definedName>
    <definedName name="Poznamka" localSheetId="30">#REF!</definedName>
    <definedName name="Poznamka" localSheetId="31">#REF!</definedName>
    <definedName name="Poznamka" localSheetId="35">#REF!</definedName>
    <definedName name="Poznamka" localSheetId="34">#REF!</definedName>
    <definedName name="Poznamka" localSheetId="33">#REF!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7">#REF!</definedName>
    <definedName name="Poznamka" localSheetId="48">#REF!</definedName>
    <definedName name="Poznamka" localSheetId="43">#REF!</definedName>
    <definedName name="Poznamka" localSheetId="44">#REF!</definedName>
    <definedName name="Poznamka" localSheetId="45">#REF!</definedName>
    <definedName name="Poznamka" localSheetId="46">#REF!</definedName>
    <definedName name="Poznamka" localSheetId="0">#REF!</definedName>
    <definedName name="Poznamka" localSheetId="17">#REF!</definedName>
    <definedName name="Poznamka" localSheetId="32">#REF!</definedName>
    <definedName name="Poznamka" localSheetId="42">#REF!</definedName>
    <definedName name="Poznamka" localSheetId="25">#REF!</definedName>
    <definedName name="Poznamka" localSheetId="20">#REF!</definedName>
    <definedName name="Poznamka" localSheetId="1">#REF!</definedName>
    <definedName name="Poznamka">#REF!</definedName>
    <definedName name="poznámka" localSheetId="10">#REF!</definedName>
    <definedName name="poznámka" localSheetId="22">#REF!</definedName>
    <definedName name="poznámka" localSheetId="23">#REF!</definedName>
    <definedName name="poznámka" localSheetId="21">#REF!</definedName>
    <definedName name="poznámka" localSheetId="24">#REF!</definedName>
    <definedName name="poznámka" localSheetId="28">#REF!</definedName>
    <definedName name="poznámka" localSheetId="26">#REF!</definedName>
    <definedName name="poznámka" localSheetId="27">#REF!</definedName>
    <definedName name="poznámka" localSheetId="11">#REF!</definedName>
    <definedName name="poznámka" localSheetId="12">#REF!</definedName>
    <definedName name="poznámka" localSheetId="13">#REF!</definedName>
    <definedName name="poznámka" localSheetId="18">#REF!</definedName>
    <definedName name="poznámka" localSheetId="29">#REF!</definedName>
    <definedName name="poznámka" localSheetId="30">#REF!</definedName>
    <definedName name="poznámka" localSheetId="31">#REF!</definedName>
    <definedName name="poznámka" localSheetId="35">#REF!</definedName>
    <definedName name="poznámka" localSheetId="34">#REF!</definedName>
    <definedName name="poznámka" localSheetId="33">#REF!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7">#REF!</definedName>
    <definedName name="poznámka" localSheetId="48">#REF!</definedName>
    <definedName name="poznámka" localSheetId="43">#REF!</definedName>
    <definedName name="poznámka" localSheetId="44">#REF!</definedName>
    <definedName name="poznámka" localSheetId="45">#REF!</definedName>
    <definedName name="poznámka" localSheetId="46">#REF!</definedName>
    <definedName name="poznámka" localSheetId="17">#REF!</definedName>
    <definedName name="poznámka" localSheetId="32">#REF!</definedName>
    <definedName name="poznámka" localSheetId="42">#REF!</definedName>
    <definedName name="poznámka" localSheetId="25">#REF!</definedName>
    <definedName name="poznámka" localSheetId="20">#REF!</definedName>
    <definedName name="poznámka" localSheetId="1">#REF!</definedName>
    <definedName name="poznámka">#REF!</definedName>
    <definedName name="prep_schem" localSheetId="10">#REF!</definedName>
    <definedName name="prep_schem" localSheetId="22">#REF!</definedName>
    <definedName name="prep_schem" localSheetId="23">#REF!</definedName>
    <definedName name="prep_schem" localSheetId="21">#REF!</definedName>
    <definedName name="prep_schem" localSheetId="24">#REF!</definedName>
    <definedName name="prep_schem" localSheetId="28">#REF!</definedName>
    <definedName name="prep_schem" localSheetId="26">#REF!</definedName>
    <definedName name="prep_schem" localSheetId="27">#REF!</definedName>
    <definedName name="prep_schem" localSheetId="11">#REF!</definedName>
    <definedName name="prep_schem" localSheetId="12">#REF!</definedName>
    <definedName name="prep_schem" localSheetId="13">#REF!</definedName>
    <definedName name="prep_schem" localSheetId="18">#REF!</definedName>
    <definedName name="prep_schem" localSheetId="29">#REF!</definedName>
    <definedName name="prep_schem" localSheetId="30">#REF!</definedName>
    <definedName name="prep_schem" localSheetId="31">#REF!</definedName>
    <definedName name="prep_schem" localSheetId="35">#REF!</definedName>
    <definedName name="prep_schem" localSheetId="34">#REF!</definedName>
    <definedName name="prep_schem" localSheetId="33">#REF!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7">#REF!</definedName>
    <definedName name="prep_schem" localSheetId="48">#REF!</definedName>
    <definedName name="prep_schem" localSheetId="43">#REF!</definedName>
    <definedName name="prep_schem" localSheetId="44">#REF!</definedName>
    <definedName name="prep_schem" localSheetId="45">#REF!</definedName>
    <definedName name="prep_schem" localSheetId="46">#REF!</definedName>
    <definedName name="prep_schem" localSheetId="17">#REF!</definedName>
    <definedName name="prep_schem" localSheetId="32">#REF!</definedName>
    <definedName name="prep_schem" localSheetId="42">#REF!</definedName>
    <definedName name="prep_schem" localSheetId="25">#REF!</definedName>
    <definedName name="prep_schem" localSheetId="20">#REF!</definedName>
    <definedName name="prep_schem" localSheetId="1">#REF!</definedName>
    <definedName name="prep_schem">#REF!</definedName>
    <definedName name="Princ" localSheetId="10">#REF!</definedName>
    <definedName name="Princ" localSheetId="22">#REF!</definedName>
    <definedName name="Princ" localSheetId="23">#REF!</definedName>
    <definedName name="Princ" localSheetId="21">#REF!</definedName>
    <definedName name="Princ" localSheetId="24">#REF!</definedName>
    <definedName name="Princ" localSheetId="28">#REF!</definedName>
    <definedName name="Princ" localSheetId="26">#REF!</definedName>
    <definedName name="Princ" localSheetId="27">#REF!</definedName>
    <definedName name="Princ" localSheetId="11">#REF!</definedName>
    <definedName name="Princ" localSheetId="13">#REF!</definedName>
    <definedName name="Princ" localSheetId="18">#REF!</definedName>
    <definedName name="Princ" localSheetId="29">#REF!</definedName>
    <definedName name="Princ" localSheetId="30">#REF!</definedName>
    <definedName name="Princ" localSheetId="31">#REF!</definedName>
    <definedName name="Princ" localSheetId="35">#REF!</definedName>
    <definedName name="Princ" localSheetId="34">#REF!</definedName>
    <definedName name="Princ" localSheetId="33">#REF!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7">#REF!</definedName>
    <definedName name="Princ" localSheetId="48">#REF!</definedName>
    <definedName name="Princ" localSheetId="43">#REF!</definedName>
    <definedName name="Princ" localSheetId="44">#REF!</definedName>
    <definedName name="Princ" localSheetId="45">#REF!</definedName>
    <definedName name="Princ" localSheetId="46">#REF!</definedName>
    <definedName name="Princ" localSheetId="32">#REF!</definedName>
    <definedName name="Princ" localSheetId="42">#REF!</definedName>
    <definedName name="Princ" localSheetId="1">#REF!</definedName>
    <definedName name="Princ">#REF!</definedName>
    <definedName name="Print_Area" localSheetId="29">'D.2.1. PŘÍPOJKA VODOVODU'!$A$1:$I$219</definedName>
    <definedName name="Print_Area" localSheetId="31">'D.2.2. PŘÍPOJKA KANALIZACE'!$A$1:$I$246</definedName>
    <definedName name="Print_Area" localSheetId="34">'D.2.3. AREÁL DEŠŤOVÁ KANAL.'!$A$1:$I$508</definedName>
    <definedName name="Print_Area" localSheetId="33">'D.2.3. AREÁL SPLAŠKOVÁ KANAL.'!$A$1:$I$467</definedName>
    <definedName name="Print_Area" localSheetId="0">KL!$A$1:$I$80</definedName>
    <definedName name="Print_Area" localSheetId="20">'REKAPITULACE - SÚ'!$A$1:$C$11</definedName>
    <definedName name="Print_Area_Reset" localSheetId="10">OFFSET('D.1.4.1. ZTI'!Full_Print,0,0,'D.1.4.1. ZTI'!Last_Row)</definedName>
    <definedName name="Print_Area_Reset" localSheetId="22">OFFSET('D.1.4.10.1. MOBILIÁŘ'!Full_Print,0,0,'D.1.4.10.1. MOBILIÁŘ'!Last_Row)</definedName>
    <definedName name="Print_Area_Reset" localSheetId="23">OFFSET('D.1.4.10.1. OPLOCENÍ'!Full_Print,0,0,'D.1.4.10.1. OPLOCENÍ'!Last_Row)</definedName>
    <definedName name="Print_Area_Reset" localSheetId="21">OFFSET('D.1.4.10.1. SADOVÉ ÚPRAVY'!Full_Print,0,0,'D.1.4.10.1. SADOVÉ ÚPRAVY'!Last_Row)</definedName>
    <definedName name="Print_Area_Reset" localSheetId="24">OFFSET('D.1.4.10.2. ZP. PLOCHY A KOMUN.'!Full_Print,0,0,'D.1.4.10.2. ZP. PLOCHY A KOMUN.'!Last_Row)</definedName>
    <definedName name="Print_Area_Reset" localSheetId="28">OFFSET('D.1.4.10.3. DROBNÁ ARCH. - KOL.'!Full_Print,0,0,'D.1.4.10.3. DROBNÁ ARCH. - KOL.'!Last_Row)</definedName>
    <definedName name="Print_Area_Reset" localSheetId="26">OFFSET('D.1.4.10.3. DROBNÁ ARCH. - SKL.'!Full_Print,0,0,'D.1.4.10.3. DROBNÁ ARCH. - SKL.'!Last_Row)</definedName>
    <definedName name="Print_Area_Reset" localSheetId="27">OFFSET('D.1.4.10.3. DROBNÁ ARCH. - ZÁZ.'!Full_Print,0,0,'D.1.4.10.3. DROBNÁ ARCH. - ZÁZ.'!Last_Row)</definedName>
    <definedName name="Print_Area_Reset" localSheetId="11">OFFSET('D.1.4.2. ODBĚR. PLYN. ZAŘÍZ.'!Full_Print,0,0,'D.1.4.2. ODBĚR. PLYN. ZAŘÍZ.'!Last_Row)</definedName>
    <definedName name="Print_Area_Reset" localSheetId="12">OFFSET(Full_Print,0,0,'D.1.4.3. VZDUCHOTECHNIKA'!Last_Row)</definedName>
    <definedName name="Print_Area_Reset" localSheetId="13">OFFSET('D.1.4.4. VYTÁPĚNÍ'!Full_Print,0,0,'D.1.4.4. VYTÁPĚNÍ'!Last_Row)</definedName>
    <definedName name="Print_Area_Reset" localSheetId="18">OFFSET('D.1.4.8. EL. KOMUNIKACE'!Full_Print,0,0,'D.1.4.8. EL. KOMUNIKACE'!Last_Row)</definedName>
    <definedName name="Print_Area_Reset" localSheetId="29">OFFSET('D.2.1. PŘÍPOJKA VODOVODU'!Full_Print,0,0,'D.2.1. PŘÍPOJKA VODOVODU'!Last_Row)</definedName>
    <definedName name="Print_Area_Reset" localSheetId="30">OFFSET('D.2.1.1. AREÁLOVÝ VODOVOD'!Full_Print,0,0,'D.2.1.1. AREÁLOVÝ VODOVOD'!Last_Row)</definedName>
    <definedName name="Print_Area_Reset" localSheetId="31">OFFSET('D.2.2. PŘÍPOJKA KANALIZACE'!Full_Print,0,0,'D.2.2. PŘÍPOJKA KANALIZACE'!Last_Row)</definedName>
    <definedName name="Print_Area_Reset" localSheetId="35">OFFSET('D.2.3. AKUMULAČNÍ NÁDRŽ'!Full_Print,0,0,'D.2.3. AKUMULAČNÍ NÁDRŽ'!Last_Row)</definedName>
    <definedName name="Print_Area_Reset" localSheetId="34">OFFSET('D.2.3. AREÁL DEŠŤOVÁ KANAL.'!Full_Print,0,0,'D.2.3. AREÁL DEŠŤOVÁ KANAL.'!Last_Row)</definedName>
    <definedName name="Print_Area_Reset" localSheetId="33">OFFSET('D.2.3. AREÁL SPLAŠKOVÁ KANAL.'!Full_Print,0,0,'D.2.3. AREÁL SPLAŠKOVÁ KANAL.'!Last_Row)</definedName>
    <definedName name="Print_Area_Reset" localSheetId="36">OFFSET('D.2.3. ČERPACÍ STANICE'!Full_Print,0,0,'D.2.3. ČERPACÍ STANICE'!Last_Row)</definedName>
    <definedName name="Print_Area_Reset" localSheetId="37">OFFSET('D.2.3. VSAKOVACÍ NÁDRŽE'!Full_Print,0,0,'D.2.3. VSAKOVACÍ NÁDRŽE'!Last_Row)</definedName>
    <definedName name="Print_Area_Reset" localSheetId="38">OFFSET('D.2.4. PŘELOŽKA STL PLYNOVODU'!Full_Print,0,0,'D.2.4. PŘELOŽKA STL PLYNOVODU'!Last_Row)</definedName>
    <definedName name="Print_Area_Reset" localSheetId="39">OFFSET('D.2.5. PŘÍPOJKA NN'!Full_Print,0,0,'D.2.5. PŘÍPOJKA NN'!Last_Row)</definedName>
    <definedName name="Print_Area_Reset" localSheetId="40">OFFSET('D.2.6. PŘÍPOJKA EL. KOMUNIKACE'!Full_Print,0,0,'D.2.6. PŘÍPOJKA EL. KOMUNIKACE'!Last_Row)</definedName>
    <definedName name="Print_Area_Reset" localSheetId="41">OFFSET('D.2.7. AREÁL OSVĚTLENÍ - TR. A1'!Full_Print,0,0,'D.2.7. AREÁL OSVĚTLENÍ - TR. A1'!Last_Row)</definedName>
    <definedName name="Print_Area_Reset" localSheetId="47">OFFSET('D.2.8. AREÁL VEDENÍ NN-TR.  NN5'!Full_Print,0,0,'D.2.8. AREÁL VEDENÍ NN-TR.  NN5'!Last_Row)</definedName>
    <definedName name="Print_Area_Reset" localSheetId="48">OFFSET('D.2.8. AREÁL VEDENÍ NN-TR.  NN6'!Full_Print,0,0,'D.2.8. AREÁL VEDENÍ NN-TR.  NN6'!Last_Row)</definedName>
    <definedName name="Print_Area_Reset" localSheetId="43">OFFSET('D.2.8. AREÁL VEDENÍ NN-TR. NN1 '!Full_Print,0,0,'D.2.8. AREÁL VEDENÍ NN-TR. NN1 '!Last_Row)</definedName>
    <definedName name="Print_Area_Reset" localSheetId="44">OFFSET('D.2.8. AREÁL VEDENÍ NN-TR. NN2'!Full_Print,0,0,'D.2.8. AREÁL VEDENÍ NN-TR. NN2'!Last_Row)</definedName>
    <definedName name="Print_Area_Reset" localSheetId="45">OFFSET('D.2.8. AREÁL VEDENÍ NN-TR. NN3'!Full_Print,0,0,'D.2.8. AREÁL VEDENÍ NN-TR. NN3'!Last_Row)</definedName>
    <definedName name="Print_Area_Reset" localSheetId="46">OFFSET('D.2.8. AREÁL VEDENÍ NN-TR. NN4'!Full_Print,0,0,'D.2.8. AREÁL VEDENÍ NN-TR. NN4'!Last_Row)</definedName>
    <definedName name="Print_Area_Reset" localSheetId="0">OFFSET(Full_Print,0,0,KL!Last_Row)</definedName>
    <definedName name="Print_Area_Reset" localSheetId="17">OFFSET(Full_Print,0,0,REKAPITULACE!Last_Row)</definedName>
    <definedName name="Print_Area_Reset" localSheetId="32">OFFSET('REKAPITULACE - AREÁL KAN'!Full_Print,0,0,'REKAPITULACE - AREÁL KAN'!Last_Row)</definedName>
    <definedName name="Print_Area_Reset" localSheetId="42">OFFSET('REKAPITULACE - AREÁL NN'!Full_Print,0,0,'REKAPITULACE - AREÁL NN'!Last_Row)</definedName>
    <definedName name="Print_Area_Reset" localSheetId="25">OFFSET(Full_Print,0,0,'REKAPITULACE - DA'!Last_Row)</definedName>
    <definedName name="Print_Area_Reset" localSheetId="20">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22">#REF!</definedName>
    <definedName name="Projektant" localSheetId="23">#REF!</definedName>
    <definedName name="Projektant" localSheetId="21">#REF!</definedName>
    <definedName name="Projektant" localSheetId="24">#REF!</definedName>
    <definedName name="Projektant" localSheetId="28">#REF!</definedName>
    <definedName name="Projektant" localSheetId="26">#REF!</definedName>
    <definedName name="Projektant" localSheetId="27">#REF!</definedName>
    <definedName name="Projektant" localSheetId="11">#REF!</definedName>
    <definedName name="Projektant" localSheetId="12">#REF!</definedName>
    <definedName name="Projektant" localSheetId="13">#REF!</definedName>
    <definedName name="Projektant" localSheetId="18">#REF!</definedName>
    <definedName name="Projektant" localSheetId="29">#REF!</definedName>
    <definedName name="Projektant" localSheetId="30">#REF!</definedName>
    <definedName name="Projektant" localSheetId="31">#REF!</definedName>
    <definedName name="Projektant" localSheetId="35">#REF!</definedName>
    <definedName name="Projektant" localSheetId="34">#REF!</definedName>
    <definedName name="Projektant" localSheetId="33">#REF!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7">#REF!</definedName>
    <definedName name="Projektant" localSheetId="48">#REF!</definedName>
    <definedName name="Projektant" localSheetId="43">#REF!</definedName>
    <definedName name="Projektant" localSheetId="44">#REF!</definedName>
    <definedName name="Projektant" localSheetId="45">#REF!</definedName>
    <definedName name="Projektant" localSheetId="46">#REF!</definedName>
    <definedName name="Projektant" localSheetId="0">#REF!</definedName>
    <definedName name="Projektant" localSheetId="17">#REF!</definedName>
    <definedName name="Projektant" localSheetId="32">#REF!</definedName>
    <definedName name="Projektant" localSheetId="42">#REF!</definedName>
    <definedName name="Projektant" localSheetId="25">#REF!</definedName>
    <definedName name="Projektant" localSheetId="20">#REF!</definedName>
    <definedName name="Projektant" localSheetId="1">#REF!</definedName>
    <definedName name="Projektant">#REF!</definedName>
    <definedName name="PSV" localSheetId="10">#REF!</definedName>
    <definedName name="PSV" localSheetId="22">#REF!</definedName>
    <definedName name="PSV" localSheetId="23">#REF!</definedName>
    <definedName name="PSV" localSheetId="21">#REF!</definedName>
    <definedName name="PSV" localSheetId="24">#REF!</definedName>
    <definedName name="PSV" localSheetId="28">#REF!</definedName>
    <definedName name="PSV" localSheetId="26">#REF!</definedName>
    <definedName name="PSV" localSheetId="27">#REF!</definedName>
    <definedName name="PSV" localSheetId="11">#REF!</definedName>
    <definedName name="PSV" localSheetId="12">#REF!</definedName>
    <definedName name="PSV" localSheetId="13">#REF!</definedName>
    <definedName name="PSV" localSheetId="18">#REF!</definedName>
    <definedName name="PSV" localSheetId="29">#REF!</definedName>
    <definedName name="PSV" localSheetId="30">#REF!</definedName>
    <definedName name="PSV" localSheetId="31">#REF!</definedName>
    <definedName name="PSV" localSheetId="35">#REF!</definedName>
    <definedName name="PSV" localSheetId="34">#REF!</definedName>
    <definedName name="PSV" localSheetId="33">#REF!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7">#REF!</definedName>
    <definedName name="PSV" localSheetId="48">#REF!</definedName>
    <definedName name="PSV" localSheetId="43">#REF!</definedName>
    <definedName name="PSV" localSheetId="44">#REF!</definedName>
    <definedName name="PSV" localSheetId="45">#REF!</definedName>
    <definedName name="PSV" localSheetId="46">#REF!</definedName>
    <definedName name="PSV" localSheetId="0">#REF!</definedName>
    <definedName name="PSV" localSheetId="17">#REF!</definedName>
    <definedName name="PSV" localSheetId="32">#REF!</definedName>
    <definedName name="PSV" localSheetId="42">#REF!</definedName>
    <definedName name="PSV" localSheetId="25">#REF!</definedName>
    <definedName name="PSV" localSheetId="20">#REF!</definedName>
    <definedName name="PSV" localSheetId="1">#REF!</definedName>
    <definedName name="PSV">#REF!</definedName>
    <definedName name="PSV0" localSheetId="10">#REF!</definedName>
    <definedName name="PSV0" localSheetId="22">#REF!</definedName>
    <definedName name="PSV0" localSheetId="23">#REF!</definedName>
    <definedName name="PSV0" localSheetId="21">#REF!</definedName>
    <definedName name="PSV0" localSheetId="24">#REF!</definedName>
    <definedName name="PSV0" localSheetId="28">#REF!</definedName>
    <definedName name="PSV0" localSheetId="26">#REF!</definedName>
    <definedName name="PSV0" localSheetId="27">#REF!</definedName>
    <definedName name="PSV0" localSheetId="11">#REF!</definedName>
    <definedName name="PSV0" localSheetId="12">#REF!</definedName>
    <definedName name="PSV0" localSheetId="13">#REF!</definedName>
    <definedName name="PSV0" localSheetId="18">#REF!</definedName>
    <definedName name="PSV0" localSheetId="29">#REF!</definedName>
    <definedName name="PSV0" localSheetId="30">#REF!</definedName>
    <definedName name="PSV0" localSheetId="31">#REF!</definedName>
    <definedName name="PSV0" localSheetId="35">#REF!</definedName>
    <definedName name="PSV0" localSheetId="34">#REF!</definedName>
    <definedName name="PSV0" localSheetId="33">#REF!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7">#REF!</definedName>
    <definedName name="PSV0" localSheetId="48">#REF!</definedName>
    <definedName name="PSV0" localSheetId="43">#REF!</definedName>
    <definedName name="PSV0" localSheetId="44">#REF!</definedName>
    <definedName name="PSV0" localSheetId="45">#REF!</definedName>
    <definedName name="PSV0" localSheetId="46">#REF!</definedName>
    <definedName name="PSV0" localSheetId="0">'[11]002-A.1. Archstav  reseni'!#REF!</definedName>
    <definedName name="PSV0" localSheetId="17">#REF!</definedName>
    <definedName name="PSV0" localSheetId="32">#REF!</definedName>
    <definedName name="PSV0" localSheetId="42">#REF!</definedName>
    <definedName name="PSV0" localSheetId="1">#REF!</definedName>
    <definedName name="PSV0">#REF!</definedName>
    <definedName name="QQ" localSheetId="10" hidden="1">{#N/A,#N/A,TRUE,"Krycí list"}</definedName>
    <definedName name="QQ" localSheetId="22" hidden="1">{#N/A,#N/A,TRUE,"Krycí list"}</definedName>
    <definedName name="QQ" localSheetId="23" hidden="1">{#N/A,#N/A,TRUE,"Krycí list"}</definedName>
    <definedName name="QQ" localSheetId="21" hidden="1">{#N/A,#N/A,TRUE,"Krycí list"}</definedName>
    <definedName name="QQ" localSheetId="24" hidden="1">{#N/A,#N/A,TRUE,"Krycí list"}</definedName>
    <definedName name="QQ" localSheetId="28" hidden="1">{#N/A,#N/A,TRUE,"Krycí list"}</definedName>
    <definedName name="QQ" localSheetId="26" hidden="1">{#N/A,#N/A,TRUE,"Krycí list"}</definedName>
    <definedName name="QQ" localSheetId="27"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8" hidden="1">{#N/A,#N/A,TRUE,"Krycí list"}</definedName>
    <definedName name="QQ" localSheetId="29" hidden="1">{#N/A,#N/A,TRUE,"Krycí list"}</definedName>
    <definedName name="QQ" localSheetId="30" hidden="1">{#N/A,#N/A,TRUE,"Krycí list"}</definedName>
    <definedName name="QQ" localSheetId="31"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0" hidden="1">{#N/A,#N/A,TRUE,"Krycí list"}</definedName>
    <definedName name="QQ" localSheetId="17" hidden="1">{#N/A,#N/A,TRUE,"Krycí list"}</definedName>
    <definedName name="QQ" localSheetId="32" hidden="1">{#N/A,#N/A,TRUE,"Krycí list"}</definedName>
    <definedName name="QQ" localSheetId="42" hidden="1">{#N/A,#N/A,TRUE,"Krycí list"}</definedName>
    <definedName name="QQ" localSheetId="25" hidden="1">{#N/A,#N/A,TRUE,"Krycí list"}</definedName>
    <definedName name="QQ" localSheetId="20" hidden="1">{#N/A,#N/A,TRUE,"Krycí list"}</definedName>
    <definedName name="QQ" localSheetId="1" hidden="1">{#N/A,#N/A,TRUE,"Krycí list"}</definedName>
    <definedName name="QQ" hidden="1">{#N/A,#N/A,TRUE,"Krycí list"}</definedName>
    <definedName name="QQQ" localSheetId="10" hidden="1">{#N/A,#N/A,TRUE,"Krycí list"}</definedName>
    <definedName name="QQQ" localSheetId="22" hidden="1">{#N/A,#N/A,TRUE,"Krycí list"}</definedName>
    <definedName name="QQQ" localSheetId="23" hidden="1">{#N/A,#N/A,TRUE,"Krycí list"}</definedName>
    <definedName name="QQQ" localSheetId="21" hidden="1">{#N/A,#N/A,TRUE,"Krycí list"}</definedName>
    <definedName name="QQQ" localSheetId="24" hidden="1">{#N/A,#N/A,TRUE,"Krycí list"}</definedName>
    <definedName name="QQQ" localSheetId="28" hidden="1">{#N/A,#N/A,TRUE,"Krycí list"}</definedName>
    <definedName name="QQQ" localSheetId="26" hidden="1">{#N/A,#N/A,TRUE,"Krycí list"}</definedName>
    <definedName name="QQQ" localSheetId="27"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8" hidden="1">{#N/A,#N/A,TRUE,"Krycí list"}</definedName>
    <definedName name="QQQ" localSheetId="29" hidden="1">{#N/A,#N/A,TRUE,"Krycí list"}</definedName>
    <definedName name="QQQ" localSheetId="30" hidden="1">{#N/A,#N/A,TRUE,"Krycí list"}</definedName>
    <definedName name="QQQ" localSheetId="31"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0" hidden="1">{#N/A,#N/A,TRUE,"Krycí list"}</definedName>
    <definedName name="QQQ" localSheetId="17" hidden="1">{#N/A,#N/A,TRUE,"Krycí list"}</definedName>
    <definedName name="QQQ" localSheetId="32" hidden="1">{#N/A,#N/A,TRUE,"Krycí list"}</definedName>
    <definedName name="QQQ" localSheetId="42" hidden="1">{#N/A,#N/A,TRUE,"Krycí list"}</definedName>
    <definedName name="QQQ" localSheetId="25" hidden="1">{#N/A,#N/A,TRUE,"Krycí list"}</definedName>
    <definedName name="QQQ" localSheetId="20" hidden="1">{#N/A,#N/A,TRUE,"Krycí list"}</definedName>
    <definedName name="QQQ" localSheetId="1" hidden="1">{#N/A,#N/A,TRUE,"Krycí list"}</definedName>
    <definedName name="QQQ" hidden="1">{#N/A,#N/A,TRUE,"Krycí list"}</definedName>
    <definedName name="rekapitulace" localSheetId="10">#REF!</definedName>
    <definedName name="rekapitulace" localSheetId="22">#REF!</definedName>
    <definedName name="rekapitulace" localSheetId="23">#REF!</definedName>
    <definedName name="rekapitulace" localSheetId="21">#REF!</definedName>
    <definedName name="rekapitulace" localSheetId="24">#REF!</definedName>
    <definedName name="rekapitulace" localSheetId="28">#REF!</definedName>
    <definedName name="rekapitulace" localSheetId="26">#REF!</definedName>
    <definedName name="rekapitulace" localSheetId="27">#REF!</definedName>
    <definedName name="rekapitulace" localSheetId="11">#REF!</definedName>
    <definedName name="rekapitulace" localSheetId="12">#REF!</definedName>
    <definedName name="rekapitulace" localSheetId="13">#REF!</definedName>
    <definedName name="rekapitulace" localSheetId="18">#REF!</definedName>
    <definedName name="rekapitulace" localSheetId="29">#REF!</definedName>
    <definedName name="rekapitulace" localSheetId="30">#REF!</definedName>
    <definedName name="rekapitulace" localSheetId="31">#REF!</definedName>
    <definedName name="rekapitulace" localSheetId="35">#REF!</definedName>
    <definedName name="rekapitulace" localSheetId="34">#REF!</definedName>
    <definedName name="rekapitulace" localSheetId="33">#REF!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7">#REF!</definedName>
    <definedName name="rekapitulace" localSheetId="48">#REF!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17">#REF!</definedName>
    <definedName name="rekapitulace" localSheetId="32">#REF!</definedName>
    <definedName name="rekapitulace" localSheetId="42">#REF!</definedName>
    <definedName name="rekapitulace" localSheetId="25">#REF!</definedName>
    <definedName name="rekapitulace" localSheetId="20">#REF!</definedName>
    <definedName name="rekapitulace" localSheetId="1">#REF!</definedName>
    <definedName name="rekapitulace">#REF!</definedName>
    <definedName name="rozp" localSheetId="10" hidden="1">{#N/A,#N/A,TRUE,"Krycí list"}</definedName>
    <definedName name="rozp" localSheetId="22" hidden="1">{#N/A,#N/A,TRUE,"Krycí list"}</definedName>
    <definedName name="rozp" localSheetId="23" hidden="1">{#N/A,#N/A,TRUE,"Krycí list"}</definedName>
    <definedName name="rozp" localSheetId="21" hidden="1">{#N/A,#N/A,TRUE,"Krycí list"}</definedName>
    <definedName name="rozp" localSheetId="24" hidden="1">{#N/A,#N/A,TRUE,"Krycí list"}</definedName>
    <definedName name="rozp" localSheetId="28" hidden="1">{#N/A,#N/A,TRUE,"Krycí list"}</definedName>
    <definedName name="rozp" localSheetId="26" hidden="1">{#N/A,#N/A,TRUE,"Krycí list"}</definedName>
    <definedName name="rozp" localSheetId="27"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8" hidden="1">{#N/A,#N/A,TRUE,"Krycí list"}</definedName>
    <definedName name="rozp" localSheetId="29" hidden="1">{#N/A,#N/A,TRUE,"Krycí list"}</definedName>
    <definedName name="rozp" localSheetId="30" hidden="1">{#N/A,#N/A,TRUE,"Krycí list"}</definedName>
    <definedName name="rozp" localSheetId="31"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0" hidden="1">{#N/A,#N/A,TRUE,"Krycí list"}</definedName>
    <definedName name="rozp" localSheetId="17" hidden="1">{#N/A,#N/A,TRUE,"Krycí list"}</definedName>
    <definedName name="rozp" localSheetId="32" hidden="1">{#N/A,#N/A,TRUE,"Krycí list"}</definedName>
    <definedName name="rozp" localSheetId="42" hidden="1">{#N/A,#N/A,TRUE,"Krycí list"}</definedName>
    <definedName name="rozp" localSheetId="25" hidden="1">{#N/A,#N/A,TRUE,"Krycí list"}</definedName>
    <definedName name="rozp" localSheetId="20" hidden="1">{#N/A,#N/A,TRUE,"Krycí list"}</definedName>
    <definedName name="rozp" localSheetId="1" hidden="1">{#N/A,#N/A,TRUE,"Krycí list"}</definedName>
    <definedName name="rozp" hidden="1">{#N/A,#N/A,TRUE,"Krycí list"}</definedName>
    <definedName name="rozvržení_rozp" localSheetId="10">#REF!</definedName>
    <definedName name="rozvržení_rozp" localSheetId="22">#REF!</definedName>
    <definedName name="rozvržení_rozp" localSheetId="23">#REF!</definedName>
    <definedName name="rozvržení_rozp" localSheetId="21">#REF!</definedName>
    <definedName name="rozvržení_rozp" localSheetId="24">#REF!</definedName>
    <definedName name="rozvržení_rozp" localSheetId="28">#REF!</definedName>
    <definedName name="rozvržení_rozp" localSheetId="26">#REF!</definedName>
    <definedName name="rozvržení_rozp" localSheetId="27">#REF!</definedName>
    <definedName name="rozvržení_rozp" localSheetId="11">#REF!</definedName>
    <definedName name="rozvržení_rozp" localSheetId="12">#REF!</definedName>
    <definedName name="rozvržení_rozp" localSheetId="13">#REF!</definedName>
    <definedName name="rozvržení_rozp" localSheetId="18">#REF!</definedName>
    <definedName name="rozvržení_rozp" localSheetId="29">#REF!</definedName>
    <definedName name="rozvržení_rozp" localSheetId="30">#REF!</definedName>
    <definedName name="rozvržení_rozp" localSheetId="31">#REF!</definedName>
    <definedName name="rozvržení_rozp" localSheetId="35">#REF!</definedName>
    <definedName name="rozvržení_rozp" localSheetId="34">#REF!</definedName>
    <definedName name="rozvržení_rozp" localSheetId="33">#REF!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7">#REF!</definedName>
    <definedName name="rozvržení_rozp" localSheetId="48">#REF!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17">#REF!</definedName>
    <definedName name="rozvržení_rozp" localSheetId="32">#REF!</definedName>
    <definedName name="rozvržení_rozp" localSheetId="42">#REF!</definedName>
    <definedName name="rozvržení_rozp" localSheetId="25">#REF!</definedName>
    <definedName name="rozvržení_rozp" localSheetId="20">#REF!</definedName>
    <definedName name="rozvržení_rozp" localSheetId="1">#REF!</definedName>
    <definedName name="rozvržení_rozp">#REF!</definedName>
    <definedName name="saboproud" localSheetId="10" hidden="1">{#N/A,#N/A,TRUE,"Krycí list"}</definedName>
    <definedName name="saboproud" localSheetId="22" hidden="1">{#N/A,#N/A,TRUE,"Krycí list"}</definedName>
    <definedName name="saboproud" localSheetId="23" hidden="1">{#N/A,#N/A,TRUE,"Krycí list"}</definedName>
    <definedName name="saboproud" localSheetId="21" hidden="1">{#N/A,#N/A,TRUE,"Krycí list"}</definedName>
    <definedName name="saboproud" localSheetId="24" hidden="1">{#N/A,#N/A,TRUE,"Krycí list"}</definedName>
    <definedName name="saboproud" localSheetId="28" hidden="1">{#N/A,#N/A,TRUE,"Krycí list"}</definedName>
    <definedName name="saboproud" localSheetId="26" hidden="1">{#N/A,#N/A,TRUE,"Krycí list"}</definedName>
    <definedName name="saboproud" localSheetId="27"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8" hidden="1">{#N/A,#N/A,TRUE,"Krycí list"}</definedName>
    <definedName name="saboproud" localSheetId="29" hidden="1">{#N/A,#N/A,TRUE,"Krycí list"}</definedName>
    <definedName name="saboproud" localSheetId="30" hidden="1">{#N/A,#N/A,TRUE,"Krycí list"}</definedName>
    <definedName name="saboproud" localSheetId="31"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0" hidden="1">{#N/A,#N/A,TRUE,"Krycí list"}</definedName>
    <definedName name="saboproud" localSheetId="17" hidden="1">{#N/A,#N/A,TRUE,"Krycí list"}</definedName>
    <definedName name="saboproud" localSheetId="32" hidden="1">{#N/A,#N/A,TRUE,"Krycí list"}</definedName>
    <definedName name="saboproud" localSheetId="42" hidden="1">{#N/A,#N/A,TRUE,"Krycí list"}</definedName>
    <definedName name="saboproud" localSheetId="25" hidden="1">{#N/A,#N/A,TRUE,"Krycí list"}</definedName>
    <definedName name="saboproud" localSheetId="20" hidden="1">{#N/A,#N/A,TRUE,"Krycí list"}</definedName>
    <definedName name="saboproud" localSheetId="1" hidden="1">{#N/A,#N/A,TRUE,"Krycí list"}</definedName>
    <definedName name="saboproud" hidden="1">{#N/A,#N/A,TRUE,"Krycí list"}</definedName>
    <definedName name="SazbaDPH1" localSheetId="10">#REF!</definedName>
    <definedName name="SazbaDPH1" localSheetId="22">#REF!</definedName>
    <definedName name="SazbaDPH1" localSheetId="23">#REF!</definedName>
    <definedName name="SazbaDPH1" localSheetId="21">#REF!</definedName>
    <definedName name="SazbaDPH1" localSheetId="24">#REF!</definedName>
    <definedName name="SazbaDPH1" localSheetId="28">#REF!</definedName>
    <definedName name="SazbaDPH1" localSheetId="26">#REF!</definedName>
    <definedName name="SazbaDPH1" localSheetId="27">#REF!</definedName>
    <definedName name="SazbaDPH1" localSheetId="11">#REF!</definedName>
    <definedName name="SazbaDPH1" localSheetId="12">#REF!</definedName>
    <definedName name="SazbaDPH1" localSheetId="13">#REF!</definedName>
    <definedName name="SazbaDPH1" localSheetId="18">#REF!</definedName>
    <definedName name="SazbaDPH1" localSheetId="29">#REF!</definedName>
    <definedName name="SazbaDPH1" localSheetId="30">#REF!</definedName>
    <definedName name="SazbaDPH1" localSheetId="31">#REF!</definedName>
    <definedName name="SazbaDPH1" localSheetId="35">#REF!</definedName>
    <definedName name="SazbaDPH1" localSheetId="34">#REF!</definedName>
    <definedName name="SazbaDPH1" localSheetId="33">#REF!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7">#REF!</definedName>
    <definedName name="SazbaDPH1" localSheetId="48">#REF!</definedName>
    <definedName name="SazbaDPH1" localSheetId="43">#REF!</definedName>
    <definedName name="SazbaDPH1" localSheetId="44">#REF!</definedName>
    <definedName name="SazbaDPH1" localSheetId="45">#REF!</definedName>
    <definedName name="SazbaDPH1" localSheetId="46">#REF!</definedName>
    <definedName name="SazbaDPH1" localSheetId="0">KL!$D$21</definedName>
    <definedName name="SazbaDPH1" localSheetId="17">#REF!</definedName>
    <definedName name="SazbaDPH1" localSheetId="32">#REF!</definedName>
    <definedName name="SazbaDPH1" localSheetId="42">#REF!</definedName>
    <definedName name="SazbaDPH1" localSheetId="25">#REF!</definedName>
    <definedName name="SazbaDPH1" localSheetId="20">#REF!</definedName>
    <definedName name="SazbaDPH1" localSheetId="1">#REF!</definedName>
    <definedName name="SazbaDPH1">#REF!</definedName>
    <definedName name="SazbaDPH2" localSheetId="10">#REF!</definedName>
    <definedName name="SazbaDPH2" localSheetId="22">#REF!</definedName>
    <definedName name="SazbaDPH2" localSheetId="23">#REF!</definedName>
    <definedName name="SazbaDPH2" localSheetId="21">#REF!</definedName>
    <definedName name="SazbaDPH2" localSheetId="24">#REF!</definedName>
    <definedName name="SazbaDPH2" localSheetId="28">#REF!</definedName>
    <definedName name="SazbaDPH2" localSheetId="26">#REF!</definedName>
    <definedName name="SazbaDPH2" localSheetId="27">#REF!</definedName>
    <definedName name="SazbaDPH2" localSheetId="11">#REF!</definedName>
    <definedName name="SazbaDPH2" localSheetId="12">#REF!</definedName>
    <definedName name="SazbaDPH2" localSheetId="13">#REF!</definedName>
    <definedName name="SazbaDPH2" localSheetId="18">#REF!</definedName>
    <definedName name="SazbaDPH2" localSheetId="29">#REF!</definedName>
    <definedName name="SazbaDPH2" localSheetId="30">#REF!</definedName>
    <definedName name="SazbaDPH2" localSheetId="31">#REF!</definedName>
    <definedName name="SazbaDPH2" localSheetId="35">#REF!</definedName>
    <definedName name="SazbaDPH2" localSheetId="34">#REF!</definedName>
    <definedName name="SazbaDPH2" localSheetId="33">#REF!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7">#REF!</definedName>
    <definedName name="SazbaDPH2" localSheetId="48">#REF!</definedName>
    <definedName name="SazbaDPH2" localSheetId="43">#REF!</definedName>
    <definedName name="SazbaDPH2" localSheetId="44">#REF!</definedName>
    <definedName name="SazbaDPH2" localSheetId="45">#REF!</definedName>
    <definedName name="SazbaDPH2" localSheetId="46">#REF!</definedName>
    <definedName name="SazbaDPH2" localSheetId="0">KL!$D$24</definedName>
    <definedName name="SazbaDPH2" localSheetId="17">#REF!</definedName>
    <definedName name="SazbaDPH2" localSheetId="32">#REF!</definedName>
    <definedName name="SazbaDPH2" localSheetId="42">#REF!</definedName>
    <definedName name="SazbaDPH2" localSheetId="25">#REF!</definedName>
    <definedName name="SazbaDPH2" localSheetId="20">#REF!</definedName>
    <definedName name="SazbaDPH2" localSheetId="1">#REF!</definedName>
    <definedName name="SazbaDPH2">#REF!</definedName>
    <definedName name="Sched_Pay" localSheetId="10">#REF!</definedName>
    <definedName name="Sched_Pay" localSheetId="22">#REF!</definedName>
    <definedName name="Sched_Pay" localSheetId="23">#REF!</definedName>
    <definedName name="Sched_Pay" localSheetId="21">#REF!</definedName>
    <definedName name="Sched_Pay" localSheetId="24">#REF!</definedName>
    <definedName name="Sched_Pay" localSheetId="28">#REF!</definedName>
    <definedName name="Sched_Pay" localSheetId="26">#REF!</definedName>
    <definedName name="Sched_Pay" localSheetId="27">#REF!</definedName>
    <definedName name="Sched_Pay" localSheetId="11">#REF!</definedName>
    <definedName name="Sched_Pay" localSheetId="12">#REF!</definedName>
    <definedName name="Sched_Pay" localSheetId="13">#REF!</definedName>
    <definedName name="Sched_Pay" localSheetId="18">#REF!</definedName>
    <definedName name="Sched_Pay" localSheetId="29">#REF!</definedName>
    <definedName name="Sched_Pay" localSheetId="30">#REF!</definedName>
    <definedName name="Sched_Pay" localSheetId="31">#REF!</definedName>
    <definedName name="Sched_Pay" localSheetId="35">#REF!</definedName>
    <definedName name="Sched_Pay" localSheetId="34">#REF!</definedName>
    <definedName name="Sched_Pay" localSheetId="33">#REF!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7">#REF!</definedName>
    <definedName name="Sched_Pay" localSheetId="48">#REF!</definedName>
    <definedName name="Sched_Pay" localSheetId="43">#REF!</definedName>
    <definedName name="Sched_Pay" localSheetId="44">#REF!</definedName>
    <definedName name="Sched_Pay" localSheetId="45">#REF!</definedName>
    <definedName name="Sched_Pay" localSheetId="46">#REF!</definedName>
    <definedName name="Sched_Pay" localSheetId="17">#REF!</definedName>
    <definedName name="Sched_Pay" localSheetId="32">#REF!</definedName>
    <definedName name="Sched_Pay" localSheetId="42">#REF!</definedName>
    <definedName name="Sched_Pay" localSheetId="1">#REF!</definedName>
    <definedName name="Sched_Pay">#REF!</definedName>
    <definedName name="Scheduled_Extra_Payments" localSheetId="10">#REF!</definedName>
    <definedName name="Scheduled_Extra_Payments" localSheetId="22">#REF!</definedName>
    <definedName name="Scheduled_Extra_Payments" localSheetId="23">#REF!</definedName>
    <definedName name="Scheduled_Extra_Payments" localSheetId="21">#REF!</definedName>
    <definedName name="Scheduled_Extra_Payments" localSheetId="24">#REF!</definedName>
    <definedName name="Scheduled_Extra_Payments" localSheetId="28">#REF!</definedName>
    <definedName name="Scheduled_Extra_Payments" localSheetId="26">#REF!</definedName>
    <definedName name="Scheduled_Extra_Payments" localSheetId="27">#REF!</definedName>
    <definedName name="Scheduled_Extra_Payments" localSheetId="11">#REF!</definedName>
    <definedName name="Scheduled_Extra_Payments" localSheetId="13">#REF!</definedName>
    <definedName name="Scheduled_Extra_Payments" localSheetId="1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5">#REF!</definedName>
    <definedName name="Scheduled_Extra_Payments" localSheetId="34">#REF!</definedName>
    <definedName name="Scheduled_Extra_Payments" localSheetId="33">#REF!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7">#REF!</definedName>
    <definedName name="Scheduled_Extra_Payments" localSheetId="48">#REF!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32">#REF!</definedName>
    <definedName name="Scheduled_Extra_Payments" localSheetId="42">#REF!</definedName>
    <definedName name="Scheduled_Extra_Payments" localSheetId="1">#REF!</definedName>
    <definedName name="Scheduled_Extra_Payments">#REF!</definedName>
    <definedName name="Scheduled_Interest_Rate" localSheetId="10">#REF!</definedName>
    <definedName name="Scheduled_Interest_Rate" localSheetId="22">#REF!</definedName>
    <definedName name="Scheduled_Interest_Rate" localSheetId="23">#REF!</definedName>
    <definedName name="Scheduled_Interest_Rate" localSheetId="21">#REF!</definedName>
    <definedName name="Scheduled_Interest_Rate" localSheetId="24">#REF!</definedName>
    <definedName name="Scheduled_Interest_Rate" localSheetId="28">#REF!</definedName>
    <definedName name="Scheduled_Interest_Rate" localSheetId="26">#REF!</definedName>
    <definedName name="Scheduled_Interest_Rate" localSheetId="27">#REF!</definedName>
    <definedName name="Scheduled_Interest_Rate" localSheetId="11">#REF!</definedName>
    <definedName name="Scheduled_Interest_Rate" localSheetId="13">#REF!</definedName>
    <definedName name="Scheduled_Interest_Rate" localSheetId="18">#REF!</definedName>
    <definedName name="Scheduled_Interest_Rate" localSheetId="29">#REF!</definedName>
    <definedName name="Scheduled_Interest_Rate" localSheetId="30">#REF!</definedName>
    <definedName name="Scheduled_Interest_Rate" localSheetId="31">#REF!</definedName>
    <definedName name="Scheduled_Interest_Rate" localSheetId="35">#REF!</definedName>
    <definedName name="Scheduled_Interest_Rate" localSheetId="34">#REF!</definedName>
    <definedName name="Scheduled_Interest_Rate" localSheetId="33">#REF!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7">#REF!</definedName>
    <definedName name="Scheduled_Interest_Rate" localSheetId="48">#REF!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32">#REF!</definedName>
    <definedName name="Scheduled_Interest_Rate" localSheetId="42">#REF!</definedName>
    <definedName name="Scheduled_Interest_Rate" localSheetId="1">#REF!</definedName>
    <definedName name="Scheduled_Interest_Rate">#REF!</definedName>
    <definedName name="Scheduled_Monthly_Payment" localSheetId="10">#REF!</definedName>
    <definedName name="Scheduled_Monthly_Payment" localSheetId="22">#REF!</definedName>
    <definedName name="Scheduled_Monthly_Payment" localSheetId="23">#REF!</definedName>
    <definedName name="Scheduled_Monthly_Payment" localSheetId="21">#REF!</definedName>
    <definedName name="Scheduled_Monthly_Payment" localSheetId="24">#REF!</definedName>
    <definedName name="Scheduled_Monthly_Payment" localSheetId="28">#REF!</definedName>
    <definedName name="Scheduled_Monthly_Payment" localSheetId="26">#REF!</definedName>
    <definedName name="Scheduled_Monthly_Payment" localSheetId="27">#REF!</definedName>
    <definedName name="Scheduled_Monthly_Payment" localSheetId="11">#REF!</definedName>
    <definedName name="Scheduled_Monthly_Payment" localSheetId="13">#REF!</definedName>
    <definedName name="Scheduled_Monthly_Payment" localSheetId="1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5">#REF!</definedName>
    <definedName name="Scheduled_Monthly_Payment" localSheetId="34">#REF!</definedName>
    <definedName name="Scheduled_Monthly_Payment" localSheetId="33">#REF!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7">#REF!</definedName>
    <definedName name="Scheduled_Monthly_Payment" localSheetId="48">#REF!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32">#REF!</definedName>
    <definedName name="Scheduled_Monthly_Payment" localSheetId="42">#REF!</definedName>
    <definedName name="Scheduled_Monthly_Payment" localSheetId="1">#REF!</definedName>
    <definedName name="Scheduled_Monthly_Payment">#REF!</definedName>
    <definedName name="SloupecCC" localSheetId="10">#REF!</definedName>
    <definedName name="SloupecCC" localSheetId="22">#REF!</definedName>
    <definedName name="SloupecCC" localSheetId="23">#REF!</definedName>
    <definedName name="SloupecCC" localSheetId="21">#REF!</definedName>
    <definedName name="SloupecCC" localSheetId="24">#REF!</definedName>
    <definedName name="SloupecCC" localSheetId="28">#REF!</definedName>
    <definedName name="SloupecCC" localSheetId="26">#REF!</definedName>
    <definedName name="SloupecCC" localSheetId="27">#REF!</definedName>
    <definedName name="SloupecCC" localSheetId="11">#REF!</definedName>
    <definedName name="SloupecCC" localSheetId="13">#REF!</definedName>
    <definedName name="SloupecCC" localSheetId="18">#REF!</definedName>
    <definedName name="SloupecCC" localSheetId="29">#REF!</definedName>
    <definedName name="SloupecCC" localSheetId="30">#REF!</definedName>
    <definedName name="SloupecCC" localSheetId="31">#REF!</definedName>
    <definedName name="SloupecCC" localSheetId="35">#REF!</definedName>
    <definedName name="SloupecCC" localSheetId="34">#REF!</definedName>
    <definedName name="SloupecCC" localSheetId="33">#REF!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7">#REF!</definedName>
    <definedName name="SloupecCC" localSheetId="48">#REF!</definedName>
    <definedName name="SloupecCC" localSheetId="43">#REF!</definedName>
    <definedName name="SloupecCC" localSheetId="44">#REF!</definedName>
    <definedName name="SloupecCC" localSheetId="45">#REF!</definedName>
    <definedName name="SloupecCC" localSheetId="46">#REF!</definedName>
    <definedName name="SloupecCC" localSheetId="0">#REF!</definedName>
    <definedName name="SloupecCC" localSheetId="32">#REF!</definedName>
    <definedName name="SloupecCC" localSheetId="42">#REF!</definedName>
    <definedName name="SloupecCC" localSheetId="1">#REF!</definedName>
    <definedName name="SloupecCC">#REF!</definedName>
    <definedName name="SloupecCisloPol" localSheetId="10">#REF!</definedName>
    <definedName name="SloupecCisloPol" localSheetId="22">#REF!</definedName>
    <definedName name="SloupecCisloPol" localSheetId="23">#REF!</definedName>
    <definedName name="SloupecCisloPol" localSheetId="21">#REF!</definedName>
    <definedName name="SloupecCisloPol" localSheetId="24">#REF!</definedName>
    <definedName name="SloupecCisloPol" localSheetId="28">#REF!</definedName>
    <definedName name="SloupecCisloPol" localSheetId="26">#REF!</definedName>
    <definedName name="SloupecCisloPol" localSheetId="27">#REF!</definedName>
    <definedName name="SloupecCisloPol" localSheetId="11">#REF!</definedName>
    <definedName name="SloupecCisloPol" localSheetId="13">#REF!</definedName>
    <definedName name="SloupecCisloPol" localSheetId="18">#REF!</definedName>
    <definedName name="SloupecCisloPol" localSheetId="29">#REF!</definedName>
    <definedName name="SloupecCisloPol" localSheetId="30">#REF!</definedName>
    <definedName name="SloupecCisloPol" localSheetId="31">#REF!</definedName>
    <definedName name="SloupecCisloPol" localSheetId="35">#REF!</definedName>
    <definedName name="SloupecCisloPol" localSheetId="34">#REF!</definedName>
    <definedName name="SloupecCisloPol" localSheetId="33">#REF!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7">#REF!</definedName>
    <definedName name="SloupecCisloPol" localSheetId="48">#REF!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0">#REF!</definedName>
    <definedName name="SloupecCisloPol" localSheetId="32">#REF!</definedName>
    <definedName name="SloupecCisloPol" localSheetId="42">#REF!</definedName>
    <definedName name="SloupecCisloPol" localSheetId="1">#REF!</definedName>
    <definedName name="SloupecCisloPol">#REF!</definedName>
    <definedName name="SloupecJC" localSheetId="10">#REF!</definedName>
    <definedName name="SloupecJC" localSheetId="22">#REF!</definedName>
    <definedName name="SloupecJC" localSheetId="23">#REF!</definedName>
    <definedName name="SloupecJC" localSheetId="21">#REF!</definedName>
    <definedName name="SloupecJC" localSheetId="24">#REF!</definedName>
    <definedName name="SloupecJC" localSheetId="28">#REF!</definedName>
    <definedName name="SloupecJC" localSheetId="26">#REF!</definedName>
    <definedName name="SloupecJC" localSheetId="27">#REF!</definedName>
    <definedName name="SloupecJC" localSheetId="11">#REF!</definedName>
    <definedName name="SloupecJC" localSheetId="13">#REF!</definedName>
    <definedName name="SloupecJC" localSheetId="18">#REF!</definedName>
    <definedName name="SloupecJC" localSheetId="29">#REF!</definedName>
    <definedName name="SloupecJC" localSheetId="30">#REF!</definedName>
    <definedName name="SloupecJC" localSheetId="31">#REF!</definedName>
    <definedName name="SloupecJC" localSheetId="35">#REF!</definedName>
    <definedName name="SloupecJC" localSheetId="34">#REF!</definedName>
    <definedName name="SloupecJC" localSheetId="33">#REF!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7">#REF!</definedName>
    <definedName name="SloupecJC" localSheetId="48">#REF!</definedName>
    <definedName name="SloupecJC" localSheetId="43">#REF!</definedName>
    <definedName name="SloupecJC" localSheetId="44">#REF!</definedName>
    <definedName name="SloupecJC" localSheetId="45">#REF!</definedName>
    <definedName name="SloupecJC" localSheetId="46">#REF!</definedName>
    <definedName name="SloupecJC" localSheetId="0">#REF!</definedName>
    <definedName name="SloupecJC" localSheetId="32">#REF!</definedName>
    <definedName name="SloupecJC" localSheetId="42">#REF!</definedName>
    <definedName name="SloupecJC" localSheetId="1">#REF!</definedName>
    <definedName name="SloupecJC">#REF!</definedName>
    <definedName name="SloupecMJ" localSheetId="10">#REF!</definedName>
    <definedName name="SloupecMJ" localSheetId="22">#REF!</definedName>
    <definedName name="SloupecMJ" localSheetId="23">#REF!</definedName>
    <definedName name="SloupecMJ" localSheetId="21">#REF!</definedName>
    <definedName name="SloupecMJ" localSheetId="24">#REF!</definedName>
    <definedName name="SloupecMJ" localSheetId="28">#REF!</definedName>
    <definedName name="SloupecMJ" localSheetId="26">#REF!</definedName>
    <definedName name="SloupecMJ" localSheetId="27">#REF!</definedName>
    <definedName name="SloupecMJ" localSheetId="11">#REF!</definedName>
    <definedName name="SloupecMJ" localSheetId="13">#REF!</definedName>
    <definedName name="SloupecMJ" localSheetId="18">#REF!</definedName>
    <definedName name="SloupecMJ" localSheetId="29">#REF!</definedName>
    <definedName name="SloupecMJ" localSheetId="30">#REF!</definedName>
    <definedName name="SloupecMJ" localSheetId="31">#REF!</definedName>
    <definedName name="SloupecMJ" localSheetId="35">#REF!</definedName>
    <definedName name="SloupecMJ" localSheetId="34">#REF!</definedName>
    <definedName name="SloupecMJ" localSheetId="33">#REF!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7">#REF!</definedName>
    <definedName name="SloupecMJ" localSheetId="48">#REF!</definedName>
    <definedName name="SloupecMJ" localSheetId="43">#REF!</definedName>
    <definedName name="SloupecMJ" localSheetId="44">#REF!</definedName>
    <definedName name="SloupecMJ" localSheetId="45">#REF!</definedName>
    <definedName name="SloupecMJ" localSheetId="46">#REF!</definedName>
    <definedName name="SloupecMJ" localSheetId="0">#REF!</definedName>
    <definedName name="SloupecMJ" localSheetId="32">#REF!</definedName>
    <definedName name="SloupecMJ" localSheetId="42">#REF!</definedName>
    <definedName name="SloupecMJ" localSheetId="1">#REF!</definedName>
    <definedName name="SloupecMJ">#REF!</definedName>
    <definedName name="SloupecMnozstvi" localSheetId="10">#REF!</definedName>
    <definedName name="SloupecMnozstvi" localSheetId="22">#REF!</definedName>
    <definedName name="SloupecMnozstvi" localSheetId="23">#REF!</definedName>
    <definedName name="SloupecMnozstvi" localSheetId="21">#REF!</definedName>
    <definedName name="SloupecMnozstvi" localSheetId="24">#REF!</definedName>
    <definedName name="SloupecMnozstvi" localSheetId="28">#REF!</definedName>
    <definedName name="SloupecMnozstvi" localSheetId="26">#REF!</definedName>
    <definedName name="SloupecMnozstvi" localSheetId="27">#REF!</definedName>
    <definedName name="SloupecMnozstvi" localSheetId="11">#REF!</definedName>
    <definedName name="SloupecMnozstvi" localSheetId="13">#REF!</definedName>
    <definedName name="SloupecMnozstvi" localSheetId="18">#REF!</definedName>
    <definedName name="SloupecMnozstvi" localSheetId="29">#REF!</definedName>
    <definedName name="SloupecMnozstvi" localSheetId="30">#REF!</definedName>
    <definedName name="SloupecMnozstvi" localSheetId="31">#REF!</definedName>
    <definedName name="SloupecMnozstvi" localSheetId="35">#REF!</definedName>
    <definedName name="SloupecMnozstvi" localSheetId="34">#REF!</definedName>
    <definedName name="SloupecMnozstvi" localSheetId="33">#REF!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7">#REF!</definedName>
    <definedName name="SloupecMnozstvi" localSheetId="48">#REF!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0">#REF!</definedName>
    <definedName name="SloupecMnozstvi" localSheetId="32">#REF!</definedName>
    <definedName name="SloupecMnozstvi" localSheetId="42">#REF!</definedName>
    <definedName name="SloupecMnozstvi" localSheetId="1">#REF!</definedName>
    <definedName name="SloupecMnozstvi">#REF!</definedName>
    <definedName name="SloupecNazPol" localSheetId="10">#REF!</definedName>
    <definedName name="SloupecNazPol" localSheetId="22">#REF!</definedName>
    <definedName name="SloupecNazPol" localSheetId="23">#REF!</definedName>
    <definedName name="SloupecNazPol" localSheetId="21">#REF!</definedName>
    <definedName name="SloupecNazPol" localSheetId="24">#REF!</definedName>
    <definedName name="SloupecNazPol" localSheetId="28">#REF!</definedName>
    <definedName name="SloupecNazPol" localSheetId="26">#REF!</definedName>
    <definedName name="SloupecNazPol" localSheetId="27">#REF!</definedName>
    <definedName name="SloupecNazPol" localSheetId="11">#REF!</definedName>
    <definedName name="SloupecNazPol" localSheetId="13">#REF!</definedName>
    <definedName name="SloupecNazPol" localSheetId="18">#REF!</definedName>
    <definedName name="SloupecNazPol" localSheetId="29">#REF!</definedName>
    <definedName name="SloupecNazPol" localSheetId="30">#REF!</definedName>
    <definedName name="SloupecNazPol" localSheetId="31">#REF!</definedName>
    <definedName name="SloupecNazPol" localSheetId="35">#REF!</definedName>
    <definedName name="SloupecNazPol" localSheetId="34">#REF!</definedName>
    <definedName name="SloupecNazPol" localSheetId="33">#REF!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7">#REF!</definedName>
    <definedName name="SloupecNazPol" localSheetId="48">#REF!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0">#REF!</definedName>
    <definedName name="SloupecNazPol" localSheetId="32">#REF!</definedName>
    <definedName name="SloupecNazPol" localSheetId="42">#REF!</definedName>
    <definedName name="SloupecNazPol" localSheetId="1">#REF!</definedName>
    <definedName name="SloupecNazPol">#REF!</definedName>
    <definedName name="SloupecPC" localSheetId="10">#REF!</definedName>
    <definedName name="SloupecPC" localSheetId="22">#REF!</definedName>
    <definedName name="SloupecPC" localSheetId="23">#REF!</definedName>
    <definedName name="SloupecPC" localSheetId="21">#REF!</definedName>
    <definedName name="SloupecPC" localSheetId="24">#REF!</definedName>
    <definedName name="SloupecPC" localSheetId="28">#REF!</definedName>
    <definedName name="SloupecPC" localSheetId="26">#REF!</definedName>
    <definedName name="SloupecPC" localSheetId="27">#REF!</definedName>
    <definedName name="SloupecPC" localSheetId="11">#REF!</definedName>
    <definedName name="SloupecPC" localSheetId="13">#REF!</definedName>
    <definedName name="SloupecPC" localSheetId="18">#REF!</definedName>
    <definedName name="SloupecPC" localSheetId="29">#REF!</definedName>
    <definedName name="SloupecPC" localSheetId="30">#REF!</definedName>
    <definedName name="SloupecPC" localSheetId="31">#REF!</definedName>
    <definedName name="SloupecPC" localSheetId="35">#REF!</definedName>
    <definedName name="SloupecPC" localSheetId="34">#REF!</definedName>
    <definedName name="SloupecPC" localSheetId="33">#REF!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7">#REF!</definedName>
    <definedName name="SloupecPC" localSheetId="48">#REF!</definedName>
    <definedName name="SloupecPC" localSheetId="43">#REF!</definedName>
    <definedName name="SloupecPC" localSheetId="44">#REF!</definedName>
    <definedName name="SloupecPC" localSheetId="45">#REF!</definedName>
    <definedName name="SloupecPC" localSheetId="46">#REF!</definedName>
    <definedName name="SloupecPC" localSheetId="0">#REF!</definedName>
    <definedName name="SloupecPC" localSheetId="32">#REF!</definedName>
    <definedName name="SloupecPC" localSheetId="42">#REF!</definedName>
    <definedName name="SloupecPC" localSheetId="1">#REF!</definedName>
    <definedName name="SloupecPC">#REF!</definedName>
    <definedName name="SoucetDilu" localSheetId="0">KL!#REF!</definedName>
    <definedName name="soupis" localSheetId="10" hidden="1">{#N/A,#N/A,TRUE,"Krycí list"}</definedName>
    <definedName name="soupis" localSheetId="22" hidden="1">{#N/A,#N/A,TRUE,"Krycí list"}</definedName>
    <definedName name="soupis" localSheetId="23" hidden="1">{#N/A,#N/A,TRUE,"Krycí list"}</definedName>
    <definedName name="soupis" localSheetId="21" hidden="1">{#N/A,#N/A,TRUE,"Krycí list"}</definedName>
    <definedName name="soupis" localSheetId="24" hidden="1">{#N/A,#N/A,TRUE,"Krycí list"}</definedName>
    <definedName name="soupis" localSheetId="28" hidden="1">{#N/A,#N/A,TRUE,"Krycí list"}</definedName>
    <definedName name="soupis" localSheetId="26" hidden="1">{#N/A,#N/A,TRUE,"Krycí list"}</definedName>
    <definedName name="soupis" localSheetId="27"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8" hidden="1">{#N/A,#N/A,TRUE,"Krycí list"}</definedName>
    <definedName name="soupis" localSheetId="29" hidden="1">{#N/A,#N/A,TRUE,"Krycí list"}</definedName>
    <definedName name="soupis" localSheetId="30" hidden="1">{#N/A,#N/A,TRUE,"Krycí list"}</definedName>
    <definedName name="soupis" localSheetId="31"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0" hidden="1">{#N/A,#N/A,TRUE,"Krycí list"}</definedName>
    <definedName name="soupis" localSheetId="17" hidden="1">{#N/A,#N/A,TRUE,"Krycí list"}</definedName>
    <definedName name="soupis" localSheetId="32" hidden="1">{#N/A,#N/A,TRUE,"Krycí list"}</definedName>
    <definedName name="soupis" localSheetId="42" hidden="1">{#N/A,#N/A,TRUE,"Krycí list"}</definedName>
    <definedName name="soupis" localSheetId="25" hidden="1">{#N/A,#N/A,TRUE,"Krycí list"}</definedName>
    <definedName name="soupis" localSheetId="20" hidden="1">{#N/A,#N/A,TRUE,"Krycí list"}</definedName>
    <definedName name="soupis" localSheetId="1" hidden="1">{#N/A,#N/A,TRUE,"Krycí list"}</definedName>
    <definedName name="soupis" hidden="1">{#N/A,#N/A,TRUE,"Krycí list"}</definedName>
    <definedName name="ssss" localSheetId="10">#REF!</definedName>
    <definedName name="ssss" localSheetId="22">#REF!</definedName>
    <definedName name="ssss" localSheetId="23">#REF!</definedName>
    <definedName name="ssss" localSheetId="21">#REF!</definedName>
    <definedName name="ssss" localSheetId="24">#REF!</definedName>
    <definedName name="ssss" localSheetId="28">#REF!</definedName>
    <definedName name="ssss" localSheetId="26">#REF!</definedName>
    <definedName name="ssss" localSheetId="27">#REF!</definedName>
    <definedName name="ssss" localSheetId="11">#REF!</definedName>
    <definedName name="ssss" localSheetId="12">#REF!</definedName>
    <definedName name="ssss" localSheetId="13">#REF!</definedName>
    <definedName name="ssss" localSheetId="18">#REF!</definedName>
    <definedName name="ssss" localSheetId="29">#REF!</definedName>
    <definedName name="ssss" localSheetId="30">#REF!</definedName>
    <definedName name="ssss" localSheetId="31">#REF!</definedName>
    <definedName name="ssss" localSheetId="35">#REF!</definedName>
    <definedName name="ssss" localSheetId="34">#REF!</definedName>
    <definedName name="ssss" localSheetId="33">#REF!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7">#REF!</definedName>
    <definedName name="ssss" localSheetId="48">#REF!</definedName>
    <definedName name="ssss" localSheetId="43">#REF!</definedName>
    <definedName name="ssss" localSheetId="44">#REF!</definedName>
    <definedName name="ssss" localSheetId="45">#REF!</definedName>
    <definedName name="ssss" localSheetId="46">#REF!</definedName>
    <definedName name="ssss" localSheetId="17">#REF!</definedName>
    <definedName name="ssss" localSheetId="32">#REF!</definedName>
    <definedName name="ssss" localSheetId="42">#REF!</definedName>
    <definedName name="ssss" localSheetId="25">#REF!</definedName>
    <definedName name="ssss" localSheetId="20">#REF!</definedName>
    <definedName name="ssss" localSheetId="1">#REF!</definedName>
    <definedName name="ssss">#REF!</definedName>
    <definedName name="StavbaCelkem" localSheetId="0">KL!$H$68</definedName>
    <definedName name="subslevy" localSheetId="10">#REF!</definedName>
    <definedName name="subslevy" localSheetId="22">#REF!</definedName>
    <definedName name="subslevy" localSheetId="23">#REF!</definedName>
    <definedName name="subslevy" localSheetId="21">#REF!</definedName>
    <definedName name="subslevy" localSheetId="24">#REF!</definedName>
    <definedName name="subslevy" localSheetId="28">#REF!</definedName>
    <definedName name="subslevy" localSheetId="26">#REF!</definedName>
    <definedName name="subslevy" localSheetId="27">#REF!</definedName>
    <definedName name="subslevy" localSheetId="11">#REF!</definedName>
    <definedName name="subslevy" localSheetId="12">#REF!</definedName>
    <definedName name="subslevy" localSheetId="13">#REF!</definedName>
    <definedName name="subslevy" localSheetId="18">#REF!</definedName>
    <definedName name="subslevy" localSheetId="29">#REF!</definedName>
    <definedName name="subslevy" localSheetId="30">#REF!</definedName>
    <definedName name="subslevy" localSheetId="31">#REF!</definedName>
    <definedName name="subslevy" localSheetId="35">#REF!</definedName>
    <definedName name="subslevy" localSheetId="34">#REF!</definedName>
    <definedName name="subslevy" localSheetId="33">#REF!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7">#REF!</definedName>
    <definedName name="subslevy" localSheetId="48">#REF!</definedName>
    <definedName name="subslevy" localSheetId="43">#REF!</definedName>
    <definedName name="subslevy" localSheetId="44">#REF!</definedName>
    <definedName name="subslevy" localSheetId="45">#REF!</definedName>
    <definedName name="subslevy" localSheetId="46">#REF!</definedName>
    <definedName name="subslevy" localSheetId="17">#REF!</definedName>
    <definedName name="subslevy" localSheetId="32">#REF!</definedName>
    <definedName name="subslevy" localSheetId="42">#REF!</definedName>
    <definedName name="subslevy" localSheetId="25">#REF!</definedName>
    <definedName name="subslevy" localSheetId="20">#REF!</definedName>
    <definedName name="subslevy" localSheetId="1">#REF!</definedName>
    <definedName name="subslevy">#REF!</definedName>
    <definedName name="sum_kapitoly" localSheetId="10">'[8]Rekapitulace roz.  vč. kapitol'!#REF!</definedName>
    <definedName name="sum_kapitoly" localSheetId="22">'[8]Rekapitulace roz.  vč. kapitol'!#REF!</definedName>
    <definedName name="sum_kapitoly" localSheetId="23">'[8]Rekapitulace roz.  vč. kapitol'!#REF!</definedName>
    <definedName name="sum_kapitoly" localSheetId="21">'[8]Rekapitulace roz.  vč. kapitol'!#REF!</definedName>
    <definedName name="sum_kapitoly" localSheetId="24">'[8]Rekapitulace roz.  vč. kapitol'!#REF!</definedName>
    <definedName name="sum_kapitoly" localSheetId="28">'[8]Rekapitulace roz.  vč. kapitol'!#REF!</definedName>
    <definedName name="sum_kapitoly" localSheetId="26">'[8]Rekapitulace roz.  vč. kapitol'!#REF!</definedName>
    <definedName name="sum_kapitoly" localSheetId="27">'[8]Rekapitulace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8">'[8]Rekapitulace roz.  vč. kapitol'!#REF!</definedName>
    <definedName name="sum_kapitoly" localSheetId="29">'[8]Rekapitulace roz.  vč. kapitol'!#REF!</definedName>
    <definedName name="sum_kapitoly" localSheetId="30">'[8]Rekapitulace roz.  vč. kapitol'!#REF!</definedName>
    <definedName name="sum_kapitoly" localSheetId="31">'[8]Rekapitulace roz.  vč. kapitol'!#REF!</definedName>
    <definedName name="sum_kapitoly" localSheetId="35">'[8]Rekapitulace roz.  vč. kapitol'!#REF!</definedName>
    <definedName name="sum_kapitoly" localSheetId="34">'[8]Rekapitulace roz.  vč. kapitol'!#REF!</definedName>
    <definedName name="sum_kapitoly" localSheetId="33">'[8]Rekapitulace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7">'[8]Rekapitulace roz.  vč. kapitol'!#REF!</definedName>
    <definedName name="sum_kapitoly" localSheetId="48">'[8]Rekapitulace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17">'[8]Rekapitulace roz.  vč. kapitol'!#REF!</definedName>
    <definedName name="sum_kapitoly" localSheetId="32">'[8]Rekapitulace roz.  vč. kapitol'!#REF!</definedName>
    <definedName name="sum_kapitoly" localSheetId="42">'[8]Rekapitulace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22" hidden="1">{#N/A,#N/A,TRUE,"Krycí list"}</definedName>
    <definedName name="summary" localSheetId="23" hidden="1">{#N/A,#N/A,TRUE,"Krycí list"}</definedName>
    <definedName name="summary" localSheetId="21" hidden="1">{#N/A,#N/A,TRUE,"Krycí list"}</definedName>
    <definedName name="summary" localSheetId="24" hidden="1">{#N/A,#N/A,TRUE,"Krycí list"}</definedName>
    <definedName name="summary" localSheetId="28" hidden="1">{#N/A,#N/A,TRUE,"Krycí list"}</definedName>
    <definedName name="summary" localSheetId="26" hidden="1">{#N/A,#N/A,TRUE,"Krycí list"}</definedName>
    <definedName name="summary" localSheetId="27"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8" hidden="1">{#N/A,#N/A,TRUE,"Krycí list"}</definedName>
    <definedName name="summary" localSheetId="29" hidden="1">{#N/A,#N/A,TRUE,"Krycí list"}</definedName>
    <definedName name="summary" localSheetId="30" hidden="1">{#N/A,#N/A,TRUE,"Krycí list"}</definedName>
    <definedName name="summary" localSheetId="31"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0" hidden="1">{#N/A,#N/A,TRUE,"Krycí list"}</definedName>
    <definedName name="summary" localSheetId="17" hidden="1">{#N/A,#N/A,TRUE,"Krycí list"}</definedName>
    <definedName name="summary" localSheetId="32" hidden="1">{#N/A,#N/A,TRUE,"Krycí list"}</definedName>
    <definedName name="summary" localSheetId="42" hidden="1">{#N/A,#N/A,TRUE,"Krycí list"}</definedName>
    <definedName name="summary" localSheetId="25" hidden="1">{#N/A,#N/A,TRUE,"Krycí list"}</definedName>
    <definedName name="summary" localSheetId="20" hidden="1">{#N/A,#N/A,TRUE,"Krycí list"}</definedName>
    <definedName name="summary" localSheetId="1" hidden="1">{#N/A,#N/A,TRUE,"Krycí list"}</definedName>
    <definedName name="summary" hidden="1">{#N/A,#N/A,TRUE,"Krycí list"}</definedName>
    <definedName name="sumpok" localSheetId="10">#REF!</definedName>
    <definedName name="sumpok" localSheetId="22">#REF!</definedName>
    <definedName name="sumpok" localSheetId="23">#REF!</definedName>
    <definedName name="sumpok" localSheetId="21">#REF!</definedName>
    <definedName name="sumpok" localSheetId="24">#REF!</definedName>
    <definedName name="sumpok" localSheetId="28">#REF!</definedName>
    <definedName name="sumpok" localSheetId="26">#REF!</definedName>
    <definedName name="sumpok" localSheetId="27">#REF!</definedName>
    <definedName name="sumpok" localSheetId="11">#REF!</definedName>
    <definedName name="sumpok" localSheetId="12">#REF!</definedName>
    <definedName name="sumpok" localSheetId="13">#REF!</definedName>
    <definedName name="sumpok" localSheetId="18">#REF!</definedName>
    <definedName name="sumpok" localSheetId="29">#REF!</definedName>
    <definedName name="sumpok" localSheetId="30">#REF!</definedName>
    <definedName name="sumpok" localSheetId="31">#REF!</definedName>
    <definedName name="sumpok" localSheetId="35">#REF!</definedName>
    <definedName name="sumpok" localSheetId="34">#REF!</definedName>
    <definedName name="sumpok" localSheetId="33">#REF!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7">#REF!</definedName>
    <definedName name="sumpok" localSheetId="48">#REF!</definedName>
    <definedName name="sumpok" localSheetId="43">#REF!</definedName>
    <definedName name="sumpok" localSheetId="44">#REF!</definedName>
    <definedName name="sumpok" localSheetId="45">#REF!</definedName>
    <definedName name="sumpok" localSheetId="46">#REF!</definedName>
    <definedName name="sumpok" localSheetId="32">#REF!</definedName>
    <definedName name="sumpok" localSheetId="42">#REF!</definedName>
    <definedName name="sumpok" localSheetId="25">#REF!</definedName>
    <definedName name="sumpok" localSheetId="1">#REF!</definedName>
    <definedName name="sumpok">#REF!</definedName>
    <definedName name="Switchboard" localSheetId="10" hidden="1">{#N/A,#N/A,TRUE,"Krycí list"}</definedName>
    <definedName name="Switchboard" localSheetId="22" hidden="1">{#N/A,#N/A,TRUE,"Krycí list"}</definedName>
    <definedName name="Switchboard" localSheetId="23" hidden="1">{#N/A,#N/A,TRUE,"Krycí list"}</definedName>
    <definedName name="Switchboard" localSheetId="21" hidden="1">{#N/A,#N/A,TRUE,"Krycí list"}</definedName>
    <definedName name="Switchboard" localSheetId="24" hidden="1">{#N/A,#N/A,TRUE,"Krycí list"}</definedName>
    <definedName name="Switchboard" localSheetId="28" hidden="1">{#N/A,#N/A,TRUE,"Krycí list"}</definedName>
    <definedName name="Switchboard" localSheetId="26" hidden="1">{#N/A,#N/A,TRUE,"Krycí list"}</definedName>
    <definedName name="Switchboard" localSheetId="27"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8" hidden="1">{#N/A,#N/A,TRUE,"Krycí list"}</definedName>
    <definedName name="Switchboard" localSheetId="29" hidden="1">{#N/A,#N/A,TRUE,"Krycí list"}</definedName>
    <definedName name="Switchboard" localSheetId="30" hidden="1">{#N/A,#N/A,TRUE,"Krycí list"}</definedName>
    <definedName name="Switchboard" localSheetId="31"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0" hidden="1">{#N/A,#N/A,TRUE,"Krycí list"}</definedName>
    <definedName name="Switchboard" localSheetId="17" hidden="1">{#N/A,#N/A,TRUE,"Krycí list"}</definedName>
    <definedName name="Switchboard" localSheetId="32" hidden="1">{#N/A,#N/A,TRUE,"Krycí list"}</definedName>
    <definedName name="Switchboard" localSheetId="42" hidden="1">{#N/A,#N/A,TRUE,"Krycí list"}</definedName>
    <definedName name="Switchboard" localSheetId="25" hidden="1">{#N/A,#N/A,TRUE,"Krycí list"}</definedName>
    <definedName name="Switchboard" localSheetId="20" hidden="1">{#N/A,#N/A,TRUE,"Krycí list"}</definedName>
    <definedName name="Switchboard" localSheetId="1" hidden="1">{#N/A,#N/A,TRUE,"Krycí list"}</definedName>
    <definedName name="Switchboard" hidden="1">{#N/A,#N/A,TRUE,"Krycí list"}</definedName>
    <definedName name="tab" localSheetId="10">#REF!</definedName>
    <definedName name="tab" localSheetId="22">#REF!</definedName>
    <definedName name="tab" localSheetId="23">#REF!</definedName>
    <definedName name="tab" localSheetId="21">#REF!</definedName>
    <definedName name="tab" localSheetId="24">#REF!</definedName>
    <definedName name="tab" localSheetId="28">#REF!</definedName>
    <definedName name="tab" localSheetId="26">#REF!</definedName>
    <definedName name="tab" localSheetId="27">#REF!</definedName>
    <definedName name="tab" localSheetId="11">#REF!</definedName>
    <definedName name="tab" localSheetId="12">#REF!</definedName>
    <definedName name="tab" localSheetId="13">#REF!</definedName>
    <definedName name="tab" localSheetId="18">#REF!</definedName>
    <definedName name="tab" localSheetId="29">#REF!</definedName>
    <definedName name="tab" localSheetId="30">#REF!</definedName>
    <definedName name="tab" localSheetId="31">#REF!</definedName>
    <definedName name="tab" localSheetId="35">#REF!</definedName>
    <definedName name="tab" localSheetId="34">#REF!</definedName>
    <definedName name="tab" localSheetId="33">#REF!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7">#REF!</definedName>
    <definedName name="tab" localSheetId="48">#REF!</definedName>
    <definedName name="tab" localSheetId="43">#REF!</definedName>
    <definedName name="tab" localSheetId="44">#REF!</definedName>
    <definedName name="tab" localSheetId="45">#REF!</definedName>
    <definedName name="tab" localSheetId="46">#REF!</definedName>
    <definedName name="tab" localSheetId="32">#REF!</definedName>
    <definedName name="tab" localSheetId="42">#REF!</definedName>
    <definedName name="tab" localSheetId="25">#REF!</definedName>
    <definedName name="tab" localSheetId="1">#REF!</definedName>
    <definedName name="tab">#REF!</definedName>
    <definedName name="Total_Interest" localSheetId="10">#REF!</definedName>
    <definedName name="Total_Interest" localSheetId="22">#REF!</definedName>
    <definedName name="Total_Interest" localSheetId="23">#REF!</definedName>
    <definedName name="Total_Interest" localSheetId="21">#REF!</definedName>
    <definedName name="Total_Interest" localSheetId="24">#REF!</definedName>
    <definedName name="Total_Interest" localSheetId="28">#REF!</definedName>
    <definedName name="Total_Interest" localSheetId="26">#REF!</definedName>
    <definedName name="Total_Interest" localSheetId="27">#REF!</definedName>
    <definedName name="Total_Interest" localSheetId="11">#REF!</definedName>
    <definedName name="Total_Interest" localSheetId="12">#REF!</definedName>
    <definedName name="Total_Interest" localSheetId="13">#REF!</definedName>
    <definedName name="Total_Interest" localSheetId="18">#REF!</definedName>
    <definedName name="Total_Interest" localSheetId="29">#REF!</definedName>
    <definedName name="Total_Interest" localSheetId="30">#REF!</definedName>
    <definedName name="Total_Interest" localSheetId="31">#REF!</definedName>
    <definedName name="Total_Interest" localSheetId="35">#REF!</definedName>
    <definedName name="Total_Interest" localSheetId="34">#REF!</definedName>
    <definedName name="Total_Interest" localSheetId="33">#REF!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7">#REF!</definedName>
    <definedName name="Total_Interest" localSheetId="48">#REF!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32">#REF!</definedName>
    <definedName name="Total_Interest" localSheetId="42">#REF!</definedName>
    <definedName name="Total_Interest" localSheetId="1">#REF!</definedName>
    <definedName name="Total_Interest">#REF!</definedName>
    <definedName name="Total_Pay" localSheetId="10">#REF!</definedName>
    <definedName name="Total_Pay" localSheetId="22">#REF!</definedName>
    <definedName name="Total_Pay" localSheetId="23">#REF!</definedName>
    <definedName name="Total_Pay" localSheetId="21">#REF!</definedName>
    <definedName name="Total_Pay" localSheetId="24">#REF!</definedName>
    <definedName name="Total_Pay" localSheetId="28">#REF!</definedName>
    <definedName name="Total_Pay" localSheetId="26">#REF!</definedName>
    <definedName name="Total_Pay" localSheetId="27">#REF!</definedName>
    <definedName name="Total_Pay" localSheetId="11">#REF!</definedName>
    <definedName name="Total_Pay" localSheetId="12">#REF!</definedName>
    <definedName name="Total_Pay" localSheetId="13">#REF!</definedName>
    <definedName name="Total_Pay" localSheetId="18">#REF!</definedName>
    <definedName name="Total_Pay" localSheetId="29">#REF!</definedName>
    <definedName name="Total_Pay" localSheetId="30">#REF!</definedName>
    <definedName name="Total_Pay" localSheetId="31">#REF!</definedName>
    <definedName name="Total_Pay" localSheetId="35">#REF!</definedName>
    <definedName name="Total_Pay" localSheetId="34">#REF!</definedName>
    <definedName name="Total_Pay" localSheetId="33">#REF!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7">#REF!</definedName>
    <definedName name="Total_Pay" localSheetId="48">#REF!</definedName>
    <definedName name="Total_Pay" localSheetId="43">#REF!</definedName>
    <definedName name="Total_Pay" localSheetId="44">#REF!</definedName>
    <definedName name="Total_Pay" localSheetId="45">#REF!</definedName>
    <definedName name="Total_Pay" localSheetId="46">#REF!</definedName>
    <definedName name="Total_Pay" localSheetId="32">#REF!</definedName>
    <definedName name="Total_Pay" localSheetId="42">#REF!</definedName>
    <definedName name="Total_Pay" localSheetId="1">#REF!</definedName>
    <definedName name="Total_Pay">#REF!</definedName>
    <definedName name="Total_Payment" localSheetId="10">Scheduled_Payment+Extra_Payment</definedName>
    <definedName name="Total_Payment" localSheetId="22">Scheduled_Payment+Extra_Payment</definedName>
    <definedName name="Total_Payment" localSheetId="23">Scheduled_Payment+Extra_Payment</definedName>
    <definedName name="Total_Payment" localSheetId="21">Scheduled_Payment+Extra_Payment</definedName>
    <definedName name="Total_Payment" localSheetId="24">Scheduled_Payment+Extra_Payment</definedName>
    <definedName name="Total_Payment" localSheetId="28">Scheduled_Payment+Extra_Payment</definedName>
    <definedName name="Total_Payment" localSheetId="26">Scheduled_Payment+Extra_Payment</definedName>
    <definedName name="Total_Payment" localSheetId="27">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8">Scheduled_Payment+Extra_Payment</definedName>
    <definedName name="Total_Payment" localSheetId="19">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5">Scheduled_Payment+Extra_Payment</definedName>
    <definedName name="Total_Payment" localSheetId="34">Scheduled_Payment+Extra_Payment</definedName>
    <definedName name="Total_Payment" localSheetId="33">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7">Scheduled_Payment+Extra_Payment</definedName>
    <definedName name="Total_Payment" localSheetId="48">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0">Scheduled_Payment+Extra_Payment</definedName>
    <definedName name="Total_Payment" localSheetId="17">Scheduled_Payment+Extra_Payment</definedName>
    <definedName name="Total_Payment" localSheetId="32">Scheduled_Payment+Extra_Payment</definedName>
    <definedName name="Total_Payment" localSheetId="42">Scheduled_Payment+Extra_Payment</definedName>
    <definedName name="Total_Payment" localSheetId="25">Scheduled_Payment+Extra_Payment</definedName>
    <definedName name="Total_Payment" localSheetId="20">Scheduled_Payment+Extra_Payment</definedName>
    <definedName name="Total_Payment" localSheetId="1">Scheduled_Payment+Extra_Payment</definedName>
    <definedName name="Total_Payment">Scheduled_Payment+Extra_Payment</definedName>
    <definedName name="Typ" localSheetId="10">#REF!</definedName>
    <definedName name="Typ" localSheetId="22">#REF!</definedName>
    <definedName name="Typ" localSheetId="23">#REF!</definedName>
    <definedName name="Typ" localSheetId="21">#REF!</definedName>
    <definedName name="Typ" localSheetId="24">#REF!</definedName>
    <definedName name="Typ" localSheetId="28">#REF!</definedName>
    <definedName name="Typ" localSheetId="26">#REF!</definedName>
    <definedName name="Typ" localSheetId="27">#REF!</definedName>
    <definedName name="Typ" localSheetId="11">#REF!</definedName>
    <definedName name="Typ" localSheetId="12">#REF!</definedName>
    <definedName name="Typ" localSheetId="13">#REF!</definedName>
    <definedName name="Typ" localSheetId="18">#REF!</definedName>
    <definedName name="Typ" localSheetId="29">#REF!</definedName>
    <definedName name="Typ" localSheetId="30">#REF!</definedName>
    <definedName name="Typ" localSheetId="31">#REF!</definedName>
    <definedName name="Typ" localSheetId="35">#REF!</definedName>
    <definedName name="Typ" localSheetId="34">#REF!</definedName>
    <definedName name="Typ" localSheetId="33">#REF!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7">#REF!</definedName>
    <definedName name="Typ" localSheetId="48">#REF!</definedName>
    <definedName name="Typ" localSheetId="43">#REF!</definedName>
    <definedName name="Typ" localSheetId="44">#REF!</definedName>
    <definedName name="Typ" localSheetId="45">#REF!</definedName>
    <definedName name="Typ" localSheetId="46">#REF!</definedName>
    <definedName name="Typ" localSheetId="0">'[11]002-A.1. Archstav  reseni'!#REF!</definedName>
    <definedName name="Typ" localSheetId="17">#REF!</definedName>
    <definedName name="Typ" localSheetId="32">#REF!</definedName>
    <definedName name="Typ" localSheetId="42">#REF!</definedName>
    <definedName name="Typ" localSheetId="25">#REF!</definedName>
    <definedName name="Typ" localSheetId="1">#REF!</definedName>
    <definedName name="Typ">#REF!</definedName>
    <definedName name="v" localSheetId="10">'[8]Rekapitulace roz.  vč. kapitol'!#REF!</definedName>
    <definedName name="v" localSheetId="22">'[8]Rekapitulace roz.  vč. kapitol'!#REF!</definedName>
    <definedName name="v" localSheetId="23">'[8]Rekapitulace roz.  vč. kapitol'!#REF!</definedName>
    <definedName name="v" localSheetId="21">'[8]Rekapitulace roz.  vč. kapitol'!#REF!</definedName>
    <definedName name="v" localSheetId="24">'[8]Rekapitulace roz.  vč. kapitol'!#REF!</definedName>
    <definedName name="v" localSheetId="28">'[8]Rekapitulace roz.  vč. kapitol'!#REF!</definedName>
    <definedName name="v" localSheetId="26">'[8]Rekapitulace roz.  vč. kapitol'!#REF!</definedName>
    <definedName name="v" localSheetId="27">'[8]Rekapitulace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8">'[8]Rekapitulace roz.  vč. kapitol'!#REF!</definedName>
    <definedName name="v" localSheetId="29">'[8]Rekapitulace roz.  vč. kapitol'!#REF!</definedName>
    <definedName name="v" localSheetId="30">'[8]Rekapitulace roz.  vč. kapitol'!#REF!</definedName>
    <definedName name="v" localSheetId="31">'[8]Rekapitulace roz.  vč. kapitol'!#REF!</definedName>
    <definedName name="v" localSheetId="35">'[8]Rekapitulace roz.  vč. kapitol'!#REF!</definedName>
    <definedName name="v" localSheetId="34">'[8]Rekapitulace roz.  vč. kapitol'!#REF!</definedName>
    <definedName name="v" localSheetId="33">'[8]Rekapitulace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7">'[8]Rekapitulace roz.  vč. kapitol'!#REF!</definedName>
    <definedName name="v" localSheetId="48">'[8]Rekapitulace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17">'[8]Rekapitulace roz.  vč. kapitol'!#REF!</definedName>
    <definedName name="v" localSheetId="32">'[8]Rekapitulace roz.  vč. kapitol'!#REF!</definedName>
    <definedName name="v" localSheetId="42">'[8]Rekapitulace roz.  vč. kapitol'!#REF!</definedName>
    <definedName name="v" localSheetId="25">'[8]Rekapitulace roz.  vč. kapitol'!#REF!</definedName>
    <definedName name="v" localSheetId="20">'[8]Rekapitulace roz.  vč. kapitol'!#REF!</definedName>
    <definedName name="v" localSheetId="1">'[8]Rekapitulace roz.  vč. kapitol'!#REF!</definedName>
    <definedName name="v">'[8]Rekapitulace roz.  vč. kapitol'!#REF!</definedName>
    <definedName name="Values_Entered" localSheetId="10">IF('D.1.4.1. ZTI'!Loan_Amount*'D.1.4.1. ZTI'!Interest_Rate*'D.1.4.1. ZTI'!Loan_Years*'D.1.4.1. ZTI'!Loan_Start&gt;0,1,0)</definedName>
    <definedName name="Values_Entered" localSheetId="22">IF('D.1.4.10.1. MOBILIÁŘ'!Loan_Amount*'D.1.4.10.1. MOBILIÁŘ'!Interest_Rate*'D.1.4.10.1. MOBILIÁŘ'!Loan_Years*'D.1.4.10.1. MOBILIÁŘ'!Loan_Start&gt;0,1,0)</definedName>
    <definedName name="Values_Entered" localSheetId="23">IF('D.1.4.10.1. OPLOCENÍ'!Loan_Amount*'D.1.4.10.1. OPLOCENÍ'!Interest_Rate*'D.1.4.10.1. OPLOCENÍ'!Loan_Years*'D.1.4.10.1. OPLOCENÍ'!Loan_Start&gt;0,1,0)</definedName>
    <definedName name="Values_Entered" localSheetId="21">IF('D.1.4.10.1. SADOVÉ ÚPRAVY'!Loan_Amount*'D.1.4.10.1. SADOVÉ ÚPRAVY'!Interest_Rate*'D.1.4.10.1. SADOVÉ ÚPRAVY'!Loan_Years*'D.1.4.10.1. SADOVÉ ÚPRAVY'!Loan_Start&gt;0,1,0)</definedName>
    <definedName name="Values_Entered" localSheetId="24">IF('D.1.4.10.2. ZP. PLOCHY A KOMUN.'!Loan_Amount*'D.1.4.10.2. ZP. PLOCHY A KOMUN.'!Interest_Rate*'D.1.4.10.2. ZP. PLOCHY A KOMUN.'!Loan_Years*'D.1.4.10.2. ZP. PLOCHY A KOMUN.'!Loan_Start&gt;0,1,0)</definedName>
    <definedName name="Values_Entered" localSheetId="28">IF('D.1.4.10.3. DROBNÁ ARCH. - KOL.'!Loan_Amount*'D.1.4.10.3. DROBNÁ ARCH. - KOL.'!Interest_Rate*'D.1.4.10.3. DROBNÁ ARCH. - KOL.'!Loan_Years*'D.1.4.10.3. DROBNÁ ARCH. - KOL.'!Loan_Start&gt;0,1,0)</definedName>
    <definedName name="Values_Entered" localSheetId="26">IF('D.1.4.10.3. DROBNÁ ARCH. - SKL.'!Loan_Amount*'D.1.4.10.3. DROBNÁ ARCH. - SKL.'!Interest_Rate*'D.1.4.10.3. DROBNÁ ARCH. - SKL.'!Loan_Years*'D.1.4.10.3. DROBNÁ ARCH. - SKL.'!Loan_Start&gt;0,1,0)</definedName>
    <definedName name="Values_Entered" localSheetId="27">IF('D.1.4.10.3. DROBNÁ ARCH. - ZÁZ.'!Loan_Amount*'D.1.4.10.3. DROBNÁ ARCH. - ZÁZ.'!Interest_Rate*'D.1.4.10.3. DROBNÁ ARCH. - ZÁZ.'!Loan_Years*'D.1.4.10.3. DROBNÁ ARCH. - ZÁZ.'!Loan_Start&gt;0,1,0)</definedName>
    <definedName name="Values_Entered" localSheetId="11">IF('D.1.4.2. ODBĚR. PLYN. ZAŘÍZ.'!Loan_Amount*'D.1.4.2. ODBĚR. PLYN. ZAŘÍZ.'!Interest_Rate*'D.1.4.2. ODBĚR. PLYN. ZAŘÍZ.'!Loan_Years*'D.1.4.2. ODBĚR. PLYN. ZAŘÍZ.'!Loan_Start&gt;0,1,0)</definedName>
    <definedName name="Values_Entered" localSheetId="12">IF('D.1.4.3. VZDUCHOTECHNIKA'!Loan_Amount*Interest_Rate*'D.1.4.3. VZDUCHOTECHNIKA'!Loan_Years*'D.1.4.3. VZDUCHOTECHNIKA'!Loan_Start&gt;0,1,0)</definedName>
    <definedName name="Values_Entered" localSheetId="13">IF('D.1.4.4. VYTÁPĚNÍ'!Loan_Amount*'D.1.4.4. VYTÁPĚNÍ'!Interest_Rate*'D.1.4.4. VYTÁPĚNÍ'!Loan_Years*'D.1.4.4. VYTÁPĚNÍ'!Loan_Start&gt;0,1,0)</definedName>
    <definedName name="Values_Entered" localSheetId="18">IF('D.1.4.8. EL. KOMUNIKACE'!Loan_Amount*'D.1.4.8. EL. KOMUNIKACE'!Interest_Rate*'D.1.4.8. EL. KOMUNIKACE'!Loan_Years*'D.1.4.8. EL. KOMUNIKACE'!Loan_Start&gt;0,1,0)</definedName>
    <definedName name="Values_Entered" localSheetId="29">IF('D.2.1. PŘÍPOJKA VODOVODU'!Loan_Amount*'D.2.1. PŘÍPOJKA VODOVODU'!Interest_Rate*'D.2.1. PŘÍPOJKA VODOVODU'!Loan_Years*'D.2.1. PŘÍPOJKA VODOVODU'!Loan_Start&gt;0,1,0)</definedName>
    <definedName name="Values_Entered" localSheetId="30">IF('D.2.1.1. AREÁLOVÝ VODOVOD'!Loan_Amount*'D.2.1.1. AREÁLOVÝ VODOVOD'!Interest_Rate*'D.2.1.1. AREÁLOVÝ VODOVOD'!Loan_Years*'D.2.1.1. AREÁLOVÝ VODOVOD'!Loan_Start&gt;0,1,0)</definedName>
    <definedName name="Values_Entered" localSheetId="31">IF('D.2.2. PŘÍPOJKA KANALIZACE'!Loan_Amount*'D.2.2. PŘÍPOJKA KANALIZACE'!Interest_Rate*'D.2.2. PŘÍPOJKA KANALIZACE'!Loan_Years*'D.2.2. PŘÍPOJKA KANALIZACE'!Loan_Start&gt;0,1,0)</definedName>
    <definedName name="Values_Entered" localSheetId="35">IF('D.2.3. AKUMULAČNÍ NÁDRŽ'!Loan_Amount*'D.2.3. AKUMULAČNÍ NÁDRŽ'!Interest_Rate*'D.2.3. AKUMULAČNÍ NÁDRŽ'!Loan_Years*'D.2.3. AKUMULAČNÍ NÁDRŽ'!Loan_Start&gt;0,1,0)</definedName>
    <definedName name="Values_Entered" localSheetId="34">IF('D.2.3. AREÁL DEŠŤOVÁ KANAL.'!Loan_Amount*'D.2.3. AREÁL DEŠŤOVÁ KANAL.'!Interest_Rate*'D.2.3. AREÁL DEŠŤOVÁ KANAL.'!Loan_Years*'D.2.3. AREÁL DEŠŤOVÁ KANAL.'!Loan_Start&gt;0,1,0)</definedName>
    <definedName name="Values_Entered" localSheetId="33">IF('D.2.3. AREÁL SPLAŠKOVÁ KANAL.'!Loan_Amount*'D.2.3. AREÁL SPLAŠKOVÁ KANAL.'!Interest_Rate*'D.2.3. AREÁL SPLAŠKOVÁ KANAL.'!Loan_Years*'D.2.3. AREÁL SPLAŠKOVÁ KANAL.'!Loan_Start&gt;0,1,0)</definedName>
    <definedName name="Values_Entered" localSheetId="36">IF('D.2.3. ČERPACÍ STANICE'!Loan_Amount*'D.2.3. ČERPACÍ STANICE'!Interest_Rate*'D.2.3. ČERPACÍ STANICE'!Loan_Years*'D.2.3. ČERPACÍ STANICE'!Loan_Start&gt;0,1,0)</definedName>
    <definedName name="Values_Entered" localSheetId="37">IF('D.2.3. VSAKOVACÍ NÁDRŽE'!Loan_Amount*'D.2.3. VSAKOVACÍ NÁDRŽE'!Interest_Rate*'D.2.3. VSAKOVACÍ NÁDRŽE'!Loan_Years*'D.2.3. VSAKOVACÍ NÁDRŽE'!Loan_Start&gt;0,1,0)</definedName>
    <definedName name="Values_Entered" localSheetId="38">IF('D.2.4. PŘELOŽKA STL PLYNOVODU'!Loan_Amount*'D.2.4. PŘELOŽKA STL PLYNOVODU'!Interest_Rate*'D.2.4. PŘELOŽKA STL PLYNOVODU'!Loan_Years*'D.2.4. PŘELOŽKA STL PLYNOVODU'!Loan_Start&gt;0,1,0)</definedName>
    <definedName name="Values_Entered" localSheetId="39">IF('D.2.5. PŘÍPOJKA NN'!Loan_Amount*'D.2.5. PŘÍPOJKA NN'!Interest_Rate*'D.2.5. PŘÍPOJKA NN'!Loan_Years*'D.2.5. PŘÍPOJKA NN'!Loan_Start&gt;0,1,0)</definedName>
    <definedName name="Values_Entered" localSheetId="40">IF('D.2.6. PŘÍPOJKA EL. KOMUNIKACE'!Loan_Amount*'D.2.6. PŘÍPOJKA EL. KOMUNIKACE'!Interest_Rate*'D.2.6. PŘÍPOJKA EL. KOMUNIKACE'!Loan_Years*'D.2.6. PŘÍPOJKA EL. KOMUNIKACE'!Loan_Start&gt;0,1,0)</definedName>
    <definedName name="Values_Entered" localSheetId="41">IF('D.2.7. AREÁL OSVĚTLENÍ - TR. A1'!Loan_Amount*'D.2.7. AREÁL OSVĚTLENÍ - TR. A1'!Interest_Rate*'D.2.7. AREÁL OSVĚTLENÍ - TR. A1'!Loan_Years*'D.2.7. AREÁL OSVĚTLENÍ - TR. A1'!Loan_Start&gt;0,1,0)</definedName>
    <definedName name="Values_Entered" localSheetId="47">IF('D.2.8. AREÁL VEDENÍ NN-TR.  NN5'!Loan_Amount*'D.2.8. AREÁL VEDENÍ NN-TR.  NN5'!Interest_Rate*'D.2.8. AREÁL VEDENÍ NN-TR.  NN5'!Loan_Years*'D.2.8. AREÁL VEDENÍ NN-TR.  NN5'!Loan_Start&gt;0,1,0)</definedName>
    <definedName name="Values_Entered" localSheetId="48">IF('D.2.8. AREÁL VEDENÍ NN-TR.  NN6'!Loan_Amount*'D.2.8. AREÁL VEDENÍ NN-TR.  NN6'!Interest_Rate*'D.2.8. AREÁL VEDENÍ NN-TR.  NN6'!Loan_Years*'D.2.8. AREÁL VEDENÍ NN-TR.  NN6'!Loan_Start&gt;0,1,0)</definedName>
    <definedName name="Values_Entered" localSheetId="43">IF('D.2.8. AREÁL VEDENÍ NN-TR. NN1 '!Loan_Amount*'D.2.8. AREÁL VEDENÍ NN-TR. NN1 '!Interest_Rate*'D.2.8. AREÁL VEDENÍ NN-TR. NN1 '!Loan_Years*'D.2.8. AREÁL VEDENÍ NN-TR. NN1 '!Loan_Start&gt;0,1,0)</definedName>
    <definedName name="Values_Entered" localSheetId="44">IF('D.2.8. AREÁL VEDENÍ NN-TR. NN2'!Loan_Amount*'D.2.8. AREÁL VEDENÍ NN-TR. NN2'!Interest_Rate*'D.2.8. AREÁL VEDENÍ NN-TR. NN2'!Loan_Years*'D.2.8. AREÁL VEDENÍ NN-TR. NN2'!Loan_Start&gt;0,1,0)</definedName>
    <definedName name="Values_Entered" localSheetId="45">IF('D.2.8. AREÁL VEDENÍ NN-TR. NN3'!Loan_Amount*'D.2.8. AREÁL VEDENÍ NN-TR. NN3'!Interest_Rate*'D.2.8. AREÁL VEDENÍ NN-TR. NN3'!Loan_Years*'D.2.8. AREÁL VEDENÍ NN-TR. NN3'!Loan_Start&gt;0,1,0)</definedName>
    <definedName name="Values_Entered" localSheetId="46">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7">IF(Loan_Amount*Interest_Rate*Loan_Years*Loan_Start&gt;0,1,0)</definedName>
    <definedName name="Values_Entered" localSheetId="32">IF('REKAPITULACE - AREÁL KAN'!Loan_Amount*'REKAPITULACE - AREÁL KAN'!Interest_Rate*'REKAPITULACE - AREÁL KAN'!Loan_Years*'REKAPITULACE - AREÁL KAN'!Loan_Start&gt;0,1,0)</definedName>
    <definedName name="Values_Entered" localSheetId="42">IF('REKAPITULACE - AREÁL NN'!Loan_Amount*'REKAPITULACE - AREÁL NN'!Interest_Rate*'REKAPITULACE - AREÁL NN'!Loan_Years*'REKAPITULACE - AREÁL NN'!Loan_Start&gt;0,1,0)</definedName>
    <definedName name="Values_Entered" localSheetId="25">IF('REKAPITULACE - DA'!Loan_Amount*Interest_Rate*Loan_Years*Loan_Start&gt;0,1,0)</definedName>
    <definedName name="Values_Entered" localSheetId="20">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22" hidden="1">{#N/A,#N/A,TRUE,"Krycí list"}</definedName>
    <definedName name="VIZA" localSheetId="23" hidden="1">{#N/A,#N/A,TRUE,"Krycí list"}</definedName>
    <definedName name="VIZA" localSheetId="21" hidden="1">{#N/A,#N/A,TRUE,"Krycí list"}</definedName>
    <definedName name="VIZA" localSheetId="24" hidden="1">{#N/A,#N/A,TRUE,"Krycí list"}</definedName>
    <definedName name="VIZA" localSheetId="28" hidden="1">{#N/A,#N/A,TRUE,"Krycí list"}</definedName>
    <definedName name="VIZA" localSheetId="26" hidden="1">{#N/A,#N/A,TRUE,"Krycí list"}</definedName>
    <definedName name="VIZA" localSheetId="27"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8" hidden="1">{#N/A,#N/A,TRUE,"Krycí list"}</definedName>
    <definedName name="VIZA" localSheetId="29" hidden="1">{#N/A,#N/A,TRUE,"Krycí list"}</definedName>
    <definedName name="VIZA" localSheetId="30" hidden="1">{#N/A,#N/A,TRUE,"Krycí list"}</definedName>
    <definedName name="VIZA" localSheetId="31"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0" hidden="1">{#N/A,#N/A,TRUE,"Krycí list"}</definedName>
    <definedName name="VIZA" localSheetId="17" hidden="1">{#N/A,#N/A,TRUE,"Krycí list"}</definedName>
    <definedName name="VIZA" localSheetId="32" hidden="1">{#N/A,#N/A,TRUE,"Krycí list"}</definedName>
    <definedName name="VIZA" localSheetId="42" hidden="1">{#N/A,#N/A,TRUE,"Krycí list"}</definedName>
    <definedName name="VIZA" localSheetId="25" hidden="1">{#N/A,#N/A,TRUE,"Krycí list"}</definedName>
    <definedName name="VIZA" localSheetId="20"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22" hidden="1">{#N/A,#N/A,TRUE,"Krycí list"}</definedName>
    <definedName name="VIZA12" localSheetId="23" hidden="1">{#N/A,#N/A,TRUE,"Krycí list"}</definedName>
    <definedName name="VIZA12" localSheetId="21" hidden="1">{#N/A,#N/A,TRUE,"Krycí list"}</definedName>
    <definedName name="VIZA12" localSheetId="24" hidden="1">{#N/A,#N/A,TRUE,"Krycí list"}</definedName>
    <definedName name="VIZA12" localSheetId="28" hidden="1">{#N/A,#N/A,TRUE,"Krycí list"}</definedName>
    <definedName name="VIZA12" localSheetId="26" hidden="1">{#N/A,#N/A,TRUE,"Krycí list"}</definedName>
    <definedName name="VIZA12" localSheetId="27"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8" hidden="1">{#N/A,#N/A,TRUE,"Krycí list"}</definedName>
    <definedName name="VIZA12" localSheetId="29" hidden="1">{#N/A,#N/A,TRUE,"Krycí list"}</definedName>
    <definedName name="VIZA12" localSheetId="30" hidden="1">{#N/A,#N/A,TRUE,"Krycí list"}</definedName>
    <definedName name="VIZA12" localSheetId="31"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0" hidden="1">{#N/A,#N/A,TRUE,"Krycí list"}</definedName>
    <definedName name="VIZA12" localSheetId="17" hidden="1">{#N/A,#N/A,TRUE,"Krycí list"}</definedName>
    <definedName name="VIZA12" localSheetId="32" hidden="1">{#N/A,#N/A,TRUE,"Krycí list"}</definedName>
    <definedName name="VIZA12" localSheetId="42" hidden="1">{#N/A,#N/A,TRUE,"Krycí list"}</definedName>
    <definedName name="VIZA12" localSheetId="25" hidden="1">{#N/A,#N/A,TRUE,"Krycí list"}</definedName>
    <definedName name="VIZA12" localSheetId="20" hidden="1">{#N/A,#N/A,TRUE,"Krycí list"}</definedName>
    <definedName name="VIZA12" localSheetId="1" hidden="1">{#N/A,#N/A,TRUE,"Krycí list"}</definedName>
    <definedName name="VIZA12" hidden="1">{#N/A,#N/A,TRUE,"Krycí list"}</definedName>
    <definedName name="VRN" localSheetId="10">#REF!</definedName>
    <definedName name="VRN" localSheetId="22">#REF!</definedName>
    <definedName name="VRN" localSheetId="23">#REF!</definedName>
    <definedName name="VRN" localSheetId="21">#REF!</definedName>
    <definedName name="VRN" localSheetId="24">#REF!</definedName>
    <definedName name="VRN" localSheetId="28">#REF!</definedName>
    <definedName name="VRN" localSheetId="26">#REF!</definedName>
    <definedName name="VRN" localSheetId="27">#REF!</definedName>
    <definedName name="VRN" localSheetId="11">#REF!</definedName>
    <definedName name="VRN" localSheetId="12">#REF!</definedName>
    <definedName name="VRN" localSheetId="13">#REF!</definedName>
    <definedName name="VRN" localSheetId="18">#REF!</definedName>
    <definedName name="VRN" localSheetId="29">#REF!</definedName>
    <definedName name="VRN" localSheetId="30">#REF!</definedName>
    <definedName name="VRN" localSheetId="31">#REF!</definedName>
    <definedName name="VRN" localSheetId="35">#REF!</definedName>
    <definedName name="VRN" localSheetId="34">#REF!</definedName>
    <definedName name="VRN" localSheetId="33">#REF!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7">#REF!</definedName>
    <definedName name="VRN" localSheetId="48">#REF!</definedName>
    <definedName name="VRN" localSheetId="43">#REF!</definedName>
    <definedName name="VRN" localSheetId="44">#REF!</definedName>
    <definedName name="VRN" localSheetId="45">#REF!</definedName>
    <definedName name="VRN" localSheetId="46">#REF!</definedName>
    <definedName name="VRN" localSheetId="0">#REF!</definedName>
    <definedName name="VRN" localSheetId="17">#REF!</definedName>
    <definedName name="VRN" localSheetId="32">#REF!</definedName>
    <definedName name="VRN" localSheetId="42">#REF!</definedName>
    <definedName name="VRN" localSheetId="25">#REF!</definedName>
    <definedName name="VRN" localSheetId="20">#REF!</definedName>
    <definedName name="VRN" localSheetId="1">#REF!</definedName>
    <definedName name="VRN">#REF!</definedName>
    <definedName name="VRNKc" localSheetId="10">#REF!</definedName>
    <definedName name="VRNKc" localSheetId="22">#REF!</definedName>
    <definedName name="VRNKc" localSheetId="23">#REF!</definedName>
    <definedName name="VRNKc" localSheetId="21">#REF!</definedName>
    <definedName name="VRNKc" localSheetId="24">#REF!</definedName>
    <definedName name="VRNKc" localSheetId="28">#REF!</definedName>
    <definedName name="VRNKc" localSheetId="26">#REF!</definedName>
    <definedName name="VRNKc" localSheetId="27">#REF!</definedName>
    <definedName name="VRNKc" localSheetId="11">#REF!</definedName>
    <definedName name="VRNKc" localSheetId="12">#REF!</definedName>
    <definedName name="VRNKc" localSheetId="13">#REF!</definedName>
    <definedName name="VRNKc" localSheetId="18">#REF!</definedName>
    <definedName name="VRNKc" localSheetId="29">#REF!</definedName>
    <definedName name="VRNKc" localSheetId="30">#REF!</definedName>
    <definedName name="VRNKc" localSheetId="31">#REF!</definedName>
    <definedName name="VRNKc" localSheetId="35">#REF!</definedName>
    <definedName name="VRNKc" localSheetId="34">#REF!</definedName>
    <definedName name="VRNKc" localSheetId="33">#REF!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7">#REF!</definedName>
    <definedName name="VRNKc" localSheetId="48">#REF!</definedName>
    <definedName name="VRNKc" localSheetId="43">#REF!</definedName>
    <definedName name="VRNKc" localSheetId="44">#REF!</definedName>
    <definedName name="VRNKc" localSheetId="45">#REF!</definedName>
    <definedName name="VRNKc" localSheetId="46">#REF!</definedName>
    <definedName name="VRNKc" localSheetId="0">#REF!</definedName>
    <definedName name="VRNKc" localSheetId="17">#REF!</definedName>
    <definedName name="VRNKc" localSheetId="32">#REF!</definedName>
    <definedName name="VRNKc" localSheetId="42">#REF!</definedName>
    <definedName name="VRNKc" localSheetId="25">#REF!</definedName>
    <definedName name="VRNKc" localSheetId="20">#REF!</definedName>
    <definedName name="VRNKc" localSheetId="1">#REF!</definedName>
    <definedName name="VRNKc">#REF!</definedName>
    <definedName name="VRNnazev" localSheetId="10">#REF!</definedName>
    <definedName name="VRNnazev" localSheetId="22">#REF!</definedName>
    <definedName name="VRNnazev" localSheetId="23">#REF!</definedName>
    <definedName name="VRNnazev" localSheetId="21">#REF!</definedName>
    <definedName name="VRNnazev" localSheetId="24">#REF!</definedName>
    <definedName name="VRNnazev" localSheetId="28">#REF!</definedName>
    <definedName name="VRNnazev" localSheetId="26">#REF!</definedName>
    <definedName name="VRNnazev" localSheetId="27">#REF!</definedName>
    <definedName name="VRNnazev" localSheetId="11">#REF!</definedName>
    <definedName name="VRNnazev" localSheetId="12">#REF!</definedName>
    <definedName name="VRNnazev" localSheetId="13">#REF!</definedName>
    <definedName name="VRNnazev" localSheetId="18">#REF!</definedName>
    <definedName name="VRNnazev" localSheetId="29">#REF!</definedName>
    <definedName name="VRNnazev" localSheetId="30">#REF!</definedName>
    <definedName name="VRNnazev" localSheetId="31">#REF!</definedName>
    <definedName name="VRNnazev" localSheetId="35">#REF!</definedName>
    <definedName name="VRNnazev" localSheetId="34">#REF!</definedName>
    <definedName name="VRNnazev" localSheetId="33">#REF!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7">#REF!</definedName>
    <definedName name="VRNnazev" localSheetId="48">#REF!</definedName>
    <definedName name="VRNnazev" localSheetId="43">#REF!</definedName>
    <definedName name="VRNnazev" localSheetId="44">#REF!</definedName>
    <definedName name="VRNnazev" localSheetId="45">#REF!</definedName>
    <definedName name="VRNnazev" localSheetId="46">#REF!</definedName>
    <definedName name="VRNnazev" localSheetId="0">#REF!</definedName>
    <definedName name="VRNnazev" localSheetId="17">#REF!</definedName>
    <definedName name="VRNnazev" localSheetId="32">#REF!</definedName>
    <definedName name="VRNnazev" localSheetId="42">#REF!</definedName>
    <definedName name="VRNnazev" localSheetId="25">#REF!</definedName>
    <definedName name="VRNnazev" localSheetId="20">#REF!</definedName>
    <definedName name="VRNnazev" localSheetId="1">#REF!</definedName>
    <definedName name="VRNnazev">#REF!</definedName>
    <definedName name="VRNproc" localSheetId="10">#REF!</definedName>
    <definedName name="VRNproc" localSheetId="22">#REF!</definedName>
    <definedName name="VRNproc" localSheetId="23">#REF!</definedName>
    <definedName name="VRNproc" localSheetId="21">#REF!</definedName>
    <definedName name="VRNproc" localSheetId="24">#REF!</definedName>
    <definedName name="VRNproc" localSheetId="28">#REF!</definedName>
    <definedName name="VRNproc" localSheetId="26">#REF!</definedName>
    <definedName name="VRNproc" localSheetId="27">#REF!</definedName>
    <definedName name="VRNproc" localSheetId="11">#REF!</definedName>
    <definedName name="VRNproc" localSheetId="13">#REF!</definedName>
    <definedName name="VRNproc" localSheetId="18">#REF!</definedName>
    <definedName name="VRNproc" localSheetId="29">#REF!</definedName>
    <definedName name="VRNproc" localSheetId="30">#REF!</definedName>
    <definedName name="VRNproc" localSheetId="31">#REF!</definedName>
    <definedName name="VRNproc" localSheetId="35">#REF!</definedName>
    <definedName name="VRNproc" localSheetId="34">#REF!</definedName>
    <definedName name="VRNproc" localSheetId="33">#REF!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7">#REF!</definedName>
    <definedName name="VRNproc" localSheetId="48">#REF!</definedName>
    <definedName name="VRNproc" localSheetId="43">#REF!</definedName>
    <definedName name="VRNproc" localSheetId="44">#REF!</definedName>
    <definedName name="VRNproc" localSheetId="45">#REF!</definedName>
    <definedName name="VRNproc" localSheetId="46">#REF!</definedName>
    <definedName name="VRNproc" localSheetId="0">#REF!</definedName>
    <definedName name="VRNproc" localSheetId="32">#REF!</definedName>
    <definedName name="VRNproc" localSheetId="42">#REF!</definedName>
    <definedName name="VRNproc" localSheetId="1">#REF!</definedName>
    <definedName name="VRNproc">#REF!</definedName>
    <definedName name="VRNzakl" localSheetId="10">#REF!</definedName>
    <definedName name="VRNzakl" localSheetId="22">#REF!</definedName>
    <definedName name="VRNzakl" localSheetId="23">#REF!</definedName>
    <definedName name="VRNzakl" localSheetId="21">#REF!</definedName>
    <definedName name="VRNzakl" localSheetId="24">#REF!</definedName>
    <definedName name="VRNzakl" localSheetId="28">#REF!</definedName>
    <definedName name="VRNzakl" localSheetId="26">#REF!</definedName>
    <definedName name="VRNzakl" localSheetId="27">#REF!</definedName>
    <definedName name="VRNzakl" localSheetId="11">#REF!</definedName>
    <definedName name="VRNzakl" localSheetId="13">#REF!</definedName>
    <definedName name="VRNzakl" localSheetId="18">#REF!</definedName>
    <definedName name="VRNzakl" localSheetId="29">#REF!</definedName>
    <definedName name="VRNzakl" localSheetId="30">#REF!</definedName>
    <definedName name="VRNzakl" localSheetId="31">#REF!</definedName>
    <definedName name="VRNzakl" localSheetId="35">#REF!</definedName>
    <definedName name="VRNzakl" localSheetId="34">#REF!</definedName>
    <definedName name="VRNzakl" localSheetId="33">#REF!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7">#REF!</definedName>
    <definedName name="VRNzakl" localSheetId="48">#REF!</definedName>
    <definedName name="VRNzakl" localSheetId="43">#REF!</definedName>
    <definedName name="VRNzakl" localSheetId="44">#REF!</definedName>
    <definedName name="VRNzakl" localSheetId="45">#REF!</definedName>
    <definedName name="VRNzakl" localSheetId="46">#REF!</definedName>
    <definedName name="VRNzakl" localSheetId="0">#REF!</definedName>
    <definedName name="VRNzakl" localSheetId="32">#REF!</definedName>
    <definedName name="VRNzakl" localSheetId="42">#REF!</definedName>
    <definedName name="VRNzakl" localSheetId="1">#REF!</definedName>
    <definedName name="VRNzakl">#REF!</definedName>
    <definedName name="výpočty" localSheetId="10">#REF!</definedName>
    <definedName name="výpočty" localSheetId="22">#REF!</definedName>
    <definedName name="výpočty" localSheetId="23">#REF!</definedName>
    <definedName name="výpočty" localSheetId="21">#REF!</definedName>
    <definedName name="výpočty" localSheetId="24">#REF!</definedName>
    <definedName name="výpočty" localSheetId="28">#REF!</definedName>
    <definedName name="výpočty" localSheetId="26">#REF!</definedName>
    <definedName name="výpočty" localSheetId="27">#REF!</definedName>
    <definedName name="výpočty" localSheetId="11">#REF!</definedName>
    <definedName name="výpočty" localSheetId="13">#REF!</definedName>
    <definedName name="výpočty" localSheetId="18">#REF!</definedName>
    <definedName name="výpočty" localSheetId="29">#REF!</definedName>
    <definedName name="výpočty" localSheetId="30">#REF!</definedName>
    <definedName name="výpočty" localSheetId="31">#REF!</definedName>
    <definedName name="výpočty" localSheetId="35">#REF!</definedName>
    <definedName name="výpočty" localSheetId="34">#REF!</definedName>
    <definedName name="výpočty" localSheetId="33">#REF!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7">#REF!</definedName>
    <definedName name="výpočty" localSheetId="48">#REF!</definedName>
    <definedName name="výpočty" localSheetId="43">#REF!</definedName>
    <definedName name="výpočty" localSheetId="44">#REF!</definedName>
    <definedName name="výpočty" localSheetId="45">#REF!</definedName>
    <definedName name="výpočty" localSheetId="46">#REF!</definedName>
    <definedName name="výpočty" localSheetId="32">#REF!</definedName>
    <definedName name="výpočty" localSheetId="42">#REF!</definedName>
    <definedName name="výpočty" localSheetId="1">#REF!</definedName>
    <definedName name="výpočty">#REF!</definedName>
    <definedName name="vystup" localSheetId="10">#REF!</definedName>
    <definedName name="vystup" localSheetId="22">#REF!</definedName>
    <definedName name="vystup" localSheetId="23">#REF!</definedName>
    <definedName name="vystup" localSheetId="21">#REF!</definedName>
    <definedName name="vystup" localSheetId="24">#REF!</definedName>
    <definedName name="vystup" localSheetId="28">#REF!</definedName>
    <definedName name="vystup" localSheetId="26">#REF!</definedName>
    <definedName name="vystup" localSheetId="27">#REF!</definedName>
    <definedName name="vystup" localSheetId="11">#REF!</definedName>
    <definedName name="vystup" localSheetId="13">#REF!</definedName>
    <definedName name="vystup" localSheetId="18">#REF!</definedName>
    <definedName name="vystup" localSheetId="29">#REF!</definedName>
    <definedName name="vystup" localSheetId="30">#REF!</definedName>
    <definedName name="vystup" localSheetId="31">#REF!</definedName>
    <definedName name="vystup" localSheetId="35">#REF!</definedName>
    <definedName name="vystup" localSheetId="34">#REF!</definedName>
    <definedName name="vystup" localSheetId="33">#REF!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7">#REF!</definedName>
    <definedName name="vystup" localSheetId="48">#REF!</definedName>
    <definedName name="vystup" localSheetId="43">#REF!</definedName>
    <definedName name="vystup" localSheetId="44">#REF!</definedName>
    <definedName name="vystup" localSheetId="45">#REF!</definedName>
    <definedName name="vystup" localSheetId="46">#REF!</definedName>
    <definedName name="vystup" localSheetId="32">#REF!</definedName>
    <definedName name="vystup" localSheetId="42">#REF!</definedName>
    <definedName name="vystup" localSheetId="1">#REF!</definedName>
    <definedName name="vystup">#REF!</definedName>
    <definedName name="vzduchna" localSheetId="10" hidden="1">{#N/A,#N/A,TRUE,"Krycí list"}</definedName>
    <definedName name="vzduchna" localSheetId="22" hidden="1">{#N/A,#N/A,TRUE,"Krycí list"}</definedName>
    <definedName name="vzduchna" localSheetId="23" hidden="1">{#N/A,#N/A,TRUE,"Krycí list"}</definedName>
    <definedName name="vzduchna" localSheetId="21" hidden="1">{#N/A,#N/A,TRUE,"Krycí list"}</definedName>
    <definedName name="vzduchna" localSheetId="24" hidden="1">{#N/A,#N/A,TRUE,"Krycí list"}</definedName>
    <definedName name="vzduchna" localSheetId="28" hidden="1">{#N/A,#N/A,TRUE,"Krycí list"}</definedName>
    <definedName name="vzduchna" localSheetId="26" hidden="1">{#N/A,#N/A,TRUE,"Krycí list"}</definedName>
    <definedName name="vzduchna" localSheetId="27"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8" hidden="1">{#N/A,#N/A,TRUE,"Krycí list"}</definedName>
    <definedName name="vzduchna" localSheetId="29" hidden="1">{#N/A,#N/A,TRUE,"Krycí list"}</definedName>
    <definedName name="vzduchna" localSheetId="30" hidden="1">{#N/A,#N/A,TRUE,"Krycí list"}</definedName>
    <definedName name="vzduchna" localSheetId="31"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0" hidden="1">{#N/A,#N/A,TRUE,"Krycí list"}</definedName>
    <definedName name="vzduchna" localSheetId="17" hidden="1">{#N/A,#N/A,TRUE,"Krycí list"}</definedName>
    <definedName name="vzduchna" localSheetId="32" hidden="1">{#N/A,#N/A,TRUE,"Krycí list"}</definedName>
    <definedName name="vzduchna" localSheetId="42" hidden="1">{#N/A,#N/A,TRUE,"Krycí list"}</definedName>
    <definedName name="vzduchna" localSheetId="25" hidden="1">{#N/A,#N/A,TRUE,"Krycí list"}</definedName>
    <definedName name="vzduchna" localSheetId="20"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22" hidden="1">{#N/A,#N/A,TRUE,"Krycí list"}</definedName>
    <definedName name="Weak" localSheetId="23" hidden="1">{#N/A,#N/A,TRUE,"Krycí list"}</definedName>
    <definedName name="Weak" localSheetId="21" hidden="1">{#N/A,#N/A,TRUE,"Krycí list"}</definedName>
    <definedName name="Weak" localSheetId="24" hidden="1">{#N/A,#N/A,TRUE,"Krycí list"}</definedName>
    <definedName name="Weak" localSheetId="28" hidden="1">{#N/A,#N/A,TRUE,"Krycí list"}</definedName>
    <definedName name="Weak" localSheetId="26" hidden="1">{#N/A,#N/A,TRUE,"Krycí list"}</definedName>
    <definedName name="Weak" localSheetId="27"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8" hidden="1">{#N/A,#N/A,TRUE,"Krycí list"}</definedName>
    <definedName name="Weak" localSheetId="29" hidden="1">{#N/A,#N/A,TRUE,"Krycí list"}</definedName>
    <definedName name="Weak" localSheetId="30" hidden="1">{#N/A,#N/A,TRUE,"Krycí list"}</definedName>
    <definedName name="Weak" localSheetId="31"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0" hidden="1">{#N/A,#N/A,TRUE,"Krycí list"}</definedName>
    <definedName name="Weak" localSheetId="17" hidden="1">{#N/A,#N/A,TRUE,"Krycí list"}</definedName>
    <definedName name="Weak" localSheetId="32" hidden="1">{#N/A,#N/A,TRUE,"Krycí list"}</definedName>
    <definedName name="Weak" localSheetId="42" hidden="1">{#N/A,#N/A,TRUE,"Krycí list"}</definedName>
    <definedName name="Weak" localSheetId="25" hidden="1">{#N/A,#N/A,TRUE,"Krycí list"}</definedName>
    <definedName name="Weak" localSheetId="20"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22" hidden="1">{#N/A,#N/A,TRUE,"Krycí list"}</definedName>
    <definedName name="wrn.Kontrolní._.rozpočet." localSheetId="23" hidden="1">{#N/A,#N/A,TRUE,"Krycí list"}</definedName>
    <definedName name="wrn.Kontrolní._.rozpočet." localSheetId="21" hidden="1">{#N/A,#N/A,TRUE,"Krycí list"}</definedName>
    <definedName name="wrn.Kontrolní._.rozpočet." localSheetId="24" hidden="1">{#N/A,#N/A,TRUE,"Krycí list"}</definedName>
    <definedName name="wrn.Kontrolní._.rozpočet." localSheetId="28" hidden="1">{#N/A,#N/A,TRUE,"Krycí list"}</definedName>
    <definedName name="wrn.Kontrolní._.rozpočet." localSheetId="26" hidden="1">{#N/A,#N/A,TRUE,"Krycí list"}</definedName>
    <definedName name="wrn.Kontrolní._.rozpočet." localSheetId="27"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8" hidden="1">{#N/A,#N/A,TRUE,"Krycí list"}</definedName>
    <definedName name="wrn.Kontrolní._.rozpočet." localSheetId="29" hidden="1">{#N/A,#N/A,TRUE,"Krycí list"}</definedName>
    <definedName name="wrn.Kontrolní._.rozpočet." localSheetId="30" hidden="1">{#N/A,#N/A,TRUE,"Krycí list"}</definedName>
    <definedName name="wrn.Kontrolní._.rozpočet." localSheetId="31"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0" hidden="1">{#N/A,#N/A,TRUE,"Krycí list"}</definedName>
    <definedName name="wrn.Kontrolní._.rozpočet." localSheetId="17" hidden="1">{#N/A,#N/A,TRUE,"Krycí list"}</definedName>
    <definedName name="wrn.Kontrolní._.rozpočet." localSheetId="32" hidden="1">{#N/A,#N/A,TRUE,"Krycí list"}</definedName>
    <definedName name="wrn.Kontrolní._.rozpočet." localSheetId="42" hidden="1">{#N/A,#N/A,TRUE,"Krycí list"}</definedName>
    <definedName name="wrn.Kontrolní._.rozpočet." localSheetId="25" hidden="1">{#N/A,#N/A,TRUE,"Krycí list"}</definedName>
    <definedName name="wrn.Kontrolní._.rozpočet." localSheetId="20"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22" hidden="1">{#N/A,#N/A,TRUE,"Krycí list"}</definedName>
    <definedName name="wrn.Kontrolní._.rozpoeet." localSheetId="23" hidden="1">{#N/A,#N/A,TRUE,"Krycí list"}</definedName>
    <definedName name="wrn.Kontrolní._.rozpoeet." localSheetId="21" hidden="1">{#N/A,#N/A,TRUE,"Krycí list"}</definedName>
    <definedName name="wrn.Kontrolní._.rozpoeet." localSheetId="24" hidden="1">{#N/A,#N/A,TRUE,"Krycí list"}</definedName>
    <definedName name="wrn.Kontrolní._.rozpoeet." localSheetId="28" hidden="1">{#N/A,#N/A,TRUE,"Krycí list"}</definedName>
    <definedName name="wrn.Kontrolní._.rozpoeet." localSheetId="26" hidden="1">{#N/A,#N/A,TRUE,"Krycí list"}</definedName>
    <definedName name="wrn.Kontrolní._.rozpoeet." localSheetId="27"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8" hidden="1">{#N/A,#N/A,TRUE,"Krycí list"}</definedName>
    <definedName name="wrn.Kontrolní._.rozpoeet." localSheetId="29" hidden="1">{#N/A,#N/A,TRUE,"Krycí list"}</definedName>
    <definedName name="wrn.Kontrolní._.rozpoeet." localSheetId="30" hidden="1">{#N/A,#N/A,TRUE,"Krycí list"}</definedName>
    <definedName name="wrn.Kontrolní._.rozpoeet." localSheetId="31"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0" hidden="1">{#N/A,#N/A,TRUE,"Krycí list"}</definedName>
    <definedName name="wrn.Kontrolní._.rozpoeet." localSheetId="17" hidden="1">{#N/A,#N/A,TRUE,"Krycí list"}</definedName>
    <definedName name="wrn.Kontrolní._.rozpoeet." localSheetId="32" hidden="1">{#N/A,#N/A,TRUE,"Krycí list"}</definedName>
    <definedName name="wrn.Kontrolní._.rozpoeet." localSheetId="42" hidden="1">{#N/A,#N/A,TRUE,"Krycí list"}</definedName>
    <definedName name="wrn.Kontrolní._.rozpoeet." localSheetId="25" hidden="1">{#N/A,#N/A,TRUE,"Krycí list"}</definedName>
    <definedName name="wrn.Kontrolní._.rozpoeet." localSheetId="20" hidden="1">{#N/A,#N/A,TRUE,"Krycí list"}</definedName>
    <definedName name="wrn.Kontrolní._.rozpoeet." localSheetId="1" hidden="1">{#N/A,#N/A,TRUE,"Krycí list"}</definedName>
    <definedName name="wrn.Kontrolní._.rozpoeet." hidden="1">{#N/A,#N/A,TRUE,"Krycí list"}</definedName>
    <definedName name="y" localSheetId="10">#REF!</definedName>
    <definedName name="y" localSheetId="24">#REF!</definedName>
    <definedName name="y" localSheetId="11">#REF!</definedName>
    <definedName name="y" localSheetId="13">#REF!</definedName>
    <definedName name="y" localSheetId="29">#REF!</definedName>
    <definedName name="y" localSheetId="30">#REF!</definedName>
    <definedName name="y" localSheetId="31">#REF!</definedName>
    <definedName name="y">#REF!</definedName>
    <definedName name="Z" localSheetId="10">#REF!</definedName>
    <definedName name="Z" localSheetId="23">#REF!</definedName>
    <definedName name="Z" localSheetId="24">#REF!</definedName>
    <definedName name="Z" localSheetId="28">#REF!</definedName>
    <definedName name="Z" localSheetId="26">#REF!</definedName>
    <definedName name="Z" localSheetId="27">#REF!</definedName>
    <definedName name="Z" localSheetId="11">#REF!</definedName>
    <definedName name="Z" localSheetId="12">#REF!</definedName>
    <definedName name="Z" localSheetId="13">#REF!</definedName>
    <definedName name="Z" localSheetId="18">#REF!</definedName>
    <definedName name="Z" localSheetId="29">#REF!</definedName>
    <definedName name="Z" localSheetId="30">#REF!</definedName>
    <definedName name="Z" localSheetId="31">#REF!</definedName>
    <definedName name="Z" localSheetId="35">#REF!</definedName>
    <definedName name="Z" localSheetId="36">#REF!</definedName>
    <definedName name="Z" localSheetId="37">#REF!</definedName>
    <definedName name="Z" localSheetId="25">#REF!</definedName>
    <definedName name="Z">#REF!</definedName>
    <definedName name="zahrnsazby" localSheetId="10">#REF!</definedName>
    <definedName name="zahrnsazby" localSheetId="22">#REF!</definedName>
    <definedName name="zahrnsazby" localSheetId="23">#REF!</definedName>
    <definedName name="zahrnsazby" localSheetId="21">#REF!</definedName>
    <definedName name="zahrnsazby" localSheetId="24">#REF!</definedName>
    <definedName name="zahrnsazby" localSheetId="28">#REF!</definedName>
    <definedName name="zahrnsazby" localSheetId="26">#REF!</definedName>
    <definedName name="zahrnsazby" localSheetId="27">#REF!</definedName>
    <definedName name="zahrnsazby" localSheetId="11">#REF!</definedName>
    <definedName name="zahrnsazby" localSheetId="12">#REF!</definedName>
    <definedName name="zahrnsazby" localSheetId="13">#REF!</definedName>
    <definedName name="zahrnsazby" localSheetId="18">#REF!</definedName>
    <definedName name="zahrnsazby" localSheetId="29">#REF!</definedName>
    <definedName name="zahrnsazby" localSheetId="30">#REF!</definedName>
    <definedName name="zahrnsazby" localSheetId="31">#REF!</definedName>
    <definedName name="zahrnsazby" localSheetId="35">#REF!</definedName>
    <definedName name="zahrnsazby" localSheetId="34">#REF!</definedName>
    <definedName name="zahrnsazby" localSheetId="33">#REF!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7">#REF!</definedName>
    <definedName name="zahrnsazby" localSheetId="48">#REF!</definedName>
    <definedName name="zahrnsazby" localSheetId="43">#REF!</definedName>
    <definedName name="zahrnsazby" localSheetId="44">#REF!</definedName>
    <definedName name="zahrnsazby" localSheetId="45">#REF!</definedName>
    <definedName name="zahrnsazby" localSheetId="46">#REF!</definedName>
    <definedName name="zahrnsazby" localSheetId="17">#REF!</definedName>
    <definedName name="zahrnsazby" localSheetId="32">#REF!</definedName>
    <definedName name="zahrnsazby" localSheetId="42">#REF!</definedName>
    <definedName name="zahrnsazby" localSheetId="25">#REF!</definedName>
    <definedName name="zahrnsazby" localSheetId="20">#REF!</definedName>
    <definedName name="zahrnsazby" localSheetId="1">#REF!</definedName>
    <definedName name="zahrnsazby">#REF!</definedName>
    <definedName name="zahrnslevy" localSheetId="10">#REF!</definedName>
    <definedName name="zahrnslevy" localSheetId="22">#REF!</definedName>
    <definedName name="zahrnslevy" localSheetId="23">#REF!</definedName>
    <definedName name="zahrnslevy" localSheetId="21">#REF!</definedName>
    <definedName name="zahrnslevy" localSheetId="24">#REF!</definedName>
    <definedName name="zahrnslevy" localSheetId="28">#REF!</definedName>
    <definedName name="zahrnslevy" localSheetId="26">#REF!</definedName>
    <definedName name="zahrnslevy" localSheetId="27">#REF!</definedName>
    <definedName name="zahrnslevy" localSheetId="11">#REF!</definedName>
    <definedName name="zahrnslevy" localSheetId="12">#REF!</definedName>
    <definedName name="zahrnslevy" localSheetId="13">#REF!</definedName>
    <definedName name="zahrnslevy" localSheetId="18">#REF!</definedName>
    <definedName name="zahrnslevy" localSheetId="29">#REF!</definedName>
    <definedName name="zahrnslevy" localSheetId="30">#REF!</definedName>
    <definedName name="zahrnslevy" localSheetId="31">#REF!</definedName>
    <definedName name="zahrnslevy" localSheetId="35">#REF!</definedName>
    <definedName name="zahrnslevy" localSheetId="34">#REF!</definedName>
    <definedName name="zahrnslevy" localSheetId="33">#REF!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7">#REF!</definedName>
    <definedName name="zahrnslevy" localSheetId="48">#REF!</definedName>
    <definedName name="zahrnslevy" localSheetId="43">#REF!</definedName>
    <definedName name="zahrnslevy" localSheetId="44">#REF!</definedName>
    <definedName name="zahrnslevy" localSheetId="45">#REF!</definedName>
    <definedName name="zahrnslevy" localSheetId="46">#REF!</definedName>
    <definedName name="zahrnslevy" localSheetId="17">#REF!</definedName>
    <definedName name="zahrnslevy" localSheetId="32">#REF!</definedName>
    <definedName name="zahrnslevy" localSheetId="42">#REF!</definedName>
    <definedName name="zahrnslevy" localSheetId="25">#REF!</definedName>
    <definedName name="zahrnslevy" localSheetId="20">#REF!</definedName>
    <definedName name="zahrnslevy" localSheetId="1">#REF!</definedName>
    <definedName name="zahrnslevy">#REF!</definedName>
    <definedName name="Zakazka" localSheetId="10">#REF!</definedName>
    <definedName name="Zakazka" localSheetId="22">#REF!</definedName>
    <definedName name="Zakazka" localSheetId="23">#REF!</definedName>
    <definedName name="Zakazka" localSheetId="21">#REF!</definedName>
    <definedName name="Zakazka" localSheetId="24">#REF!</definedName>
    <definedName name="Zakazka" localSheetId="28">#REF!</definedName>
    <definedName name="Zakazka" localSheetId="26">#REF!</definedName>
    <definedName name="Zakazka" localSheetId="27">#REF!</definedName>
    <definedName name="Zakazka" localSheetId="11">#REF!</definedName>
    <definedName name="Zakazka" localSheetId="13">#REF!</definedName>
    <definedName name="Zakazka" localSheetId="18">#REF!</definedName>
    <definedName name="Zakazka" localSheetId="29">#REF!</definedName>
    <definedName name="Zakazka" localSheetId="30">#REF!</definedName>
    <definedName name="Zakazka" localSheetId="31">#REF!</definedName>
    <definedName name="Zakazka" localSheetId="35">#REF!</definedName>
    <definedName name="Zakazka" localSheetId="34">#REF!</definedName>
    <definedName name="Zakazka" localSheetId="33">#REF!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7">#REF!</definedName>
    <definedName name="Zakazka" localSheetId="48">#REF!</definedName>
    <definedName name="Zakazka" localSheetId="43">#REF!</definedName>
    <definedName name="Zakazka" localSheetId="44">#REF!</definedName>
    <definedName name="Zakazka" localSheetId="45">#REF!</definedName>
    <definedName name="Zakazka" localSheetId="46">#REF!</definedName>
    <definedName name="Zakazka" localSheetId="0">#REF!</definedName>
    <definedName name="Zakazka" localSheetId="17">#REF!</definedName>
    <definedName name="Zakazka" localSheetId="32">#REF!</definedName>
    <definedName name="Zakazka" localSheetId="42">#REF!</definedName>
    <definedName name="Zakazka" localSheetId="25">#REF!</definedName>
    <definedName name="Zakazka" localSheetId="20">#REF!</definedName>
    <definedName name="Zakazka" localSheetId="1">#REF!</definedName>
    <definedName name="Zakazka">#REF!</definedName>
    <definedName name="Zaklad22" localSheetId="10">#REF!</definedName>
    <definedName name="Zaklad22" localSheetId="22">#REF!</definedName>
    <definedName name="Zaklad22" localSheetId="23">#REF!</definedName>
    <definedName name="Zaklad22" localSheetId="21">#REF!</definedName>
    <definedName name="Zaklad22" localSheetId="24">#REF!</definedName>
    <definedName name="Zaklad22" localSheetId="28">#REF!</definedName>
    <definedName name="Zaklad22" localSheetId="26">#REF!</definedName>
    <definedName name="Zaklad22" localSheetId="27">#REF!</definedName>
    <definedName name="Zaklad22" localSheetId="11">#REF!</definedName>
    <definedName name="Zaklad22" localSheetId="13">#REF!</definedName>
    <definedName name="Zaklad22" localSheetId="18">#REF!</definedName>
    <definedName name="Zaklad22" localSheetId="29">#REF!</definedName>
    <definedName name="Zaklad22" localSheetId="30">#REF!</definedName>
    <definedName name="Zaklad22" localSheetId="31">#REF!</definedName>
    <definedName name="Zaklad22" localSheetId="35">#REF!</definedName>
    <definedName name="Zaklad22" localSheetId="34">#REF!</definedName>
    <definedName name="Zaklad22" localSheetId="33">#REF!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7">#REF!</definedName>
    <definedName name="Zaklad22" localSheetId="48">#REF!</definedName>
    <definedName name="Zaklad22" localSheetId="43">#REF!</definedName>
    <definedName name="Zaklad22" localSheetId="44">#REF!</definedName>
    <definedName name="Zaklad22" localSheetId="45">#REF!</definedName>
    <definedName name="Zaklad22" localSheetId="46">#REF!</definedName>
    <definedName name="Zaklad22" localSheetId="0">#REF!</definedName>
    <definedName name="Zaklad22" localSheetId="32">#REF!</definedName>
    <definedName name="Zaklad22" localSheetId="42">#REF!</definedName>
    <definedName name="Zaklad22" localSheetId="1">#REF!</definedName>
    <definedName name="Zaklad22">#REF!</definedName>
    <definedName name="Zaklad5" localSheetId="10">#REF!</definedName>
    <definedName name="Zaklad5" localSheetId="22">#REF!</definedName>
    <definedName name="Zaklad5" localSheetId="23">#REF!</definedName>
    <definedName name="Zaklad5" localSheetId="21">#REF!</definedName>
    <definedName name="Zaklad5" localSheetId="24">#REF!</definedName>
    <definedName name="Zaklad5" localSheetId="28">#REF!</definedName>
    <definedName name="Zaklad5" localSheetId="26">#REF!</definedName>
    <definedName name="Zaklad5" localSheetId="27">#REF!</definedName>
    <definedName name="Zaklad5" localSheetId="11">#REF!</definedName>
    <definedName name="Zaklad5" localSheetId="13">#REF!</definedName>
    <definedName name="Zaklad5" localSheetId="18">#REF!</definedName>
    <definedName name="Zaklad5" localSheetId="29">#REF!</definedName>
    <definedName name="Zaklad5" localSheetId="30">#REF!</definedName>
    <definedName name="Zaklad5" localSheetId="31">#REF!</definedName>
    <definedName name="Zaklad5" localSheetId="35">#REF!</definedName>
    <definedName name="Zaklad5" localSheetId="34">#REF!</definedName>
    <definedName name="Zaklad5" localSheetId="33">#REF!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7">#REF!</definedName>
    <definedName name="Zaklad5" localSheetId="48">#REF!</definedName>
    <definedName name="Zaklad5" localSheetId="43">#REF!</definedName>
    <definedName name="Zaklad5" localSheetId="44">#REF!</definedName>
    <definedName name="Zaklad5" localSheetId="45">#REF!</definedName>
    <definedName name="Zaklad5" localSheetId="46">#REF!</definedName>
    <definedName name="Zaklad5" localSheetId="0">#REF!</definedName>
    <definedName name="Zaklad5" localSheetId="32">#REF!</definedName>
    <definedName name="Zaklad5" localSheetId="42">#REF!</definedName>
    <definedName name="Zaklad5" localSheetId="1">#REF!</definedName>
    <definedName name="Zaklad5">#REF!</definedName>
    <definedName name="Zhotovitel" localSheetId="10">#REF!</definedName>
    <definedName name="Zhotovitel" localSheetId="22">#REF!</definedName>
    <definedName name="Zhotovitel" localSheetId="23">#REF!</definedName>
    <definedName name="Zhotovitel" localSheetId="21">#REF!</definedName>
    <definedName name="Zhotovitel" localSheetId="24">#REF!</definedName>
    <definedName name="Zhotovitel" localSheetId="28">#REF!</definedName>
    <definedName name="Zhotovitel" localSheetId="26">#REF!</definedName>
    <definedName name="Zhotovitel" localSheetId="27">#REF!</definedName>
    <definedName name="Zhotovitel" localSheetId="11">#REF!</definedName>
    <definedName name="Zhotovitel" localSheetId="13">#REF!</definedName>
    <definedName name="Zhotovitel" localSheetId="18">#REF!</definedName>
    <definedName name="Zhotovitel" localSheetId="29">#REF!</definedName>
    <definedName name="Zhotovitel" localSheetId="30">#REF!</definedName>
    <definedName name="Zhotovitel" localSheetId="31">#REF!</definedName>
    <definedName name="Zhotovitel" localSheetId="35">#REF!</definedName>
    <definedName name="Zhotovitel" localSheetId="34">#REF!</definedName>
    <definedName name="Zhotovitel" localSheetId="33">#REF!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7">#REF!</definedName>
    <definedName name="Zhotovitel" localSheetId="48">#REF!</definedName>
    <definedName name="Zhotovitel" localSheetId="43">#REF!</definedName>
    <definedName name="Zhotovitel" localSheetId="44">#REF!</definedName>
    <definedName name="Zhotovitel" localSheetId="45">#REF!</definedName>
    <definedName name="Zhotovitel" localSheetId="46">#REF!</definedName>
    <definedName name="Zhotovitel" localSheetId="0">KL!$D$7</definedName>
    <definedName name="Zhotovitel" localSheetId="32">#REF!</definedName>
    <definedName name="Zhotovitel" localSheetId="42">#REF!</definedName>
    <definedName name="Zhotovitel" localSheetId="1">#REF!</definedName>
    <definedName name="Zhotovitel">#REF!</definedName>
  </definedNames>
  <calcPr calcId="181029"/>
</workbook>
</file>

<file path=xl/calcChain.xml><?xml version="1.0" encoding="utf-8"?>
<calcChain xmlns="http://schemas.openxmlformats.org/spreadsheetml/2006/main">
  <c r="F454" i="57" l="1"/>
  <c r="F451" i="57"/>
  <c r="F448" i="57" l="1"/>
  <c r="F453" i="57"/>
  <c r="H453" i="57" s="1"/>
  <c r="F450" i="57"/>
  <c r="H450" i="57" s="1"/>
  <c r="H732" i="76"/>
  <c r="H731" i="76" s="1"/>
  <c r="H730" i="76"/>
  <c r="H729" i="76" s="1"/>
  <c r="H348" i="76"/>
  <c r="H347" i="76"/>
  <c r="BI347" i="76"/>
  <c r="BH347" i="76"/>
  <c r="BG347" i="76"/>
  <c r="BE347" i="76"/>
  <c r="H269" i="76"/>
  <c r="H226" i="80"/>
  <c r="H334" i="76"/>
  <c r="BK135" i="80"/>
  <c r="H346" i="76"/>
  <c r="T346" i="76" s="1"/>
  <c r="BI346" i="76"/>
  <c r="BH346" i="76"/>
  <c r="BG346" i="76"/>
  <c r="BE346" i="76"/>
  <c r="T347" i="76" l="1"/>
  <c r="P347" i="76"/>
  <c r="R347" i="76"/>
  <c r="J347" i="76"/>
  <c r="BF347" i="76" s="1"/>
  <c r="BK347" i="76"/>
  <c r="J346" i="76"/>
  <c r="BF346" i="76" s="1"/>
  <c r="BK346" i="76"/>
  <c r="P346" i="76"/>
  <c r="R346" i="76"/>
  <c r="H292" i="76" l="1"/>
  <c r="H287"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012" i="76" l="1"/>
  <c r="H1010" i="76" s="1"/>
  <c r="R1010" i="76" s="1"/>
  <c r="BI1010" i="76"/>
  <c r="BH1010" i="76"/>
  <c r="BG1010" i="76"/>
  <c r="BE1010" i="76"/>
  <c r="BI1008" i="76"/>
  <c r="BH1008" i="76"/>
  <c r="BG1008" i="76"/>
  <c r="BE1008" i="76"/>
  <c r="T1008" i="76"/>
  <c r="R1008" i="76"/>
  <c r="P1008" i="76"/>
  <c r="T1010" i="76" l="1"/>
  <c r="J1010" i="76"/>
  <c r="P1010" i="76"/>
  <c r="BK1010" i="76"/>
  <c r="H235" i="80" l="1"/>
  <c r="H236" i="80" s="1"/>
  <c r="H234" i="80" s="1"/>
  <c r="BI234" i="80"/>
  <c r="BH234" i="80"/>
  <c r="BG234" i="80"/>
  <c r="BE234" i="80"/>
  <c r="H227" i="80"/>
  <c r="H225" i="80" s="1"/>
  <c r="T225" i="80" s="1"/>
  <c r="BI225" i="80"/>
  <c r="BH225" i="80"/>
  <c r="BG225" i="80"/>
  <c r="BE225" i="80"/>
  <c r="H1007" i="76"/>
  <c r="H1006" i="76" s="1"/>
  <c r="H1005" i="76"/>
  <c r="H1003" i="76" s="1"/>
  <c r="H1014" i="76"/>
  <c r="H1013" i="76" s="1"/>
  <c r="T234" i="80" l="1"/>
  <c r="J234" i="80"/>
  <c r="BF234" i="80" s="1"/>
  <c r="R234" i="80"/>
  <c r="P234" i="80"/>
  <c r="BK234" i="80"/>
  <c r="R225" i="80"/>
  <c r="BK225" i="80"/>
  <c r="BK169" i="80" s="1"/>
  <c r="J225" i="80"/>
  <c r="BF225" i="80" s="1"/>
  <c r="P225" i="80"/>
  <c r="F33" i="19"/>
  <c r="F31" i="19" s="1"/>
  <c r="H31" i="19" s="1"/>
  <c r="F34" i="19"/>
  <c r="H337" i="76"/>
  <c r="H338" i="76"/>
  <c r="H335" i="76" l="1"/>
  <c r="BK335" i="76" s="1"/>
  <c r="BI335" i="76"/>
  <c r="BH335" i="76"/>
  <c r="BG335" i="76"/>
  <c r="BE335" i="76"/>
  <c r="T335" i="76"/>
  <c r="R335" i="76"/>
  <c r="P335" i="76"/>
  <c r="J335" i="76"/>
  <c r="BF335" i="76" s="1"/>
  <c r="H723" i="76"/>
  <c r="H722" i="76" s="1"/>
  <c r="H172" i="76"/>
  <c r="H169" i="76" s="1"/>
  <c r="H159" i="76"/>
  <c r="H195" i="76"/>
  <c r="H194" i="76" s="1"/>
  <c r="H196" i="76"/>
  <c r="H187" i="76"/>
  <c r="H188" i="76"/>
  <c r="H190" i="76" s="1"/>
  <c r="H286" i="76"/>
  <c r="H284" i="76"/>
  <c r="H280" i="76"/>
  <c r="H281" i="76" s="1"/>
  <c r="H277" i="76"/>
  <c r="H278" i="76" s="1"/>
  <c r="H274" i="76"/>
  <c r="H273" i="76"/>
  <c r="H270" i="76"/>
  <c r="H265" i="76"/>
  <c r="H264" i="76"/>
  <c r="H263" i="76"/>
  <c r="H262" i="76"/>
  <c r="H253" i="76"/>
  <c r="H252" i="76"/>
  <c r="H239" i="76"/>
  <c r="H191" i="76" l="1"/>
  <c r="H185" i="76" s="1"/>
  <c r="H275" i="76"/>
  <c r="H271" i="76"/>
  <c r="H282" i="76" l="1"/>
  <c r="H267" i="76" s="1"/>
  <c r="H254" i="76" l="1"/>
  <c r="H251" i="76" s="1"/>
  <c r="H240" i="76"/>
  <c r="H237" i="76" s="1"/>
  <c r="H333" i="76"/>
  <c r="BK333" i="76" l="1"/>
  <c r="BI333" i="76"/>
  <c r="BH333" i="76"/>
  <c r="BG333" i="76"/>
  <c r="BE333" i="76"/>
  <c r="T333" i="76"/>
  <c r="R333" i="76"/>
  <c r="P333" i="76"/>
  <c r="J333" i="76"/>
  <c r="BF333"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5" i="76"/>
  <c r="H283" i="76"/>
  <c r="BI285" i="76"/>
  <c r="BH285" i="76"/>
  <c r="BG285" i="76"/>
  <c r="BE285" i="76"/>
  <c r="R285" i="76" l="1"/>
  <c r="T285" i="76"/>
  <c r="BK285" i="76"/>
  <c r="P285" i="76"/>
  <c r="J285" i="76"/>
  <c r="BF285" i="76" s="1"/>
  <c r="H342" i="78"/>
  <c r="BK340" i="78"/>
  <c r="BI340" i="78"/>
  <c r="BH340" i="78"/>
  <c r="BG340" i="78"/>
  <c r="BE340" i="78"/>
  <c r="T340" i="78"/>
  <c r="R340" i="78"/>
  <c r="P340" i="78"/>
  <c r="J340" i="78"/>
  <c r="BF340" i="78" s="1"/>
  <c r="F764" i="42" l="1"/>
  <c r="F763" i="42"/>
  <c r="F755" i="42"/>
  <c r="F583" i="42"/>
  <c r="F581" i="42"/>
  <c r="F584" i="42"/>
  <c r="F570" i="42"/>
  <c r="F568" i="42"/>
  <c r="F571" i="42"/>
  <c r="F563" i="42"/>
  <c r="F562" i="42"/>
  <c r="F564" i="42"/>
  <c r="F16" i="73" l="1"/>
  <c r="F135" i="72"/>
  <c r="H67"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890" i="78"/>
  <c r="BI1890" i="78"/>
  <c r="BH1890" i="78"/>
  <c r="BG1890" i="78"/>
  <c r="BE1890" i="78"/>
  <c r="T1890" i="78"/>
  <c r="R1890" i="78"/>
  <c r="P1890" i="78"/>
  <c r="J1890" i="78"/>
  <c r="BF1890" i="78" s="1"/>
  <c r="BK1881" i="78"/>
  <c r="BI1881" i="78"/>
  <c r="BH1881" i="78"/>
  <c r="BG1881" i="78"/>
  <c r="BE1881" i="78"/>
  <c r="T1881" i="78"/>
  <c r="R1881" i="78"/>
  <c r="P1881" i="78"/>
  <c r="J1881" i="78"/>
  <c r="BF1881" i="78" s="1"/>
  <c r="BK1880" i="78"/>
  <c r="BI1880" i="78"/>
  <c r="BH1880" i="78"/>
  <c r="BG1880" i="78"/>
  <c r="BE1880" i="78"/>
  <c r="T1880" i="78"/>
  <c r="R1880" i="78"/>
  <c r="P1880" i="78"/>
  <c r="J1880" i="78"/>
  <c r="BF1880" i="78" s="1"/>
  <c r="BK1860" i="78"/>
  <c r="BI1860" i="78"/>
  <c r="BH1860" i="78"/>
  <c r="BG1860" i="78"/>
  <c r="BE1860" i="78"/>
  <c r="T1860" i="78"/>
  <c r="R1860" i="78"/>
  <c r="P1860" i="78"/>
  <c r="J1860" i="78"/>
  <c r="BF1860" i="78" s="1"/>
  <c r="BK1858" i="78"/>
  <c r="BI1858" i="78"/>
  <c r="BH1858" i="78"/>
  <c r="BG1858" i="78"/>
  <c r="BE1858" i="78"/>
  <c r="T1858" i="78"/>
  <c r="R1858" i="78"/>
  <c r="P1858" i="78"/>
  <c r="J1858" i="78"/>
  <c r="BF1858" i="78" s="1"/>
  <c r="BK1857" i="78"/>
  <c r="BI1857" i="78"/>
  <c r="BH1857" i="78"/>
  <c r="BG1857" i="78"/>
  <c r="BE1857" i="78"/>
  <c r="T1857" i="78"/>
  <c r="R1857" i="78"/>
  <c r="P1857" i="78"/>
  <c r="J1857" i="78"/>
  <c r="BF1857" i="78" s="1"/>
  <c r="BK1856" i="78"/>
  <c r="BI1856" i="78"/>
  <c r="BH1856" i="78"/>
  <c r="BG1856" i="78"/>
  <c r="BE1856" i="78"/>
  <c r="T1856" i="78"/>
  <c r="R1856" i="78"/>
  <c r="P1856" i="78"/>
  <c r="J1856" i="78"/>
  <c r="BF1856" i="78" s="1"/>
  <c r="BK1848" i="78"/>
  <c r="BI1848" i="78"/>
  <c r="BH1848" i="78"/>
  <c r="BG1848" i="78"/>
  <c r="BE1848" i="78"/>
  <c r="T1848" i="78"/>
  <c r="R1848" i="78"/>
  <c r="P1848" i="78"/>
  <c r="J1848" i="78"/>
  <c r="BF1848" i="78" s="1"/>
  <c r="BK1847" i="78"/>
  <c r="BI1847" i="78"/>
  <c r="BH1847" i="78"/>
  <c r="BG1847" i="78"/>
  <c r="BE1847" i="78"/>
  <c r="T1847" i="78"/>
  <c r="R1847" i="78"/>
  <c r="P1847" i="78"/>
  <c r="J1847" i="78"/>
  <c r="BF1847" i="78" s="1"/>
  <c r="BK1829" i="78"/>
  <c r="BI1829" i="78"/>
  <c r="BH1829" i="78"/>
  <c r="BG1829" i="78"/>
  <c r="BE1829" i="78"/>
  <c r="T1829" i="78"/>
  <c r="R1829" i="78"/>
  <c r="P1829" i="78"/>
  <c r="J1829" i="78"/>
  <c r="BF1829" i="78" s="1"/>
  <c r="BK1828" i="78"/>
  <c r="BI1828" i="78"/>
  <c r="BH1828" i="78"/>
  <c r="BG1828" i="78"/>
  <c r="BE1828" i="78"/>
  <c r="T1828" i="78"/>
  <c r="R1828" i="78"/>
  <c r="P1828" i="78"/>
  <c r="J1828" i="78"/>
  <c r="BF1828" i="78" s="1"/>
  <c r="BK1806" i="78"/>
  <c r="BI1806" i="78"/>
  <c r="BH1806" i="78"/>
  <c r="BG1806" i="78"/>
  <c r="BE1806" i="78"/>
  <c r="T1806" i="78"/>
  <c r="R1806" i="78"/>
  <c r="P1806" i="78"/>
  <c r="J1806" i="78"/>
  <c r="BF1806" i="78" s="1"/>
  <c r="BK1798" i="78"/>
  <c r="BI1798" i="78"/>
  <c r="BH1798" i="78"/>
  <c r="BG1798" i="78"/>
  <c r="BE1798" i="78"/>
  <c r="T1798" i="78"/>
  <c r="R1798" i="78"/>
  <c r="P1798" i="78"/>
  <c r="J1798" i="78"/>
  <c r="BF1798" i="78" s="1"/>
  <c r="BK1790" i="78"/>
  <c r="BI1790" i="78"/>
  <c r="BH1790" i="78"/>
  <c r="BG1790" i="78"/>
  <c r="BE1790" i="78"/>
  <c r="T1790" i="78"/>
  <c r="R1790" i="78"/>
  <c r="P1790" i="78"/>
  <c r="J1790" i="78"/>
  <c r="BF1790" i="78" s="1"/>
  <c r="BK1772" i="78"/>
  <c r="BI1772" i="78"/>
  <c r="BH1772" i="78"/>
  <c r="BG1772" i="78"/>
  <c r="BE1772" i="78"/>
  <c r="T1772" i="78"/>
  <c r="R1772" i="78"/>
  <c r="P1772" i="78"/>
  <c r="J1772" i="78"/>
  <c r="BF1772" i="78" s="1"/>
  <c r="BK1754" i="78"/>
  <c r="BI1754" i="78"/>
  <c r="BH1754" i="78"/>
  <c r="BG1754" i="78"/>
  <c r="BE1754" i="78"/>
  <c r="T1754" i="78"/>
  <c r="R1754" i="78"/>
  <c r="P1754" i="78"/>
  <c r="J1754" i="78"/>
  <c r="BF1754" i="78" s="1"/>
  <c r="BK1742" i="78"/>
  <c r="BI1742" i="78"/>
  <c r="BH1742" i="78"/>
  <c r="BG1742" i="78"/>
  <c r="BE1742" i="78"/>
  <c r="T1742" i="78"/>
  <c r="R1742" i="78"/>
  <c r="P1742" i="78"/>
  <c r="J1742" i="78"/>
  <c r="BF1742" i="78" s="1"/>
  <c r="BK1730" i="78"/>
  <c r="BI1730" i="78"/>
  <c r="BH1730" i="78"/>
  <c r="BG1730" i="78"/>
  <c r="BE1730" i="78"/>
  <c r="T1730" i="78"/>
  <c r="R1730" i="78"/>
  <c r="P1730" i="78"/>
  <c r="J1730" i="78"/>
  <c r="BF1730" i="78" s="1"/>
  <c r="BK1694" i="78"/>
  <c r="BI1694" i="78"/>
  <c r="BH1694" i="78"/>
  <c r="BG1694" i="78"/>
  <c r="BE1694" i="78"/>
  <c r="T1694" i="78"/>
  <c r="R1694" i="78"/>
  <c r="P1694" i="78"/>
  <c r="J1694" i="78"/>
  <c r="BF1694" i="78" s="1"/>
  <c r="BK1673" i="78"/>
  <c r="BI1673" i="78"/>
  <c r="BH1673" i="78"/>
  <c r="BG1673" i="78"/>
  <c r="BF1673" i="78"/>
  <c r="BE1673" i="78"/>
  <c r="T1673" i="78"/>
  <c r="R1673" i="78"/>
  <c r="P1673" i="78"/>
  <c r="J1673" i="78"/>
  <c r="BK1653" i="78"/>
  <c r="BI1653" i="78"/>
  <c r="BH1653" i="78"/>
  <c r="BG1653" i="78"/>
  <c r="BE1653" i="78"/>
  <c r="T1653" i="78"/>
  <c r="R1653" i="78"/>
  <c r="P1653" i="78"/>
  <c r="J1653" i="78"/>
  <c r="BF1653" i="78" s="1"/>
  <c r="BK1633" i="78"/>
  <c r="BI1633" i="78"/>
  <c r="BH1633" i="78"/>
  <c r="BG1633" i="78"/>
  <c r="BE1633" i="78"/>
  <c r="T1633" i="78"/>
  <c r="R1633" i="78"/>
  <c r="P1633" i="78"/>
  <c r="J1633" i="78"/>
  <c r="BF1633" i="78" s="1"/>
  <c r="BK1628" i="78"/>
  <c r="BI1628" i="78"/>
  <c r="BH1628" i="78"/>
  <c r="BG1628" i="78"/>
  <c r="BE1628" i="78"/>
  <c r="T1628" i="78"/>
  <c r="R1628" i="78"/>
  <c r="P1628" i="78"/>
  <c r="J1628" i="78"/>
  <c r="BF1628" i="78" s="1"/>
  <c r="BK1623" i="78"/>
  <c r="BI1623" i="78"/>
  <c r="BH1623" i="78"/>
  <c r="BG1623" i="78"/>
  <c r="BE1623" i="78"/>
  <c r="T1623" i="78"/>
  <c r="R1623" i="78"/>
  <c r="P1623" i="78"/>
  <c r="P1618" i="78" s="1"/>
  <c r="J1623" i="78"/>
  <c r="BF1623" i="78" s="1"/>
  <c r="BK1619" i="78"/>
  <c r="BI1619" i="78"/>
  <c r="BH1619" i="78"/>
  <c r="BG1619" i="78"/>
  <c r="BE1619" i="78"/>
  <c r="T1619" i="78"/>
  <c r="R1619" i="78"/>
  <c r="P1619" i="78"/>
  <c r="J1619" i="78"/>
  <c r="BF1619" i="78" s="1"/>
  <c r="BK1617" i="78"/>
  <c r="BI1617" i="78"/>
  <c r="BH1617" i="78"/>
  <c r="BG1617" i="78"/>
  <c r="BE1617" i="78"/>
  <c r="T1617" i="78"/>
  <c r="R1617" i="78"/>
  <c r="P1617" i="78"/>
  <c r="J1617" i="78"/>
  <c r="BF1617" i="78" s="1"/>
  <c r="BK1616" i="78"/>
  <c r="BI1616" i="78"/>
  <c r="BH1616" i="78"/>
  <c r="BG1616" i="78"/>
  <c r="BE1616" i="78"/>
  <c r="T1616" i="78"/>
  <c r="R1616" i="78"/>
  <c r="P1616" i="78"/>
  <c r="J1616" i="78"/>
  <c r="BF1616" i="78" s="1"/>
  <c r="BK1614" i="78"/>
  <c r="BI1614" i="78"/>
  <c r="BH1614" i="78"/>
  <c r="BG1614" i="78"/>
  <c r="BE1614" i="78"/>
  <c r="T1614" i="78"/>
  <c r="R1614" i="78"/>
  <c r="P1614" i="78"/>
  <c r="J1614" i="78"/>
  <c r="BF1614" i="78" s="1"/>
  <c r="BK1612" i="78"/>
  <c r="BI1612" i="78"/>
  <c r="BH1612" i="78"/>
  <c r="BG1612" i="78"/>
  <c r="BE1612" i="78"/>
  <c r="T1612" i="78"/>
  <c r="R1612" i="78"/>
  <c r="P1612" i="78"/>
  <c r="J1612" i="78"/>
  <c r="BF1612" i="78" s="1"/>
  <c r="BK1606" i="78"/>
  <c r="BI1606" i="78"/>
  <c r="BH1606" i="78"/>
  <c r="BG1606" i="78"/>
  <c r="BE1606" i="78"/>
  <c r="T1606" i="78"/>
  <c r="R1606" i="78"/>
  <c r="R1605" i="78" s="1"/>
  <c r="P1606" i="78"/>
  <c r="J1606" i="78"/>
  <c r="BF1606" i="78" s="1"/>
  <c r="BK1604" i="78"/>
  <c r="BI1604" i="78"/>
  <c r="BH1604" i="78"/>
  <c r="BG1604" i="78"/>
  <c r="BE1604" i="78"/>
  <c r="T1604" i="78"/>
  <c r="R1604" i="78"/>
  <c r="P1604" i="78"/>
  <c r="J1604" i="78"/>
  <c r="BF1604" i="78" s="1"/>
  <c r="BK1603" i="78"/>
  <c r="BI1603" i="78"/>
  <c r="BH1603" i="78"/>
  <c r="BG1603" i="78"/>
  <c r="BE1603" i="78"/>
  <c r="T1603" i="78"/>
  <c r="R1603" i="78"/>
  <c r="P1603" i="78"/>
  <c r="J1603" i="78"/>
  <c r="BF1603" i="78" s="1"/>
  <c r="BK1599" i="78"/>
  <c r="BI1599" i="78"/>
  <c r="BH1599" i="78"/>
  <c r="BG1599" i="78"/>
  <c r="BE1599" i="78"/>
  <c r="T1599" i="78"/>
  <c r="R1599" i="78"/>
  <c r="P1599" i="78"/>
  <c r="J1599" i="78"/>
  <c r="BF1599" i="78" s="1"/>
  <c r="BK1595" i="78"/>
  <c r="BI1595" i="78"/>
  <c r="BH1595" i="78"/>
  <c r="BG1595" i="78"/>
  <c r="BE1595" i="78"/>
  <c r="T1595" i="78"/>
  <c r="R1595" i="78"/>
  <c r="P1595" i="78"/>
  <c r="J1595" i="78"/>
  <c r="BF1595" i="78" s="1"/>
  <c r="BK1591" i="78"/>
  <c r="BI1591" i="78"/>
  <c r="BH1591" i="78"/>
  <c r="BG1591" i="78"/>
  <c r="BE1591" i="78"/>
  <c r="T1591" i="78"/>
  <c r="R1591" i="78"/>
  <c r="P1591" i="78"/>
  <c r="J1591" i="78"/>
  <c r="BF1591" i="78" s="1"/>
  <c r="BK1587" i="78"/>
  <c r="BI1587" i="78"/>
  <c r="BH1587" i="78"/>
  <c r="BG1587" i="78"/>
  <c r="BE1587" i="78"/>
  <c r="T1587" i="78"/>
  <c r="R1587" i="78"/>
  <c r="P1587" i="78"/>
  <c r="J1587" i="78"/>
  <c r="BF1587" i="78" s="1"/>
  <c r="BK1586" i="78"/>
  <c r="BI1586" i="78"/>
  <c r="BH1586" i="78"/>
  <c r="BG1586" i="78"/>
  <c r="BE1586" i="78"/>
  <c r="T1586" i="78"/>
  <c r="R1586" i="78"/>
  <c r="P1586" i="78"/>
  <c r="J1586" i="78"/>
  <c r="BF1586" i="78" s="1"/>
  <c r="BK1584" i="78"/>
  <c r="BI1584" i="78"/>
  <c r="BH1584" i="78"/>
  <c r="BG1584" i="78"/>
  <c r="BE1584" i="78"/>
  <c r="T1584" i="78"/>
  <c r="R1584" i="78"/>
  <c r="P1584" i="78"/>
  <c r="J1584" i="78"/>
  <c r="BF1584" i="78" s="1"/>
  <c r="BK1583" i="78"/>
  <c r="BI1583" i="78"/>
  <c r="BH1583" i="78"/>
  <c r="BG1583" i="78"/>
  <c r="BE1583" i="78"/>
  <c r="T1583" i="78"/>
  <c r="R1583" i="78"/>
  <c r="P1583" i="78"/>
  <c r="J1583" i="78"/>
  <c r="BF1583" i="78" s="1"/>
  <c r="BK1582" i="78"/>
  <c r="BI1582" i="78"/>
  <c r="BH1582" i="78"/>
  <c r="BG1582" i="78"/>
  <c r="BE1582" i="78"/>
  <c r="T1582" i="78"/>
  <c r="R1582" i="78"/>
  <c r="P1582" i="78"/>
  <c r="J1582" i="78"/>
  <c r="BF1582" i="78" s="1"/>
  <c r="BK1581" i="78"/>
  <c r="BI1581" i="78"/>
  <c r="BH1581" i="78"/>
  <c r="BG1581" i="78"/>
  <c r="BE1581" i="78"/>
  <c r="T1581" i="78"/>
  <c r="R1581" i="78"/>
  <c r="P1581" i="78"/>
  <c r="J1581" i="78"/>
  <c r="BF1581" i="78" s="1"/>
  <c r="BK1580" i="78"/>
  <c r="BI1580" i="78"/>
  <c r="BH1580" i="78"/>
  <c r="BG1580" i="78"/>
  <c r="BE1580" i="78"/>
  <c r="T1580" i="78"/>
  <c r="R1580" i="78"/>
  <c r="P1580" i="78"/>
  <c r="J1580" i="78"/>
  <c r="BF1580" i="78" s="1"/>
  <c r="BK1576" i="78"/>
  <c r="BI1576" i="78"/>
  <c r="BH1576" i="78"/>
  <c r="BG1576" i="78"/>
  <c r="BE1576" i="78"/>
  <c r="T1576" i="78"/>
  <c r="R1576" i="78"/>
  <c r="P1576" i="78"/>
  <c r="J1576" i="78"/>
  <c r="BF1576" i="78" s="1"/>
  <c r="BK1561" i="78"/>
  <c r="BI1561" i="78"/>
  <c r="BH1561" i="78"/>
  <c r="BG1561" i="78"/>
  <c r="BE1561" i="78"/>
  <c r="T1561" i="78"/>
  <c r="R1561" i="78"/>
  <c r="P1561" i="78"/>
  <c r="J1561" i="78"/>
  <c r="BF1561" i="78" s="1"/>
  <c r="BK1541" i="78"/>
  <c r="BI1541" i="78"/>
  <c r="BH1541" i="78"/>
  <c r="BG1541" i="78"/>
  <c r="BE1541" i="78"/>
  <c r="T1541" i="78"/>
  <c r="R1541" i="78"/>
  <c r="P1541" i="78"/>
  <c r="J1541" i="78"/>
  <c r="BF1541" i="78" s="1"/>
  <c r="BK1539" i="78"/>
  <c r="BI1539" i="78"/>
  <c r="BH1539" i="78"/>
  <c r="BG1539" i="78"/>
  <c r="BE1539" i="78"/>
  <c r="T1539" i="78"/>
  <c r="R1539" i="78"/>
  <c r="P1539" i="78"/>
  <c r="J1539" i="78"/>
  <c r="BF1539" i="78" s="1"/>
  <c r="BK1518" i="78"/>
  <c r="BI1518" i="78"/>
  <c r="BH1518" i="78"/>
  <c r="BG1518" i="78"/>
  <c r="BE1518" i="78"/>
  <c r="T1518" i="78"/>
  <c r="R1518" i="78"/>
  <c r="P1518" i="78"/>
  <c r="J1518" i="78"/>
  <c r="BF1518" i="78" s="1"/>
  <c r="BK1513" i="78"/>
  <c r="BI1513" i="78"/>
  <c r="BH1513" i="78"/>
  <c r="BG1513" i="78"/>
  <c r="BE1513" i="78"/>
  <c r="T1513" i="78"/>
  <c r="R1513" i="78"/>
  <c r="P1513" i="78"/>
  <c r="J1513" i="78"/>
  <c r="BF1513" i="78" s="1"/>
  <c r="BK1509" i="78"/>
  <c r="BI1509" i="78"/>
  <c r="BH1509" i="78"/>
  <c r="BG1509" i="78"/>
  <c r="BE1509" i="78"/>
  <c r="T1509" i="78"/>
  <c r="R1509" i="78"/>
  <c r="P1509" i="78"/>
  <c r="J1509" i="78"/>
  <c r="BF1509" i="78" s="1"/>
  <c r="BK1502" i="78"/>
  <c r="BI1502" i="78"/>
  <c r="BH1502" i="78"/>
  <c r="BG1502" i="78"/>
  <c r="BE1502" i="78"/>
  <c r="T1502" i="78"/>
  <c r="R1502" i="78"/>
  <c r="P1502" i="78"/>
  <c r="J1502" i="78"/>
  <c r="BF1502" i="78" s="1"/>
  <c r="BK1494" i="78"/>
  <c r="BI1494" i="78"/>
  <c r="BH1494" i="78"/>
  <c r="BG1494" i="78"/>
  <c r="BE1494" i="78"/>
  <c r="T1494" i="78"/>
  <c r="R1494" i="78"/>
  <c r="P1494" i="78"/>
  <c r="J1494" i="78"/>
  <c r="BF1494" i="78" s="1"/>
  <c r="BK1483" i="78"/>
  <c r="BI1483" i="78"/>
  <c r="BH1483" i="78"/>
  <c r="BG1483" i="78"/>
  <c r="BE1483" i="78"/>
  <c r="T1483" i="78"/>
  <c r="R1483" i="78"/>
  <c r="P1483" i="78"/>
  <c r="J1483" i="78"/>
  <c r="BF1483" i="78" s="1"/>
  <c r="BK1444" i="78"/>
  <c r="BI1444" i="78"/>
  <c r="BH1444" i="78"/>
  <c r="BG1444" i="78"/>
  <c r="BE1444" i="78"/>
  <c r="T1444" i="78"/>
  <c r="R1444" i="78"/>
  <c r="P1444" i="78"/>
  <c r="J1444" i="78"/>
  <c r="BF1444" i="78" s="1"/>
  <c r="BK1406" i="78"/>
  <c r="BI1406" i="78"/>
  <c r="BH1406" i="78"/>
  <c r="BG1406" i="78"/>
  <c r="BE1406" i="78"/>
  <c r="T1406" i="78"/>
  <c r="R1406" i="78"/>
  <c r="P1406" i="78"/>
  <c r="J1406" i="78"/>
  <c r="BF1406" i="78" s="1"/>
  <c r="BK1403" i="78"/>
  <c r="BI1403" i="78"/>
  <c r="BH1403" i="78"/>
  <c r="BG1403" i="78"/>
  <c r="BE1403" i="78"/>
  <c r="T1403" i="78"/>
  <c r="R1403" i="78"/>
  <c r="P1403" i="78"/>
  <c r="J1403" i="78"/>
  <c r="BF1403" i="78" s="1"/>
  <c r="BK1400" i="78"/>
  <c r="BI1400" i="78"/>
  <c r="BH1400" i="78"/>
  <c r="BG1400" i="78"/>
  <c r="BE1400" i="78"/>
  <c r="T1400" i="78"/>
  <c r="R1400" i="78"/>
  <c r="P1400" i="78"/>
  <c r="J1400" i="78"/>
  <c r="BF1400" i="78" s="1"/>
  <c r="BK1396" i="78"/>
  <c r="BI1396" i="78"/>
  <c r="BH1396" i="78"/>
  <c r="BG1396" i="78"/>
  <c r="BE1396" i="78"/>
  <c r="T1396" i="78"/>
  <c r="R1396" i="78"/>
  <c r="P1396" i="78"/>
  <c r="J1396" i="78"/>
  <c r="BF1396" i="78" s="1"/>
  <c r="BK1393" i="78"/>
  <c r="BI1393" i="78"/>
  <c r="BH1393" i="78"/>
  <c r="BG1393" i="78"/>
  <c r="BE1393" i="78"/>
  <c r="T1393" i="78"/>
  <c r="R1393" i="78"/>
  <c r="P1393" i="78"/>
  <c r="J1393" i="78"/>
  <c r="BF1393" i="78" s="1"/>
  <c r="BK1390" i="78"/>
  <c r="BI1390" i="78"/>
  <c r="BH1390" i="78"/>
  <c r="BG1390" i="78"/>
  <c r="BE1390" i="78"/>
  <c r="T1390" i="78"/>
  <c r="R1390" i="78"/>
  <c r="P1390" i="78"/>
  <c r="J1390" i="78"/>
  <c r="BF1390" i="78" s="1"/>
  <c r="BK1386" i="78"/>
  <c r="BI1386" i="78"/>
  <c r="BH1386" i="78"/>
  <c r="BG1386" i="78"/>
  <c r="BE1386" i="78"/>
  <c r="T1386" i="78"/>
  <c r="R1386" i="78"/>
  <c r="P1386" i="78"/>
  <c r="J1386" i="78"/>
  <c r="BF1386" i="78" s="1"/>
  <c r="BK1385" i="78"/>
  <c r="BI1385" i="78"/>
  <c r="BH1385" i="78"/>
  <c r="BG1385" i="78"/>
  <c r="BE1385" i="78"/>
  <c r="T1385" i="78"/>
  <c r="R1385" i="78"/>
  <c r="P1385" i="78"/>
  <c r="J1385" i="78"/>
  <c r="BF1385" i="78" s="1"/>
  <c r="BK1382" i="78"/>
  <c r="BI1382" i="78"/>
  <c r="BH1382" i="78"/>
  <c r="BG1382" i="78"/>
  <c r="BE1382" i="78"/>
  <c r="T1382" i="78"/>
  <c r="R1382" i="78"/>
  <c r="P1382" i="78"/>
  <c r="J1382" i="78"/>
  <c r="BF1382" i="78" s="1"/>
  <c r="BK1381" i="78"/>
  <c r="BI1381" i="78"/>
  <c r="BH1381" i="78"/>
  <c r="BG1381" i="78"/>
  <c r="BE1381" i="78"/>
  <c r="T1381" i="78"/>
  <c r="R1381" i="78"/>
  <c r="P1381" i="78"/>
  <c r="J1381" i="78"/>
  <c r="BF1381" i="78" s="1"/>
  <c r="BK1375" i="78"/>
  <c r="BI1375" i="78"/>
  <c r="BH1375" i="78"/>
  <c r="BG1375" i="78"/>
  <c r="BE1375" i="78"/>
  <c r="T1375" i="78"/>
  <c r="R1375" i="78"/>
  <c r="P1375" i="78"/>
  <c r="J1375" i="78"/>
  <c r="BF1375" i="78" s="1"/>
  <c r="BK1374" i="78"/>
  <c r="BI1374" i="78"/>
  <c r="BH1374" i="78"/>
  <c r="BG1374" i="78"/>
  <c r="BE1374" i="78"/>
  <c r="T1374" i="78"/>
  <c r="R1374" i="78"/>
  <c r="P1374" i="78"/>
  <c r="J1374" i="78"/>
  <c r="BF1374" i="78" s="1"/>
  <c r="BK1372" i="78"/>
  <c r="BI1372" i="78"/>
  <c r="BH1372" i="78"/>
  <c r="BG1372" i="78"/>
  <c r="BE1372" i="78"/>
  <c r="T1372" i="78"/>
  <c r="R1372" i="78"/>
  <c r="P1372" i="78"/>
  <c r="J1372" i="78"/>
  <c r="BF1372" i="78" s="1"/>
  <c r="BK1371" i="78"/>
  <c r="BI1371" i="78"/>
  <c r="BH1371" i="78"/>
  <c r="BG1371" i="78"/>
  <c r="BF1371" i="78"/>
  <c r="BE1371" i="78"/>
  <c r="T1371" i="78"/>
  <c r="R1371" i="78"/>
  <c r="P1371" i="78"/>
  <c r="J1371" i="78"/>
  <c r="BK1363" i="78"/>
  <c r="BI1363" i="78"/>
  <c r="BH1363" i="78"/>
  <c r="BG1363" i="78"/>
  <c r="BE1363" i="78"/>
  <c r="T1363" i="78"/>
  <c r="R1363" i="78"/>
  <c r="P1363" i="78"/>
  <c r="J1363" i="78"/>
  <c r="BF1363" i="78" s="1"/>
  <c r="BK1357" i="78"/>
  <c r="BI1357" i="78"/>
  <c r="BH1357" i="78"/>
  <c r="BG1357" i="78"/>
  <c r="BE1357" i="78"/>
  <c r="T1357" i="78"/>
  <c r="R1357" i="78"/>
  <c r="P1357" i="78"/>
  <c r="J1357" i="78"/>
  <c r="BF1357" i="78" s="1"/>
  <c r="BK1351" i="78"/>
  <c r="BI1351" i="78"/>
  <c r="BH1351" i="78"/>
  <c r="BG1351" i="78"/>
  <c r="BE1351" i="78"/>
  <c r="T1351" i="78"/>
  <c r="R1351" i="78"/>
  <c r="P1351" i="78"/>
  <c r="J1351" i="78"/>
  <c r="BF1351" i="78" s="1"/>
  <c r="BK1350" i="78"/>
  <c r="BI1350" i="78"/>
  <c r="BH1350" i="78"/>
  <c r="BG1350" i="78"/>
  <c r="BE1350" i="78"/>
  <c r="T1350" i="78"/>
  <c r="R1350" i="78"/>
  <c r="P1350" i="78"/>
  <c r="J1350" i="78"/>
  <c r="BF1350" i="78" s="1"/>
  <c r="BK1346" i="78"/>
  <c r="BI1346" i="78"/>
  <c r="BH1346" i="78"/>
  <c r="BG1346" i="78"/>
  <c r="BE1346" i="78"/>
  <c r="T1346" i="78"/>
  <c r="R1346" i="78"/>
  <c r="P1346" i="78"/>
  <c r="J1346" i="78"/>
  <c r="BF1346" i="78" s="1"/>
  <c r="BK1343" i="78"/>
  <c r="BI1343" i="78"/>
  <c r="BH1343" i="78"/>
  <c r="BG1343" i="78"/>
  <c r="BE1343" i="78"/>
  <c r="T1343" i="78"/>
  <c r="R1343" i="78"/>
  <c r="P1343" i="78"/>
  <c r="J1343" i="78"/>
  <c r="BF1343" i="78" s="1"/>
  <c r="BK1341" i="78"/>
  <c r="BI1341" i="78"/>
  <c r="BH1341" i="78"/>
  <c r="BG1341" i="78"/>
  <c r="BF1341" i="78"/>
  <c r="BE1341" i="78"/>
  <c r="T1341" i="78"/>
  <c r="R1341" i="78"/>
  <c r="P1341" i="78"/>
  <c r="J1341" i="78"/>
  <c r="BK1338" i="78"/>
  <c r="BI1338" i="78"/>
  <c r="BH1338" i="78"/>
  <c r="BG1338" i="78"/>
  <c r="BE1338" i="78"/>
  <c r="T1338" i="78"/>
  <c r="R1338" i="78"/>
  <c r="P1338" i="78"/>
  <c r="J1338" i="78"/>
  <c r="BF1338" i="78" s="1"/>
  <c r="BK1334" i="78"/>
  <c r="BI1334" i="78"/>
  <c r="BH1334" i="78"/>
  <c r="BG1334" i="78"/>
  <c r="BE1334" i="78"/>
  <c r="T1334" i="78"/>
  <c r="R1334" i="78"/>
  <c r="P1334" i="78"/>
  <c r="J1334" i="78"/>
  <c r="BF1334" i="78" s="1"/>
  <c r="BK1333" i="78"/>
  <c r="BI1333" i="78"/>
  <c r="BH1333" i="78"/>
  <c r="BG1333" i="78"/>
  <c r="BE1333" i="78"/>
  <c r="T1333" i="78"/>
  <c r="R1333" i="78"/>
  <c r="P1333" i="78"/>
  <c r="J1333" i="78"/>
  <c r="BF1333" i="78" s="1"/>
  <c r="BK1332" i="78"/>
  <c r="BI1332" i="78"/>
  <c r="BH1332" i="78"/>
  <c r="BG1332" i="78"/>
  <c r="BE1332" i="78"/>
  <c r="T1332" i="78"/>
  <c r="R1332" i="78"/>
  <c r="P1332" i="78"/>
  <c r="J1332" i="78"/>
  <c r="BF1332" i="78" s="1"/>
  <c r="BK1307" i="78"/>
  <c r="BI1307" i="78"/>
  <c r="BH1307" i="78"/>
  <c r="BG1307" i="78"/>
  <c r="BE1307" i="78"/>
  <c r="T1307" i="78"/>
  <c r="R1307" i="78"/>
  <c r="P1307" i="78"/>
  <c r="J1307" i="78"/>
  <c r="BF1307" i="78" s="1"/>
  <c r="BK1306" i="78"/>
  <c r="BI1306" i="78"/>
  <c r="BH1306" i="78"/>
  <c r="BG1306" i="78"/>
  <c r="BE1306" i="78"/>
  <c r="T1306" i="78"/>
  <c r="R1306" i="78"/>
  <c r="P1306" i="78"/>
  <c r="J1306" i="78"/>
  <c r="BF1306" i="78" s="1"/>
  <c r="BK1298" i="78"/>
  <c r="BI1298" i="78"/>
  <c r="BH1298" i="78"/>
  <c r="BG1298" i="78"/>
  <c r="BE1298" i="78"/>
  <c r="T1298" i="78"/>
  <c r="R1298" i="78"/>
  <c r="P1298" i="78"/>
  <c r="J1298" i="78"/>
  <c r="BF1298" i="78" s="1"/>
  <c r="BK1290" i="78"/>
  <c r="BI1290" i="78"/>
  <c r="BH1290" i="78"/>
  <c r="BG1290" i="78"/>
  <c r="BE1290" i="78"/>
  <c r="T1290" i="78"/>
  <c r="R1290" i="78"/>
  <c r="P1290" i="78"/>
  <c r="J1290" i="78"/>
  <c r="BF1290" i="78" s="1"/>
  <c r="BK1289" i="78"/>
  <c r="BI1289" i="78"/>
  <c r="BH1289" i="78"/>
  <c r="BG1289" i="78"/>
  <c r="BE1289" i="78"/>
  <c r="T1289" i="78"/>
  <c r="R1289" i="78"/>
  <c r="P1289" i="78"/>
  <c r="J1289" i="78"/>
  <c r="BF1289" i="78" s="1"/>
  <c r="BK1288" i="78"/>
  <c r="BI1288" i="78"/>
  <c r="BH1288" i="78"/>
  <c r="BG1288" i="78"/>
  <c r="BE1288" i="78"/>
  <c r="T1288" i="78"/>
  <c r="R1288" i="78"/>
  <c r="P1288" i="78"/>
  <c r="J1288" i="78"/>
  <c r="BF1288" i="78" s="1"/>
  <c r="BK1262" i="78"/>
  <c r="BI1262" i="78"/>
  <c r="BH1262" i="78"/>
  <c r="BG1262" i="78"/>
  <c r="BE1262" i="78"/>
  <c r="T1262" i="78"/>
  <c r="R1262" i="78"/>
  <c r="P1262" i="78"/>
  <c r="J1262" i="78"/>
  <c r="BF1262" i="78" s="1"/>
  <c r="BK1258" i="78"/>
  <c r="BI1258" i="78"/>
  <c r="BH1258" i="78"/>
  <c r="BG1258" i="78"/>
  <c r="BE1258" i="78"/>
  <c r="T1258" i="78"/>
  <c r="R1258" i="78"/>
  <c r="P1258" i="78"/>
  <c r="J1258" i="78"/>
  <c r="BF1258" i="78" s="1"/>
  <c r="BK1252" i="78"/>
  <c r="BI1252" i="78"/>
  <c r="BH1252" i="78"/>
  <c r="BG1252" i="78"/>
  <c r="BF1252" i="78"/>
  <c r="BE1252" i="78"/>
  <c r="T1252" i="78"/>
  <c r="R1252" i="78"/>
  <c r="P1252" i="78"/>
  <c r="J1252" i="78"/>
  <c r="BK1249" i="78"/>
  <c r="BI1249" i="78"/>
  <c r="BH1249" i="78"/>
  <c r="BG1249" i="78"/>
  <c r="BE1249" i="78"/>
  <c r="T1249" i="78"/>
  <c r="R1249" i="78"/>
  <c r="P1249" i="78"/>
  <c r="J1249" i="78"/>
  <c r="BF1249" i="78" s="1"/>
  <c r="BK1239" i="78"/>
  <c r="BI1239" i="78"/>
  <c r="BH1239" i="78"/>
  <c r="BG1239" i="78"/>
  <c r="BE1239" i="78"/>
  <c r="T1239" i="78"/>
  <c r="R1239" i="78"/>
  <c r="P1239" i="78"/>
  <c r="J1239" i="78"/>
  <c r="BF1239" i="78" s="1"/>
  <c r="BK1229" i="78"/>
  <c r="BI1229" i="78"/>
  <c r="BH1229" i="78"/>
  <c r="BG1229" i="78"/>
  <c r="BE1229" i="78"/>
  <c r="T1229" i="78"/>
  <c r="R1229" i="78"/>
  <c r="P1229" i="78"/>
  <c r="J1229" i="78"/>
  <c r="BF1229" i="78" s="1"/>
  <c r="BK1228" i="78"/>
  <c r="BI1228" i="78"/>
  <c r="BH1228" i="78"/>
  <c r="BG1228" i="78"/>
  <c r="BE1228" i="78"/>
  <c r="T1228" i="78"/>
  <c r="R1228" i="78"/>
  <c r="P1228" i="78"/>
  <c r="J1228" i="78"/>
  <c r="BF1228" i="78" s="1"/>
  <c r="BK1225" i="78"/>
  <c r="BI1225" i="78"/>
  <c r="BH1225" i="78"/>
  <c r="BG1225" i="78"/>
  <c r="BE1225" i="78"/>
  <c r="T1225" i="78"/>
  <c r="R1225" i="78"/>
  <c r="P1225" i="78"/>
  <c r="J1225" i="78"/>
  <c r="BF1225" i="78" s="1"/>
  <c r="BK1221" i="78"/>
  <c r="BI1221" i="78"/>
  <c r="BH1221" i="78"/>
  <c r="BG1221" i="78"/>
  <c r="BE1221" i="78"/>
  <c r="T1221" i="78"/>
  <c r="R1221" i="78"/>
  <c r="P1221" i="78"/>
  <c r="J1221" i="78"/>
  <c r="BF1221" i="78" s="1"/>
  <c r="BK1213" i="78"/>
  <c r="BI1213" i="78"/>
  <c r="BH1213" i="78"/>
  <c r="BG1213" i="78"/>
  <c r="BE1213" i="78"/>
  <c r="T1213" i="78"/>
  <c r="R1213" i="78"/>
  <c r="P1213" i="78"/>
  <c r="J1213" i="78"/>
  <c r="BF1213" i="78" s="1"/>
  <c r="BK1205" i="78"/>
  <c r="BI1205" i="78"/>
  <c r="BH1205" i="78"/>
  <c r="BG1205" i="78"/>
  <c r="BE1205" i="78"/>
  <c r="T1205" i="78"/>
  <c r="R1205" i="78"/>
  <c r="P1205" i="78"/>
  <c r="J1205" i="78"/>
  <c r="BF1205" i="78" s="1"/>
  <c r="BK1195" i="78"/>
  <c r="BI1195" i="78"/>
  <c r="BH1195" i="78"/>
  <c r="BG1195" i="78"/>
  <c r="BE1195" i="78"/>
  <c r="T1195" i="78"/>
  <c r="R1195" i="78"/>
  <c r="P1195" i="78"/>
  <c r="J1195" i="78"/>
  <c r="BF1195" i="78" s="1"/>
  <c r="BK1185" i="78"/>
  <c r="BI1185" i="78"/>
  <c r="BH1185" i="78"/>
  <c r="BG1185" i="78"/>
  <c r="BE1185" i="78"/>
  <c r="T1185" i="78"/>
  <c r="R1185" i="78"/>
  <c r="P1185" i="78"/>
  <c r="J1185" i="78"/>
  <c r="BF1185" i="78" s="1"/>
  <c r="BK1181" i="78"/>
  <c r="BI1181" i="78"/>
  <c r="BH1181" i="78"/>
  <c r="BG1181" i="78"/>
  <c r="BE1181" i="78"/>
  <c r="T1181" i="78"/>
  <c r="R1181" i="78"/>
  <c r="P1181" i="78"/>
  <c r="J1181" i="78"/>
  <c r="BF1181" i="78" s="1"/>
  <c r="BK1177" i="78"/>
  <c r="BI1177" i="78"/>
  <c r="BH1177" i="78"/>
  <c r="BG1177" i="78"/>
  <c r="BE1177" i="78"/>
  <c r="T1177" i="78"/>
  <c r="R1177" i="78"/>
  <c r="P1177" i="78"/>
  <c r="J1177" i="78"/>
  <c r="BF1177" i="78" s="1"/>
  <c r="BK1171" i="78"/>
  <c r="BI1171" i="78"/>
  <c r="BH1171" i="78"/>
  <c r="BG1171" i="78"/>
  <c r="BE1171" i="78"/>
  <c r="T1171" i="78"/>
  <c r="R1171" i="78"/>
  <c r="P1171" i="78"/>
  <c r="J1171" i="78"/>
  <c r="BF1171" i="78" s="1"/>
  <c r="BK1165" i="78"/>
  <c r="BI1165" i="78"/>
  <c r="BH1165" i="78"/>
  <c r="BG1165" i="78"/>
  <c r="BE1165" i="78"/>
  <c r="T1165" i="78"/>
  <c r="R1165" i="78"/>
  <c r="P1165" i="78"/>
  <c r="J1165" i="78"/>
  <c r="BF1165" i="78" s="1"/>
  <c r="BK1159" i="78"/>
  <c r="BI1159" i="78"/>
  <c r="BH1159" i="78"/>
  <c r="BG1159" i="78"/>
  <c r="BE1159" i="78"/>
  <c r="T1159" i="78"/>
  <c r="R1159" i="78"/>
  <c r="P1159" i="78"/>
  <c r="J1159" i="78"/>
  <c r="BF1159" i="78" s="1"/>
  <c r="BK1145" i="78"/>
  <c r="BI1145" i="78"/>
  <c r="BH1145" i="78"/>
  <c r="BG1145" i="78"/>
  <c r="BE1145" i="78"/>
  <c r="T1145" i="78"/>
  <c r="R1145" i="78"/>
  <c r="P1145" i="78"/>
  <c r="J1145" i="78"/>
  <c r="BF1145" i="78" s="1"/>
  <c r="BK1144" i="78"/>
  <c r="BI1144" i="78"/>
  <c r="BH1144" i="78"/>
  <c r="BG1144" i="78"/>
  <c r="BE1144" i="78"/>
  <c r="T1144" i="78"/>
  <c r="R1144" i="78"/>
  <c r="P1144" i="78"/>
  <c r="J1144" i="78"/>
  <c r="BF1144" i="78" s="1"/>
  <c r="BK1132" i="78"/>
  <c r="BI1132" i="78"/>
  <c r="BH1132" i="78"/>
  <c r="BG1132" i="78"/>
  <c r="BE1132" i="78"/>
  <c r="T1132" i="78"/>
  <c r="R1132" i="78"/>
  <c r="P1132" i="78"/>
  <c r="J1132" i="78"/>
  <c r="BF1132" i="78" s="1"/>
  <c r="BK1123" i="78"/>
  <c r="BI1123" i="78"/>
  <c r="BH1123" i="78"/>
  <c r="BG1123" i="78"/>
  <c r="BE1123" i="78"/>
  <c r="T1123" i="78"/>
  <c r="R1123" i="78"/>
  <c r="P1123" i="78"/>
  <c r="J1123" i="78"/>
  <c r="BF1123" i="78" s="1"/>
  <c r="BK1115" i="78"/>
  <c r="BI1115" i="78"/>
  <c r="BH1115" i="78"/>
  <c r="BG1115" i="78"/>
  <c r="BE1115" i="78"/>
  <c r="T1115" i="78"/>
  <c r="R1115" i="78"/>
  <c r="P1115" i="78"/>
  <c r="J1115" i="78"/>
  <c r="BF1115" i="78" s="1"/>
  <c r="BK1080" i="78"/>
  <c r="BI1080" i="78"/>
  <c r="BH1080" i="78"/>
  <c r="BG1080" i="78"/>
  <c r="BE1080" i="78"/>
  <c r="T1080" i="78"/>
  <c r="R1080" i="78"/>
  <c r="P1080" i="78"/>
  <c r="J1080" i="78"/>
  <c r="BF1080" i="78" s="1"/>
  <c r="BK1047" i="78"/>
  <c r="BI1047" i="78"/>
  <c r="BH1047" i="78"/>
  <c r="BG1047" i="78"/>
  <c r="BE1047" i="78"/>
  <c r="T1047" i="78"/>
  <c r="R1047" i="78"/>
  <c r="P1047" i="78"/>
  <c r="J1047" i="78"/>
  <c r="BF1047" i="78" s="1"/>
  <c r="BK1042" i="78"/>
  <c r="BI1042" i="78"/>
  <c r="BH1042" i="78"/>
  <c r="BG1042" i="78"/>
  <c r="BE1042" i="78"/>
  <c r="T1042" i="78"/>
  <c r="R1042" i="78"/>
  <c r="P1042" i="78"/>
  <c r="J1042" i="78"/>
  <c r="BF1042" i="78" s="1"/>
  <c r="BK1039" i="78"/>
  <c r="BI1039" i="78"/>
  <c r="BH1039" i="78"/>
  <c r="BG1039" i="78"/>
  <c r="BE1039" i="78"/>
  <c r="T1039" i="78"/>
  <c r="R1039" i="78"/>
  <c r="P1039" i="78"/>
  <c r="J1039" i="78"/>
  <c r="BF1039" i="78" s="1"/>
  <c r="BK1034" i="78"/>
  <c r="BI1034" i="78"/>
  <c r="BH1034" i="78"/>
  <c r="BG1034" i="78"/>
  <c r="BE1034" i="78"/>
  <c r="T1034" i="78"/>
  <c r="R1034" i="78"/>
  <c r="P1034" i="78"/>
  <c r="J1034" i="78"/>
  <c r="BF1034" i="78" s="1"/>
  <c r="BK1031" i="78"/>
  <c r="BI1031" i="78"/>
  <c r="BH1031" i="78"/>
  <c r="BG1031" i="78"/>
  <c r="BE1031" i="78"/>
  <c r="T1031" i="78"/>
  <c r="R1031" i="78"/>
  <c r="P1031" i="78"/>
  <c r="J1031" i="78"/>
  <c r="BF1031" i="78" s="1"/>
  <c r="BK1027" i="78"/>
  <c r="BI1027" i="78"/>
  <c r="BH1027" i="78"/>
  <c r="BG1027" i="78"/>
  <c r="BE1027" i="78"/>
  <c r="T1027" i="78"/>
  <c r="R1027" i="78"/>
  <c r="P1027" i="78"/>
  <c r="J1027" i="78"/>
  <c r="BF1027" i="78" s="1"/>
  <c r="BK1023" i="78"/>
  <c r="BI1023" i="78"/>
  <c r="BH1023" i="78"/>
  <c r="BG1023" i="78"/>
  <c r="BE1023" i="78"/>
  <c r="T1023" i="78"/>
  <c r="R1023" i="78"/>
  <c r="P1023" i="78"/>
  <c r="J1023" i="78"/>
  <c r="BF1023" i="78" s="1"/>
  <c r="BK1022" i="78"/>
  <c r="BI1022" i="78"/>
  <c r="BH1022" i="78"/>
  <c r="BG1022" i="78"/>
  <c r="BE1022" i="78"/>
  <c r="T1022" i="78"/>
  <c r="R1022" i="78"/>
  <c r="P1022" i="78"/>
  <c r="J1022" i="78"/>
  <c r="BF1022" i="78" s="1"/>
  <c r="BK1016" i="78"/>
  <c r="BI1016" i="78"/>
  <c r="BH1016" i="78"/>
  <c r="BG1016" i="78"/>
  <c r="BE1016" i="78"/>
  <c r="T1016" i="78"/>
  <c r="R1016" i="78"/>
  <c r="P1016" i="78"/>
  <c r="J1016" i="78"/>
  <c r="BF1016" i="78" s="1"/>
  <c r="BK1014" i="78"/>
  <c r="BI1014" i="78"/>
  <c r="BH1014" i="78"/>
  <c r="BG1014" i="78"/>
  <c r="BE1014" i="78"/>
  <c r="T1014" i="78"/>
  <c r="R1014" i="78"/>
  <c r="P1014" i="78"/>
  <c r="J1014" i="78"/>
  <c r="BF1014" i="78" s="1"/>
  <c r="BK1010" i="78"/>
  <c r="BI1010" i="78"/>
  <c r="BH1010" i="78"/>
  <c r="BG1010" i="78"/>
  <c r="BE1010" i="78"/>
  <c r="T1010" i="78"/>
  <c r="R1010" i="78"/>
  <c r="P1010" i="78"/>
  <c r="J1010" i="78"/>
  <c r="BF1010" i="78" s="1"/>
  <c r="BK1006" i="78"/>
  <c r="BI1006" i="78"/>
  <c r="BH1006" i="78"/>
  <c r="BG1006" i="78"/>
  <c r="BE1006" i="78"/>
  <c r="T1006" i="78"/>
  <c r="R1006" i="78"/>
  <c r="P1006" i="78"/>
  <c r="J1006" i="78"/>
  <c r="BF1006" i="78" s="1"/>
  <c r="BK1004" i="78"/>
  <c r="BI1004" i="78"/>
  <c r="BH1004" i="78"/>
  <c r="BG1004" i="78"/>
  <c r="BE1004" i="78"/>
  <c r="T1004" i="78"/>
  <c r="R1004" i="78"/>
  <c r="P1004" i="78"/>
  <c r="J1004" i="78"/>
  <c r="BF1004" i="78" s="1"/>
  <c r="BK991" i="78"/>
  <c r="BI991" i="78"/>
  <c r="BH991" i="78"/>
  <c r="BG991" i="78"/>
  <c r="BE991" i="78"/>
  <c r="T991" i="78"/>
  <c r="R991" i="78"/>
  <c r="P991" i="78"/>
  <c r="J991" i="78"/>
  <c r="BF991" i="78" s="1"/>
  <c r="BK986" i="78"/>
  <c r="BI986" i="78"/>
  <c r="BH986" i="78"/>
  <c r="BG986" i="78"/>
  <c r="BE986" i="78"/>
  <c r="T986" i="78"/>
  <c r="R986" i="78"/>
  <c r="P986" i="78"/>
  <c r="J986" i="78"/>
  <c r="BF986" i="78" s="1"/>
  <c r="BK981" i="78"/>
  <c r="BI981" i="78"/>
  <c r="BH981" i="78"/>
  <c r="BG981" i="78"/>
  <c r="BE981" i="78"/>
  <c r="T981" i="78"/>
  <c r="R981" i="78"/>
  <c r="P981" i="78"/>
  <c r="J981" i="78"/>
  <c r="BF981" i="78" s="1"/>
  <c r="BK975" i="78"/>
  <c r="BI975" i="78"/>
  <c r="BH975" i="78"/>
  <c r="BG975" i="78"/>
  <c r="BE975" i="78"/>
  <c r="T975" i="78"/>
  <c r="R975" i="78"/>
  <c r="P975" i="78"/>
  <c r="J975" i="78"/>
  <c r="BF975" i="78" s="1"/>
  <c r="BK955" i="78"/>
  <c r="BI955" i="78"/>
  <c r="BH955" i="78"/>
  <c r="BG955" i="78"/>
  <c r="BE955" i="78"/>
  <c r="T955" i="78"/>
  <c r="R955" i="78"/>
  <c r="P955" i="78"/>
  <c r="J955" i="78"/>
  <c r="BF955" i="78" s="1"/>
  <c r="BK934" i="78"/>
  <c r="BI934" i="78"/>
  <c r="BH934" i="78"/>
  <c r="BG934" i="78"/>
  <c r="BE934" i="78"/>
  <c r="T934" i="78"/>
  <c r="R934" i="78"/>
  <c r="P934" i="78"/>
  <c r="J934" i="78"/>
  <c r="BF934" i="78" s="1"/>
  <c r="BK930" i="78"/>
  <c r="BI930" i="78"/>
  <c r="BH930" i="78"/>
  <c r="BG930" i="78"/>
  <c r="BE930" i="78"/>
  <c r="T930" i="78"/>
  <c r="R930" i="78"/>
  <c r="P930" i="78"/>
  <c r="J930" i="78"/>
  <c r="BF930" i="78" s="1"/>
  <c r="BK929" i="78"/>
  <c r="BI929" i="78"/>
  <c r="BH929" i="78"/>
  <c r="BG929" i="78"/>
  <c r="BE929" i="78"/>
  <c r="T929" i="78"/>
  <c r="R929" i="78"/>
  <c r="P929" i="78"/>
  <c r="J929" i="78"/>
  <c r="BF929" i="78" s="1"/>
  <c r="BK921" i="78"/>
  <c r="BI921" i="78"/>
  <c r="BH921" i="78"/>
  <c r="BG921" i="78"/>
  <c r="BE921" i="78"/>
  <c r="T921" i="78"/>
  <c r="R921" i="78"/>
  <c r="P921" i="78"/>
  <c r="J921" i="78"/>
  <c r="BF921" i="78" s="1"/>
  <c r="BK919" i="78"/>
  <c r="BI919" i="78"/>
  <c r="BH919" i="78"/>
  <c r="BG919" i="78"/>
  <c r="BE919" i="78"/>
  <c r="T919" i="78"/>
  <c r="R919" i="78"/>
  <c r="P919" i="78"/>
  <c r="J919" i="78"/>
  <c r="BF919"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9" i="78"/>
  <c r="BI909" i="78"/>
  <c r="BH909" i="78"/>
  <c r="BG909" i="78"/>
  <c r="BE909" i="78"/>
  <c r="T909" i="78"/>
  <c r="R909" i="78"/>
  <c r="P909" i="78"/>
  <c r="J909" i="78"/>
  <c r="BF909" i="78" s="1"/>
  <c r="BK906" i="78"/>
  <c r="BI906" i="78"/>
  <c r="BH906" i="78"/>
  <c r="BG906" i="78"/>
  <c r="BE906" i="78"/>
  <c r="T906" i="78"/>
  <c r="R906" i="78"/>
  <c r="P906" i="78"/>
  <c r="J906" i="78"/>
  <c r="BF906" i="78" s="1"/>
  <c r="BK904" i="78"/>
  <c r="BI904" i="78"/>
  <c r="BH904" i="78"/>
  <c r="BG904" i="78"/>
  <c r="BE904" i="78"/>
  <c r="T904" i="78"/>
  <c r="R904" i="78"/>
  <c r="P904" i="78"/>
  <c r="J904" i="78"/>
  <c r="BF904" i="78" s="1"/>
  <c r="BK903" i="78"/>
  <c r="BI903" i="78"/>
  <c r="BH903" i="78"/>
  <c r="BG903" i="78"/>
  <c r="BE903" i="78"/>
  <c r="T903" i="78"/>
  <c r="R903" i="78"/>
  <c r="P903" i="78"/>
  <c r="J903" i="78"/>
  <c r="BF903" i="78" s="1"/>
  <c r="BK901" i="78"/>
  <c r="BI901" i="78"/>
  <c r="BH901" i="78"/>
  <c r="BG901" i="78"/>
  <c r="BE901" i="78"/>
  <c r="T901" i="78"/>
  <c r="R901" i="78"/>
  <c r="P901" i="78"/>
  <c r="J901" i="78"/>
  <c r="BF901" i="78" s="1"/>
  <c r="BK899" i="78"/>
  <c r="BI899" i="78"/>
  <c r="BH899" i="78"/>
  <c r="BG899" i="78"/>
  <c r="BE899" i="78"/>
  <c r="T899" i="78"/>
  <c r="R899" i="78"/>
  <c r="P899" i="78"/>
  <c r="J899" i="78"/>
  <c r="BF899" i="78" s="1"/>
  <c r="BK898" i="78"/>
  <c r="BI898" i="78"/>
  <c r="BH898" i="78"/>
  <c r="BG898" i="78"/>
  <c r="BE898" i="78"/>
  <c r="T898" i="78"/>
  <c r="R898" i="78"/>
  <c r="P898" i="78"/>
  <c r="J898" i="78"/>
  <c r="BF898" i="78" s="1"/>
  <c r="BK896" i="78"/>
  <c r="BI896" i="78"/>
  <c r="BH896" i="78"/>
  <c r="BG896" i="78"/>
  <c r="BE896" i="78"/>
  <c r="T896" i="78"/>
  <c r="R896" i="78"/>
  <c r="P896" i="78"/>
  <c r="J896" i="78"/>
  <c r="BF896"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F888" i="78"/>
  <c r="BE888" i="78"/>
  <c r="T888" i="78"/>
  <c r="R888" i="78"/>
  <c r="P888" i="78"/>
  <c r="J888" i="78"/>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2" i="78"/>
  <c r="BI882" i="78"/>
  <c r="BH882" i="78"/>
  <c r="BG882" i="78"/>
  <c r="BE882" i="78"/>
  <c r="T882" i="78"/>
  <c r="R882" i="78"/>
  <c r="P882" i="78"/>
  <c r="J882" i="78"/>
  <c r="BF882" i="78" s="1"/>
  <c r="BK881" i="78"/>
  <c r="BI881" i="78"/>
  <c r="BH881" i="78"/>
  <c r="BG881" i="78"/>
  <c r="BE881" i="78"/>
  <c r="T881" i="78"/>
  <c r="R881" i="78"/>
  <c r="P881" i="78"/>
  <c r="J881" i="78"/>
  <c r="BF881" i="78" s="1"/>
  <c r="BK879" i="78"/>
  <c r="BI879" i="78"/>
  <c r="BH879" i="78"/>
  <c r="BG879" i="78"/>
  <c r="BE879" i="78"/>
  <c r="T879" i="78"/>
  <c r="R879" i="78"/>
  <c r="P879" i="78"/>
  <c r="J879" i="78"/>
  <c r="BF879" i="78" s="1"/>
  <c r="BK871" i="78"/>
  <c r="BI871" i="78"/>
  <c r="BH871" i="78"/>
  <c r="BG871" i="78"/>
  <c r="BE871" i="78"/>
  <c r="T871" i="78"/>
  <c r="R871" i="78"/>
  <c r="P871" i="78"/>
  <c r="J871" i="78"/>
  <c r="BF871" i="78" s="1"/>
  <c r="BK870" i="78"/>
  <c r="BI870" i="78"/>
  <c r="BH870" i="78"/>
  <c r="BG870" i="78"/>
  <c r="BE870" i="78"/>
  <c r="T870" i="78"/>
  <c r="R870" i="78"/>
  <c r="P870" i="78"/>
  <c r="J870" i="78"/>
  <c r="BF870" i="78" s="1"/>
  <c r="BK866" i="78"/>
  <c r="BI866" i="78"/>
  <c r="BH866" i="78"/>
  <c r="BG866" i="78"/>
  <c r="BE866" i="78"/>
  <c r="T866" i="78"/>
  <c r="R866" i="78"/>
  <c r="P866" i="78"/>
  <c r="J866" i="78"/>
  <c r="BF866" i="78" s="1"/>
  <c r="BK865" i="78"/>
  <c r="BI865" i="78"/>
  <c r="BH865" i="78"/>
  <c r="BG865" i="78"/>
  <c r="BE865" i="78"/>
  <c r="T865" i="78"/>
  <c r="R865" i="78"/>
  <c r="P865" i="78"/>
  <c r="J865" i="78"/>
  <c r="BF865" i="78" s="1"/>
  <c r="BK864" i="78"/>
  <c r="BI864" i="78"/>
  <c r="BH864" i="78"/>
  <c r="BG864" i="78"/>
  <c r="BE864" i="78"/>
  <c r="T864" i="78"/>
  <c r="R864" i="78"/>
  <c r="P864" i="78"/>
  <c r="J864" i="78"/>
  <c r="BF864" i="78" s="1"/>
  <c r="BK863" i="78"/>
  <c r="BI863" i="78"/>
  <c r="BH863" i="78"/>
  <c r="BG863" i="78"/>
  <c r="BE863" i="78"/>
  <c r="T863" i="78"/>
  <c r="R863" i="78"/>
  <c r="P863" i="78"/>
  <c r="J863" i="78"/>
  <c r="BF863" i="78" s="1"/>
  <c r="BK861" i="78"/>
  <c r="BI861" i="78"/>
  <c r="BH861" i="78"/>
  <c r="BG861" i="78"/>
  <c r="BE861" i="78"/>
  <c r="T861" i="78"/>
  <c r="R861" i="78"/>
  <c r="P861" i="78"/>
  <c r="J861" i="78"/>
  <c r="BF861" i="78" s="1"/>
  <c r="BK860" i="78"/>
  <c r="BI860" i="78"/>
  <c r="BH860" i="78"/>
  <c r="BG860" i="78"/>
  <c r="BE860" i="78"/>
  <c r="T860" i="78"/>
  <c r="R860" i="78"/>
  <c r="P860" i="78"/>
  <c r="J860" i="78"/>
  <c r="BF860" i="78" s="1"/>
  <c r="BK859" i="78"/>
  <c r="BI859" i="78"/>
  <c r="BH859" i="78"/>
  <c r="BG859" i="78"/>
  <c r="BE859" i="78"/>
  <c r="T859" i="78"/>
  <c r="R859" i="78"/>
  <c r="P859" i="78"/>
  <c r="J859" i="78"/>
  <c r="BF859" i="78" s="1"/>
  <c r="BK858" i="78"/>
  <c r="BI858" i="78"/>
  <c r="BH858" i="78"/>
  <c r="BG858" i="78"/>
  <c r="BE858" i="78"/>
  <c r="T858" i="78"/>
  <c r="R858" i="78"/>
  <c r="P858" i="78"/>
  <c r="J858" i="78"/>
  <c r="BF858" i="78" s="1"/>
  <c r="BK854" i="78"/>
  <c r="BI854" i="78"/>
  <c r="BH854" i="78"/>
  <c r="BG854" i="78"/>
  <c r="BE854" i="78"/>
  <c r="T854" i="78"/>
  <c r="R854" i="78"/>
  <c r="P854" i="78"/>
  <c r="J854" i="78"/>
  <c r="BF854" i="78" s="1"/>
  <c r="BK841" i="78"/>
  <c r="BI841" i="78"/>
  <c r="BH841" i="78"/>
  <c r="BG841" i="78"/>
  <c r="BE841" i="78"/>
  <c r="T841" i="78"/>
  <c r="R841" i="78"/>
  <c r="P841" i="78"/>
  <c r="J841" i="78"/>
  <c r="BF841" i="78" s="1"/>
  <c r="BK840" i="78"/>
  <c r="BI840" i="78"/>
  <c r="BH840" i="78"/>
  <c r="BG840" i="78"/>
  <c r="BE840" i="78"/>
  <c r="T840" i="78"/>
  <c r="R840" i="78"/>
  <c r="P840" i="78"/>
  <c r="J840" i="78"/>
  <c r="BF840" i="78" s="1"/>
  <c r="BK839" i="78"/>
  <c r="BI839" i="78"/>
  <c r="BH839" i="78"/>
  <c r="BG839" i="78"/>
  <c r="BE839" i="78"/>
  <c r="T839" i="78"/>
  <c r="R839" i="78"/>
  <c r="P839" i="78"/>
  <c r="J839" i="78"/>
  <c r="BF839" i="78" s="1"/>
  <c r="BK837" i="78"/>
  <c r="BI837" i="78"/>
  <c r="BH837" i="78"/>
  <c r="BG837" i="78"/>
  <c r="BE837" i="78"/>
  <c r="T837" i="78"/>
  <c r="R837" i="78"/>
  <c r="P837" i="78"/>
  <c r="J837" i="78"/>
  <c r="BF837" i="78" s="1"/>
  <c r="BK836" i="78"/>
  <c r="BI836" i="78"/>
  <c r="BH836" i="78"/>
  <c r="BG836" i="78"/>
  <c r="BE836" i="78"/>
  <c r="T836" i="78"/>
  <c r="R836" i="78"/>
  <c r="P836" i="78"/>
  <c r="J836" i="78"/>
  <c r="BF836" i="78" s="1"/>
  <c r="BK834" i="78"/>
  <c r="BI834" i="78"/>
  <c r="BH834" i="78"/>
  <c r="BG834" i="78"/>
  <c r="BE834" i="78"/>
  <c r="T834" i="78"/>
  <c r="R834" i="78"/>
  <c r="P834" i="78"/>
  <c r="J834" i="78"/>
  <c r="BF834" i="78" s="1"/>
  <c r="BK830" i="78"/>
  <c r="BI830" i="78"/>
  <c r="BH830" i="78"/>
  <c r="BG830" i="78"/>
  <c r="BE830" i="78"/>
  <c r="T830" i="78"/>
  <c r="R830" i="78"/>
  <c r="P830" i="78"/>
  <c r="J830" i="78"/>
  <c r="BF830" i="78" s="1"/>
  <c r="BK829" i="78"/>
  <c r="BI829" i="78"/>
  <c r="BH829" i="78"/>
  <c r="BG829" i="78"/>
  <c r="BE829" i="78"/>
  <c r="T829" i="78"/>
  <c r="R829" i="78"/>
  <c r="P829" i="78"/>
  <c r="J829" i="78"/>
  <c r="BF829" i="78" s="1"/>
  <c r="BK826" i="78"/>
  <c r="BI826" i="78"/>
  <c r="BH826" i="78"/>
  <c r="BG826" i="78"/>
  <c r="BE826" i="78"/>
  <c r="T826" i="78"/>
  <c r="R826" i="78"/>
  <c r="P826" i="78"/>
  <c r="J826" i="78"/>
  <c r="BF826" i="78" s="1"/>
  <c r="BK825" i="78"/>
  <c r="BI825" i="78"/>
  <c r="BH825" i="78"/>
  <c r="BG825" i="78"/>
  <c r="BE825" i="78"/>
  <c r="T825" i="78"/>
  <c r="R825" i="78"/>
  <c r="P825" i="78"/>
  <c r="J825" i="78"/>
  <c r="BF825" i="78" s="1"/>
  <c r="BK819" i="78"/>
  <c r="BI819" i="78"/>
  <c r="BH819" i="78"/>
  <c r="BG819" i="78"/>
  <c r="BE819" i="78"/>
  <c r="T819" i="78"/>
  <c r="R819" i="78"/>
  <c r="P819" i="78"/>
  <c r="J819" i="78"/>
  <c r="BF819" i="78" s="1"/>
  <c r="BK818" i="78"/>
  <c r="BI818" i="78"/>
  <c r="BH818" i="78"/>
  <c r="BG818" i="78"/>
  <c r="BE818" i="78"/>
  <c r="T818" i="78"/>
  <c r="R818" i="78"/>
  <c r="P818" i="78"/>
  <c r="J818" i="78"/>
  <c r="BF818" i="78" s="1"/>
  <c r="BK811" i="78"/>
  <c r="BI811" i="78"/>
  <c r="BH811" i="78"/>
  <c r="BG811" i="78"/>
  <c r="BE811" i="78"/>
  <c r="T811" i="78"/>
  <c r="R811" i="78"/>
  <c r="P811" i="78"/>
  <c r="J811" i="78"/>
  <c r="BF811" i="78" s="1"/>
  <c r="BK810" i="78"/>
  <c r="BI810" i="78"/>
  <c r="BH810" i="78"/>
  <c r="BG810" i="78"/>
  <c r="BE810" i="78"/>
  <c r="T810" i="78"/>
  <c r="R810" i="78"/>
  <c r="P810" i="78"/>
  <c r="J810" i="78"/>
  <c r="BF810" i="78" s="1"/>
  <c r="BK807" i="78"/>
  <c r="BI807" i="78"/>
  <c r="BH807" i="78"/>
  <c r="BG807" i="78"/>
  <c r="BE807" i="78"/>
  <c r="T807" i="78"/>
  <c r="R807" i="78"/>
  <c r="P807" i="78"/>
  <c r="J807" i="78"/>
  <c r="BF807" i="78" s="1"/>
  <c r="BK806" i="78"/>
  <c r="BI806" i="78"/>
  <c r="BH806" i="78"/>
  <c r="BG806" i="78"/>
  <c r="BE806" i="78"/>
  <c r="T806" i="78"/>
  <c r="R806" i="78"/>
  <c r="P806" i="78"/>
  <c r="J806" i="78"/>
  <c r="BF806" i="78" s="1"/>
  <c r="BK800" i="78"/>
  <c r="BI800" i="78"/>
  <c r="BH800" i="78"/>
  <c r="BG800" i="78"/>
  <c r="BE800" i="78"/>
  <c r="T800" i="78"/>
  <c r="R800" i="78"/>
  <c r="P800" i="78"/>
  <c r="J800" i="78"/>
  <c r="BF800" i="78" s="1"/>
  <c r="BK794" i="78"/>
  <c r="BI794" i="78"/>
  <c r="BH794" i="78"/>
  <c r="BG794" i="78"/>
  <c r="BE794" i="78"/>
  <c r="T794" i="78"/>
  <c r="R794" i="78"/>
  <c r="P794" i="78"/>
  <c r="J794" i="78"/>
  <c r="BF794" i="78" s="1"/>
  <c r="BK791" i="78"/>
  <c r="BI791" i="78"/>
  <c r="BH791" i="78"/>
  <c r="BG791" i="78"/>
  <c r="BE791" i="78"/>
  <c r="T791" i="78"/>
  <c r="R791" i="78"/>
  <c r="P791" i="78"/>
  <c r="J791" i="78"/>
  <c r="BF791" i="78" s="1"/>
  <c r="BK785" i="78"/>
  <c r="BI785" i="78"/>
  <c r="BH785" i="78"/>
  <c r="BG785" i="78"/>
  <c r="BE785" i="78"/>
  <c r="T785" i="78"/>
  <c r="R785" i="78"/>
  <c r="P785" i="78"/>
  <c r="J785" i="78"/>
  <c r="BF785" i="78" s="1"/>
  <c r="BK779" i="78"/>
  <c r="BI779" i="78"/>
  <c r="BH779" i="78"/>
  <c r="BG779" i="78"/>
  <c r="BE779" i="78"/>
  <c r="T779" i="78"/>
  <c r="R779" i="78"/>
  <c r="P779" i="78"/>
  <c r="J779" i="78"/>
  <c r="BF779" i="78" s="1"/>
  <c r="BK778" i="78"/>
  <c r="BI778" i="78"/>
  <c r="BH778" i="78"/>
  <c r="BG778" i="78"/>
  <c r="BE778" i="78"/>
  <c r="T778" i="78"/>
  <c r="R778" i="78"/>
  <c r="P778" i="78"/>
  <c r="J778" i="78"/>
  <c r="BF778" i="78" s="1"/>
  <c r="BK772" i="78"/>
  <c r="BI772" i="78"/>
  <c r="BH772" i="78"/>
  <c r="BG772" i="78"/>
  <c r="BE772" i="78"/>
  <c r="T772" i="78"/>
  <c r="R772" i="78"/>
  <c r="P772" i="78"/>
  <c r="J772" i="78"/>
  <c r="BF772" i="78" s="1"/>
  <c r="BK767" i="78"/>
  <c r="BI767" i="78"/>
  <c r="BH767" i="78"/>
  <c r="BG767" i="78"/>
  <c r="BE767" i="78"/>
  <c r="T767" i="78"/>
  <c r="R767" i="78"/>
  <c r="P767" i="78"/>
  <c r="J767" i="78"/>
  <c r="BF767" i="78" s="1"/>
  <c r="BK765" i="78"/>
  <c r="BI765" i="78"/>
  <c r="BH765" i="78"/>
  <c r="BG765" i="78"/>
  <c r="BE765" i="78"/>
  <c r="T765" i="78"/>
  <c r="R765" i="78"/>
  <c r="P765" i="78"/>
  <c r="J765" i="78"/>
  <c r="BF765" i="78" s="1"/>
  <c r="BK757" i="78"/>
  <c r="BI757" i="78"/>
  <c r="BH757" i="78"/>
  <c r="BG757" i="78"/>
  <c r="BE757" i="78"/>
  <c r="T757" i="78"/>
  <c r="R757" i="78"/>
  <c r="P757" i="78"/>
  <c r="J757" i="78"/>
  <c r="BF757" i="78" s="1"/>
  <c r="BK749" i="78"/>
  <c r="BI749" i="78"/>
  <c r="BH749" i="78"/>
  <c r="BG749" i="78"/>
  <c r="BE749" i="78"/>
  <c r="T749" i="78"/>
  <c r="R749" i="78"/>
  <c r="P749" i="78"/>
  <c r="J749" i="78"/>
  <c r="BF749" i="78" s="1"/>
  <c r="BK747" i="78"/>
  <c r="BI747" i="78"/>
  <c r="BH747" i="78"/>
  <c r="BG747" i="78"/>
  <c r="BE747" i="78"/>
  <c r="T747" i="78"/>
  <c r="R747" i="78"/>
  <c r="P747" i="78"/>
  <c r="J747" i="78"/>
  <c r="BF747" i="78" s="1"/>
  <c r="BK743" i="78"/>
  <c r="BI743" i="78"/>
  <c r="BH743" i="78"/>
  <c r="BG743" i="78"/>
  <c r="BF743" i="78"/>
  <c r="BE743" i="78"/>
  <c r="T743" i="78"/>
  <c r="R743" i="78"/>
  <c r="P743" i="78"/>
  <c r="J743" i="78"/>
  <c r="BK739" i="78"/>
  <c r="BI739" i="78"/>
  <c r="BH739" i="78"/>
  <c r="BG739" i="78"/>
  <c r="BE739" i="78"/>
  <c r="T739" i="78"/>
  <c r="R739" i="78"/>
  <c r="P739" i="78"/>
  <c r="J739" i="78"/>
  <c r="BF739" i="78" s="1"/>
  <c r="BK737" i="78"/>
  <c r="BI737" i="78"/>
  <c r="BH737" i="78"/>
  <c r="BG737" i="78"/>
  <c r="BE737" i="78"/>
  <c r="T737" i="78"/>
  <c r="R737" i="78"/>
  <c r="P737" i="78"/>
  <c r="J737" i="78"/>
  <c r="BF737" i="78" s="1"/>
  <c r="BK736" i="78"/>
  <c r="BI736" i="78"/>
  <c r="BH736" i="78"/>
  <c r="BG736" i="78"/>
  <c r="BE736" i="78"/>
  <c r="T736" i="78"/>
  <c r="R736" i="78"/>
  <c r="P736" i="78"/>
  <c r="J736" i="78"/>
  <c r="BF736" i="78" s="1"/>
  <c r="BK726" i="78"/>
  <c r="BI726" i="78"/>
  <c r="BH726" i="78"/>
  <c r="BG726" i="78"/>
  <c r="BE726" i="78"/>
  <c r="T726" i="78"/>
  <c r="R726" i="78"/>
  <c r="P726" i="78"/>
  <c r="J726" i="78"/>
  <c r="BF726" i="78" s="1"/>
  <c r="BK716" i="78"/>
  <c r="BI716" i="78"/>
  <c r="BH716" i="78"/>
  <c r="BG716" i="78"/>
  <c r="BE716" i="78"/>
  <c r="T716" i="78"/>
  <c r="R716" i="78"/>
  <c r="P716" i="78"/>
  <c r="J716" i="78"/>
  <c r="BF716" i="78" s="1"/>
  <c r="BK706" i="78"/>
  <c r="BI706" i="78"/>
  <c r="BH706" i="78"/>
  <c r="BG706" i="78"/>
  <c r="BE706" i="78"/>
  <c r="T706" i="78"/>
  <c r="R706" i="78"/>
  <c r="P706" i="78"/>
  <c r="J706" i="78"/>
  <c r="BF706" i="78" s="1"/>
  <c r="BK705" i="78"/>
  <c r="BI705" i="78"/>
  <c r="BH705" i="78"/>
  <c r="BG705" i="78"/>
  <c r="BE705" i="78"/>
  <c r="T705" i="78"/>
  <c r="R705" i="78"/>
  <c r="P705" i="78"/>
  <c r="J705" i="78"/>
  <c r="BF705" i="78" s="1"/>
  <c r="BK703" i="78"/>
  <c r="BI703" i="78"/>
  <c r="BH703" i="78"/>
  <c r="BG703" i="78"/>
  <c r="BE703" i="78"/>
  <c r="T703" i="78"/>
  <c r="R703" i="78"/>
  <c r="P703" i="78"/>
  <c r="J703" i="78"/>
  <c r="BF703" i="78" s="1"/>
  <c r="BK700" i="78"/>
  <c r="BI700" i="78"/>
  <c r="BH700" i="78"/>
  <c r="BG700" i="78"/>
  <c r="BE700" i="78"/>
  <c r="T700" i="78"/>
  <c r="R700" i="78"/>
  <c r="P700" i="78"/>
  <c r="J700" i="78"/>
  <c r="BF700" i="78" s="1"/>
  <c r="BK697" i="78"/>
  <c r="BI697" i="78"/>
  <c r="BH697" i="78"/>
  <c r="BG697" i="78"/>
  <c r="BE697" i="78"/>
  <c r="T697" i="78"/>
  <c r="R697" i="78"/>
  <c r="P697" i="78"/>
  <c r="J697" i="78"/>
  <c r="BF697" i="78" s="1"/>
  <c r="BK695" i="78"/>
  <c r="BI695" i="78"/>
  <c r="BH695" i="78"/>
  <c r="BG695" i="78"/>
  <c r="BE695" i="78"/>
  <c r="T695" i="78"/>
  <c r="R695" i="78"/>
  <c r="P695" i="78"/>
  <c r="J695" i="78"/>
  <c r="BF695" i="78" s="1"/>
  <c r="BK694" i="78"/>
  <c r="BI694" i="78"/>
  <c r="BH694" i="78"/>
  <c r="BG694" i="78"/>
  <c r="BE694" i="78"/>
  <c r="T694" i="78"/>
  <c r="R694" i="78"/>
  <c r="P694" i="78"/>
  <c r="J694" i="78"/>
  <c r="BF694" i="78" s="1"/>
  <c r="BK688" i="78"/>
  <c r="BI688" i="78"/>
  <c r="BH688" i="78"/>
  <c r="BG688" i="78"/>
  <c r="BF688" i="78"/>
  <c r="BE688" i="78"/>
  <c r="T688" i="78"/>
  <c r="R688" i="78"/>
  <c r="P688" i="78"/>
  <c r="J688" i="78"/>
  <c r="BK684" i="78"/>
  <c r="BI684" i="78"/>
  <c r="BH684" i="78"/>
  <c r="BG684" i="78"/>
  <c r="BE684" i="78"/>
  <c r="T684" i="78"/>
  <c r="R684" i="78"/>
  <c r="P684" i="78"/>
  <c r="J684" i="78"/>
  <c r="BF684" i="78" s="1"/>
  <c r="BK681" i="78"/>
  <c r="BI681" i="78"/>
  <c r="BH681" i="78"/>
  <c r="BG681" i="78"/>
  <c r="BE681" i="78"/>
  <c r="T681" i="78"/>
  <c r="R681" i="78"/>
  <c r="P681" i="78"/>
  <c r="J681" i="78"/>
  <c r="BF681" i="78" s="1"/>
  <c r="BK676" i="78"/>
  <c r="BI676" i="78"/>
  <c r="BH676" i="78"/>
  <c r="BG676" i="78"/>
  <c r="BE676" i="78"/>
  <c r="T676" i="78"/>
  <c r="R676" i="78"/>
  <c r="P676" i="78"/>
  <c r="J676" i="78"/>
  <c r="BF676" i="78" s="1"/>
  <c r="BK666" i="78"/>
  <c r="BI666" i="78"/>
  <c r="BH666" i="78"/>
  <c r="BG666" i="78"/>
  <c r="BE666" i="78"/>
  <c r="T666" i="78"/>
  <c r="R666" i="78"/>
  <c r="P666" i="78"/>
  <c r="J666" i="78"/>
  <c r="BF666" i="78" s="1"/>
  <c r="BK662" i="78"/>
  <c r="BI662" i="78"/>
  <c r="BH662" i="78"/>
  <c r="BG662" i="78"/>
  <c r="BE662" i="78"/>
  <c r="T662" i="78"/>
  <c r="R662" i="78"/>
  <c r="P662" i="78"/>
  <c r="J662" i="78"/>
  <c r="BF662" i="78" s="1"/>
  <c r="BK656" i="78"/>
  <c r="BI656" i="78"/>
  <c r="BH656" i="78"/>
  <c r="BG656" i="78"/>
  <c r="BE656" i="78"/>
  <c r="T656" i="78"/>
  <c r="R656" i="78"/>
  <c r="P656" i="78"/>
  <c r="J656" i="78"/>
  <c r="BF656" i="78" s="1"/>
  <c r="BK648" i="78"/>
  <c r="BI648" i="78"/>
  <c r="BH648" i="78"/>
  <c r="BG648" i="78"/>
  <c r="BE648" i="78"/>
  <c r="T648" i="78"/>
  <c r="R648" i="78"/>
  <c r="P648" i="78"/>
  <c r="J648" i="78"/>
  <c r="BF648" i="78" s="1"/>
  <c r="BK640" i="78"/>
  <c r="BI640" i="78"/>
  <c r="BH640" i="78"/>
  <c r="BG640" i="78"/>
  <c r="BE640" i="78"/>
  <c r="T640" i="78"/>
  <c r="R640" i="78"/>
  <c r="P640" i="78"/>
  <c r="J640" i="78"/>
  <c r="BF640" i="78" s="1"/>
  <c r="BK632" i="78"/>
  <c r="BI632" i="78"/>
  <c r="BH632" i="78"/>
  <c r="BG632" i="78"/>
  <c r="BE632" i="78"/>
  <c r="T632" i="78"/>
  <c r="R632" i="78"/>
  <c r="P632" i="78"/>
  <c r="J632" i="78"/>
  <c r="BF632" i="78" s="1"/>
  <c r="BK624" i="78"/>
  <c r="BI624" i="78"/>
  <c r="BH624" i="78"/>
  <c r="BG624" i="78"/>
  <c r="BE624" i="78"/>
  <c r="T624" i="78"/>
  <c r="R624" i="78"/>
  <c r="P624" i="78"/>
  <c r="J624" i="78"/>
  <c r="BF624" i="78" s="1"/>
  <c r="BK620" i="78"/>
  <c r="BI620" i="78"/>
  <c r="BH620" i="78"/>
  <c r="BG620" i="78"/>
  <c r="BE620" i="78"/>
  <c r="T620" i="78"/>
  <c r="R620" i="78"/>
  <c r="P620" i="78"/>
  <c r="J620" i="78"/>
  <c r="BF620" i="78" s="1"/>
  <c r="BK611" i="78"/>
  <c r="BI611" i="78"/>
  <c r="BH611" i="78"/>
  <c r="BG611" i="78"/>
  <c r="BE611" i="78"/>
  <c r="T611" i="78"/>
  <c r="R611" i="78"/>
  <c r="P611" i="78"/>
  <c r="J611" i="78"/>
  <c r="BF611" i="78" s="1"/>
  <c r="BK607" i="78"/>
  <c r="BI607" i="78"/>
  <c r="BH607" i="78"/>
  <c r="BG607" i="78"/>
  <c r="BE607" i="78"/>
  <c r="T607" i="78"/>
  <c r="R607" i="78"/>
  <c r="P607" i="78"/>
  <c r="J607" i="78"/>
  <c r="BF607" i="78" s="1"/>
  <c r="BK606" i="78"/>
  <c r="BI606" i="78"/>
  <c r="BH606" i="78"/>
  <c r="BG606" i="78"/>
  <c r="BE606" i="78"/>
  <c r="T606" i="78"/>
  <c r="R606" i="78"/>
  <c r="P606" i="78"/>
  <c r="J606" i="78"/>
  <c r="BF606" i="78" s="1"/>
  <c r="BK604" i="78"/>
  <c r="BI604" i="78"/>
  <c r="BH604" i="78"/>
  <c r="BG604" i="78"/>
  <c r="BE604" i="78"/>
  <c r="T604" i="78"/>
  <c r="R604" i="78"/>
  <c r="P604" i="78"/>
  <c r="J604" i="78"/>
  <c r="BF604" i="78" s="1"/>
  <c r="BK597" i="78"/>
  <c r="BI597" i="78"/>
  <c r="BH597" i="78"/>
  <c r="BG597" i="78"/>
  <c r="BE597" i="78"/>
  <c r="T597" i="78"/>
  <c r="R597" i="78"/>
  <c r="P597" i="78"/>
  <c r="J597" i="78"/>
  <c r="BF597" i="78" s="1"/>
  <c r="BK588" i="78"/>
  <c r="BI588" i="78"/>
  <c r="BH588" i="78"/>
  <c r="BG588" i="78"/>
  <c r="BE588" i="78"/>
  <c r="T588" i="78"/>
  <c r="R588" i="78"/>
  <c r="P588" i="78"/>
  <c r="J588" i="78"/>
  <c r="BF588" i="78" s="1"/>
  <c r="BK584" i="78"/>
  <c r="BI584" i="78"/>
  <c r="BH584" i="78"/>
  <c r="BG584" i="78"/>
  <c r="BE584" i="78"/>
  <c r="T584" i="78"/>
  <c r="R584" i="78"/>
  <c r="P584" i="78"/>
  <c r="J584" i="78"/>
  <c r="BF584" i="78" s="1"/>
  <c r="BK578" i="78"/>
  <c r="BI578" i="78"/>
  <c r="BH578" i="78"/>
  <c r="BG578" i="78"/>
  <c r="BE578" i="78"/>
  <c r="T578" i="78"/>
  <c r="R578" i="78"/>
  <c r="P578" i="78"/>
  <c r="J578" i="78"/>
  <c r="BF578" i="78" s="1"/>
  <c r="BK576" i="78"/>
  <c r="BI576" i="78"/>
  <c r="BH576" i="78"/>
  <c r="BG576" i="78"/>
  <c r="BE576" i="78"/>
  <c r="T576" i="78"/>
  <c r="R576" i="78"/>
  <c r="P576" i="78"/>
  <c r="J576" i="78"/>
  <c r="BF576" i="78" s="1"/>
  <c r="BK575" i="78"/>
  <c r="BI575" i="78"/>
  <c r="BH575" i="78"/>
  <c r="BG575" i="78"/>
  <c r="BE575" i="78"/>
  <c r="T575" i="78"/>
  <c r="R575" i="78"/>
  <c r="P575" i="78"/>
  <c r="J575" i="78"/>
  <c r="BF575" i="78" s="1"/>
  <c r="BK574" i="78"/>
  <c r="BI574" i="78"/>
  <c r="BH574" i="78"/>
  <c r="BG574" i="78"/>
  <c r="BE574" i="78"/>
  <c r="T574" i="78"/>
  <c r="R574" i="78"/>
  <c r="P574" i="78"/>
  <c r="J574" i="78"/>
  <c r="BF574" i="78" s="1"/>
  <c r="BK572" i="78"/>
  <c r="BI572" i="78"/>
  <c r="BH572" i="78"/>
  <c r="BG572" i="78"/>
  <c r="BE572" i="78"/>
  <c r="T572" i="78"/>
  <c r="R572" i="78"/>
  <c r="P572" i="78"/>
  <c r="J572" i="78"/>
  <c r="BF572" i="78" s="1"/>
  <c r="BK568" i="78"/>
  <c r="BI568" i="78"/>
  <c r="BH568" i="78"/>
  <c r="BG568" i="78"/>
  <c r="BE568" i="78"/>
  <c r="T568" i="78"/>
  <c r="R568" i="78"/>
  <c r="P568" i="78"/>
  <c r="J568" i="78"/>
  <c r="BF568" i="78" s="1"/>
  <c r="BK561" i="78"/>
  <c r="BI561" i="78"/>
  <c r="BH561" i="78"/>
  <c r="BG561" i="78"/>
  <c r="BE561" i="78"/>
  <c r="T561" i="78"/>
  <c r="R561" i="78"/>
  <c r="P561" i="78"/>
  <c r="J561" i="78"/>
  <c r="BF561" i="78" s="1"/>
  <c r="BK555" i="78"/>
  <c r="BI555" i="78"/>
  <c r="BH555" i="78"/>
  <c r="BG555" i="78"/>
  <c r="BE555" i="78"/>
  <c r="T555" i="78"/>
  <c r="R555" i="78"/>
  <c r="R554" i="78" s="1"/>
  <c r="P555" i="78"/>
  <c r="J555" i="78"/>
  <c r="BF555" i="78" s="1"/>
  <c r="BK553" i="78"/>
  <c r="BI553" i="78"/>
  <c r="BH553" i="78"/>
  <c r="BG553" i="78"/>
  <c r="BE553" i="78"/>
  <c r="T553" i="78"/>
  <c r="R553" i="78"/>
  <c r="P553" i="78"/>
  <c r="J553" i="78"/>
  <c r="BF553" i="78" s="1"/>
  <c r="BK552" i="78"/>
  <c r="BI552" i="78"/>
  <c r="BH552" i="78"/>
  <c r="BG552" i="78"/>
  <c r="BE552" i="78"/>
  <c r="T552" i="78"/>
  <c r="R552" i="78"/>
  <c r="P552" i="78"/>
  <c r="J552" i="78"/>
  <c r="BF552" i="78" s="1"/>
  <c r="BK544" i="78"/>
  <c r="BI544" i="78"/>
  <c r="BH544" i="78"/>
  <c r="BG544" i="78"/>
  <c r="BE544" i="78"/>
  <c r="T544" i="78"/>
  <c r="R544" i="78"/>
  <c r="P544" i="78"/>
  <c r="J544" i="78"/>
  <c r="BF544" i="78" s="1"/>
  <c r="BK535" i="78"/>
  <c r="BI535" i="78"/>
  <c r="BH535" i="78"/>
  <c r="BG535" i="78"/>
  <c r="BE535" i="78"/>
  <c r="T535" i="78"/>
  <c r="R535" i="78"/>
  <c r="P535" i="78"/>
  <c r="J535" i="78"/>
  <c r="BF535" i="78" s="1"/>
  <c r="BK529" i="78"/>
  <c r="BI529" i="78"/>
  <c r="BH529" i="78"/>
  <c r="BG529" i="78"/>
  <c r="BE529" i="78"/>
  <c r="T529" i="78"/>
  <c r="R529" i="78"/>
  <c r="P529" i="78"/>
  <c r="J529" i="78"/>
  <c r="BF529" i="78" s="1"/>
  <c r="BK526" i="78"/>
  <c r="BI526" i="78"/>
  <c r="BH526" i="78"/>
  <c r="BG526" i="78"/>
  <c r="BE526" i="78"/>
  <c r="T526" i="78"/>
  <c r="R526" i="78"/>
  <c r="P526" i="78"/>
  <c r="J526" i="78"/>
  <c r="BF526" i="78" s="1"/>
  <c r="BK522" i="78"/>
  <c r="BI522" i="78"/>
  <c r="BH522" i="78"/>
  <c r="BG522" i="78"/>
  <c r="BE522" i="78"/>
  <c r="T522" i="78"/>
  <c r="R522" i="78"/>
  <c r="P522" i="78"/>
  <c r="J522" i="78"/>
  <c r="BF522" i="78" s="1"/>
  <c r="BK514" i="78"/>
  <c r="BI514" i="78"/>
  <c r="BH514" i="78"/>
  <c r="BG514" i="78"/>
  <c r="BE514" i="78"/>
  <c r="T514" i="78"/>
  <c r="R514" i="78"/>
  <c r="P514" i="78"/>
  <c r="J514" i="78"/>
  <c r="BF514" i="78" s="1"/>
  <c r="BK510" i="78"/>
  <c r="BI510" i="78"/>
  <c r="BH510" i="78"/>
  <c r="BG510" i="78"/>
  <c r="BE510" i="78"/>
  <c r="T510" i="78"/>
  <c r="R510" i="78"/>
  <c r="P510" i="78"/>
  <c r="J510" i="78"/>
  <c r="BF510" i="78" s="1"/>
  <c r="BK508" i="78"/>
  <c r="BI508" i="78"/>
  <c r="BH508" i="78"/>
  <c r="BG508" i="78"/>
  <c r="BE508" i="78"/>
  <c r="T508" i="78"/>
  <c r="R508" i="78"/>
  <c r="P508" i="78"/>
  <c r="J508" i="78"/>
  <c r="BF508" i="78" s="1"/>
  <c r="BK507" i="78"/>
  <c r="BI507" i="78"/>
  <c r="BH507" i="78"/>
  <c r="BG507" i="78"/>
  <c r="BE507" i="78"/>
  <c r="T507" i="78"/>
  <c r="R507" i="78"/>
  <c r="P507" i="78"/>
  <c r="J507" i="78"/>
  <c r="BF507" i="78" s="1"/>
  <c r="BK500" i="78"/>
  <c r="BI500" i="78"/>
  <c r="BH500" i="78"/>
  <c r="BG500" i="78"/>
  <c r="BE500" i="78"/>
  <c r="T500" i="78"/>
  <c r="R500" i="78"/>
  <c r="P500" i="78"/>
  <c r="J500" i="78"/>
  <c r="BF500" i="78" s="1"/>
  <c r="BK494" i="78"/>
  <c r="BI494" i="78"/>
  <c r="BH494" i="78"/>
  <c r="BG494" i="78"/>
  <c r="BE494" i="78"/>
  <c r="T494" i="78"/>
  <c r="R494" i="78"/>
  <c r="P494" i="78"/>
  <c r="J494" i="78"/>
  <c r="BF494" i="78" s="1"/>
  <c r="BK493" i="78"/>
  <c r="BI493" i="78"/>
  <c r="BH493" i="78"/>
  <c r="BG493" i="78"/>
  <c r="BE493" i="78"/>
  <c r="T493" i="78"/>
  <c r="R493" i="78"/>
  <c r="P493" i="78"/>
  <c r="J493" i="78"/>
  <c r="BF493" i="78" s="1"/>
  <c r="BK488" i="78"/>
  <c r="BI488" i="78"/>
  <c r="BH488" i="78"/>
  <c r="BG488" i="78"/>
  <c r="BE488" i="78"/>
  <c r="T488" i="78"/>
  <c r="R488" i="78"/>
  <c r="P488" i="78"/>
  <c r="J488" i="78"/>
  <c r="BF488" i="78" s="1"/>
  <c r="P487" i="78"/>
  <c r="BK486" i="78"/>
  <c r="BI486" i="78"/>
  <c r="BH486" i="78"/>
  <c r="BG486" i="78"/>
  <c r="BE486" i="78"/>
  <c r="T486" i="78"/>
  <c r="R486" i="78"/>
  <c r="P486" i="78"/>
  <c r="J486" i="78"/>
  <c r="BF486" i="78" s="1"/>
  <c r="BK485" i="78"/>
  <c r="BI485" i="78"/>
  <c r="BH485" i="78"/>
  <c r="BG485" i="78"/>
  <c r="BE485" i="78"/>
  <c r="T485" i="78"/>
  <c r="R485" i="78"/>
  <c r="P485" i="78"/>
  <c r="J485" i="78"/>
  <c r="BF485" i="78" s="1"/>
  <c r="BK484" i="78"/>
  <c r="BI484" i="78"/>
  <c r="BH484" i="78"/>
  <c r="BG484" i="78"/>
  <c r="BF484" i="78"/>
  <c r="BE484" i="78"/>
  <c r="T484" i="78"/>
  <c r="R484" i="78"/>
  <c r="P484" i="78"/>
  <c r="J484" i="78"/>
  <c r="BK483" i="78"/>
  <c r="BI483" i="78"/>
  <c r="BH483" i="78"/>
  <c r="BG483" i="78"/>
  <c r="BE483" i="78"/>
  <c r="T483" i="78"/>
  <c r="R483" i="78"/>
  <c r="P483" i="78"/>
  <c r="J483" i="78"/>
  <c r="BF483" i="78" s="1"/>
  <c r="BK482" i="78"/>
  <c r="BI482" i="78"/>
  <c r="BH482" i="78"/>
  <c r="BG482" i="78"/>
  <c r="BE482" i="78"/>
  <c r="T482" i="78"/>
  <c r="R482" i="78"/>
  <c r="P482" i="78"/>
  <c r="J482" i="78"/>
  <c r="BF482" i="78" s="1"/>
  <c r="BK481" i="78"/>
  <c r="BI481" i="78"/>
  <c r="BH481" i="78"/>
  <c r="BG481" i="78"/>
  <c r="BE481" i="78"/>
  <c r="T481" i="78"/>
  <c r="R481" i="78"/>
  <c r="P481" i="78"/>
  <c r="J481" i="78"/>
  <c r="BF481" i="78" s="1"/>
  <c r="BK480" i="78"/>
  <c r="BI480" i="78"/>
  <c r="BH480" i="78"/>
  <c r="BG480" i="78"/>
  <c r="BE480" i="78"/>
  <c r="T480" i="78"/>
  <c r="R480" i="78"/>
  <c r="P480" i="78"/>
  <c r="J480" i="78"/>
  <c r="BF480" i="78" s="1"/>
  <c r="BK479" i="78"/>
  <c r="BI479" i="78"/>
  <c r="BH479" i="78"/>
  <c r="BG479" i="78"/>
  <c r="BE479" i="78"/>
  <c r="T479" i="78"/>
  <c r="R479" i="78"/>
  <c r="R478" i="78" s="1"/>
  <c r="P479" i="78"/>
  <c r="J479" i="78"/>
  <c r="BF479" i="78" s="1"/>
  <c r="BK475" i="78"/>
  <c r="BI475" i="78"/>
  <c r="BH475" i="78"/>
  <c r="BG475" i="78"/>
  <c r="BE475" i="78"/>
  <c r="T475" i="78"/>
  <c r="R475" i="78"/>
  <c r="P475" i="78"/>
  <c r="J475" i="78"/>
  <c r="BF475" i="78" s="1"/>
  <c r="BK472" i="78"/>
  <c r="BI472" i="78"/>
  <c r="BH472" i="78"/>
  <c r="BG472" i="78"/>
  <c r="BE472" i="78"/>
  <c r="T472" i="78"/>
  <c r="R472" i="78"/>
  <c r="P472" i="78"/>
  <c r="J472" i="78"/>
  <c r="BF472" i="78" s="1"/>
  <c r="BK469" i="78"/>
  <c r="BI469" i="78"/>
  <c r="BH469" i="78"/>
  <c r="BG469" i="78"/>
  <c r="BE469" i="78"/>
  <c r="T469" i="78"/>
  <c r="R469" i="78"/>
  <c r="P469" i="78"/>
  <c r="J469" i="78"/>
  <c r="BF469" i="78" s="1"/>
  <c r="BK466" i="78"/>
  <c r="BI466" i="78"/>
  <c r="BH466" i="78"/>
  <c r="BG466" i="78"/>
  <c r="BE466" i="78"/>
  <c r="T466" i="78"/>
  <c r="R466" i="78"/>
  <c r="P466" i="78"/>
  <c r="J466" i="78"/>
  <c r="BF466" i="78" s="1"/>
  <c r="BK463" i="78"/>
  <c r="BI463" i="78"/>
  <c r="BH463" i="78"/>
  <c r="BG463" i="78"/>
  <c r="BE463" i="78"/>
  <c r="T463" i="78"/>
  <c r="R463" i="78"/>
  <c r="P463" i="78"/>
  <c r="J463" i="78"/>
  <c r="BF463" i="78" s="1"/>
  <c r="BK460" i="78"/>
  <c r="BI460" i="78"/>
  <c r="BH460" i="78"/>
  <c r="BG460" i="78"/>
  <c r="BE460" i="78"/>
  <c r="T460" i="78"/>
  <c r="R460" i="78"/>
  <c r="P460" i="78"/>
  <c r="J460" i="78"/>
  <c r="BF460" i="78" s="1"/>
  <c r="BK457" i="78"/>
  <c r="BI457" i="78"/>
  <c r="BH457" i="78"/>
  <c r="BG457" i="78"/>
  <c r="BE457" i="78"/>
  <c r="T457" i="78"/>
  <c r="R457" i="78"/>
  <c r="P457" i="78"/>
  <c r="J457" i="78"/>
  <c r="BF457" i="78" s="1"/>
  <c r="BK454" i="78"/>
  <c r="BI454" i="78"/>
  <c r="BH454" i="78"/>
  <c r="BG454" i="78"/>
  <c r="BE454" i="78"/>
  <c r="T454" i="78"/>
  <c r="R454" i="78"/>
  <c r="P454" i="78"/>
  <c r="J454" i="78"/>
  <c r="BF454" i="78" s="1"/>
  <c r="BK451" i="78"/>
  <c r="BI451" i="78"/>
  <c r="BH451" i="78"/>
  <c r="BG451" i="78"/>
  <c r="BE451" i="78"/>
  <c r="T451" i="78"/>
  <c r="R451" i="78"/>
  <c r="P451" i="78"/>
  <c r="J451" i="78"/>
  <c r="BF451" i="78" s="1"/>
  <c r="BK448" i="78"/>
  <c r="BI448" i="78"/>
  <c r="BH448" i="78"/>
  <c r="BG448" i="78"/>
  <c r="BE448" i="78"/>
  <c r="T448" i="78"/>
  <c r="R448" i="78"/>
  <c r="P448" i="78"/>
  <c r="J448" i="78"/>
  <c r="BF448" i="78" s="1"/>
  <c r="BK445" i="78"/>
  <c r="BI445" i="78"/>
  <c r="BH445" i="78"/>
  <c r="BG445" i="78"/>
  <c r="BE445" i="78"/>
  <c r="T445" i="78"/>
  <c r="R445" i="78"/>
  <c r="P445" i="78"/>
  <c r="J445" i="78"/>
  <c r="BF445" i="78" s="1"/>
  <c r="BK442" i="78"/>
  <c r="BI442" i="78"/>
  <c r="BH442" i="78"/>
  <c r="BG442" i="78"/>
  <c r="BE442" i="78"/>
  <c r="T442" i="78"/>
  <c r="R442" i="78"/>
  <c r="P442" i="78"/>
  <c r="J442" i="78"/>
  <c r="BF442" i="78" s="1"/>
  <c r="BK439" i="78"/>
  <c r="BI439" i="78"/>
  <c r="BH439" i="78"/>
  <c r="BG439" i="78"/>
  <c r="BE439" i="78"/>
  <c r="T439" i="78"/>
  <c r="R439" i="78"/>
  <c r="P439" i="78"/>
  <c r="J439" i="78"/>
  <c r="BF439" i="78" s="1"/>
  <c r="BK436" i="78"/>
  <c r="BI436" i="78"/>
  <c r="BH436" i="78"/>
  <c r="BG436" i="78"/>
  <c r="BE436" i="78"/>
  <c r="T436" i="78"/>
  <c r="R436" i="78"/>
  <c r="P436" i="78"/>
  <c r="J436" i="78"/>
  <c r="BF436" i="78" s="1"/>
  <c r="BK433" i="78"/>
  <c r="BI433" i="78"/>
  <c r="BH433" i="78"/>
  <c r="BG433" i="78"/>
  <c r="BE433" i="78"/>
  <c r="T433" i="78"/>
  <c r="R433" i="78"/>
  <c r="P433" i="78"/>
  <c r="J433" i="78"/>
  <c r="BF433" i="78" s="1"/>
  <c r="BK430" i="78"/>
  <c r="BI430" i="78"/>
  <c r="BH430" i="78"/>
  <c r="BG430" i="78"/>
  <c r="BE430" i="78"/>
  <c r="T430" i="78"/>
  <c r="R430" i="78"/>
  <c r="P430" i="78"/>
  <c r="J430" i="78"/>
  <c r="BF430" i="78" s="1"/>
  <c r="BK427" i="78"/>
  <c r="BI427" i="78"/>
  <c r="BH427" i="78"/>
  <c r="BG427" i="78"/>
  <c r="BE427" i="78"/>
  <c r="T427" i="78"/>
  <c r="R427" i="78"/>
  <c r="P427" i="78"/>
  <c r="J427" i="78"/>
  <c r="BF427" i="78" s="1"/>
  <c r="BK424" i="78"/>
  <c r="BI424" i="78"/>
  <c r="BH424" i="78"/>
  <c r="BG424" i="78"/>
  <c r="BE424" i="78"/>
  <c r="T424" i="78"/>
  <c r="R424" i="78"/>
  <c r="P424" i="78"/>
  <c r="J424" i="78"/>
  <c r="BF424" i="78" s="1"/>
  <c r="BK421" i="78"/>
  <c r="BI421" i="78"/>
  <c r="BH421" i="78"/>
  <c r="BG421" i="78"/>
  <c r="BE421" i="78"/>
  <c r="T421" i="78"/>
  <c r="R421" i="78"/>
  <c r="P421" i="78"/>
  <c r="J421" i="78"/>
  <c r="BF421" i="78" s="1"/>
  <c r="BK418" i="78"/>
  <c r="BI418" i="78"/>
  <c r="BH418" i="78"/>
  <c r="BG418" i="78"/>
  <c r="BE418" i="78"/>
  <c r="T418" i="78"/>
  <c r="R418" i="78"/>
  <c r="P418" i="78"/>
  <c r="J418" i="78"/>
  <c r="BF418" i="78" s="1"/>
  <c r="BK415" i="78"/>
  <c r="BI415" i="78"/>
  <c r="BH415" i="78"/>
  <c r="BG415" i="78"/>
  <c r="BE415" i="78"/>
  <c r="T415" i="78"/>
  <c r="R415" i="78"/>
  <c r="P415" i="78"/>
  <c r="J415" i="78"/>
  <c r="BF415" i="78" s="1"/>
  <c r="BK412" i="78"/>
  <c r="BI412" i="78"/>
  <c r="BH412" i="78"/>
  <c r="BG412" i="78"/>
  <c r="BE412" i="78"/>
  <c r="T412" i="78"/>
  <c r="R412" i="78"/>
  <c r="P412" i="78"/>
  <c r="J412" i="78"/>
  <c r="BF412" i="78" s="1"/>
  <c r="BK409" i="78"/>
  <c r="BI409" i="78"/>
  <c r="BH409" i="78"/>
  <c r="BG409" i="78"/>
  <c r="BE409" i="78"/>
  <c r="T409" i="78"/>
  <c r="R409" i="78"/>
  <c r="P409" i="78"/>
  <c r="BF409" i="78"/>
  <c r="BK406" i="78"/>
  <c r="BI406" i="78"/>
  <c r="BH406" i="78"/>
  <c r="BG406" i="78"/>
  <c r="BE406" i="78"/>
  <c r="T406" i="78"/>
  <c r="R406" i="78"/>
  <c r="P406" i="78"/>
  <c r="J406" i="78"/>
  <c r="BF406" i="78" s="1"/>
  <c r="BK403" i="78"/>
  <c r="BI403" i="78"/>
  <c r="BH403" i="78"/>
  <c r="BG403" i="78"/>
  <c r="BE403" i="78"/>
  <c r="T403" i="78"/>
  <c r="R403" i="78"/>
  <c r="P403" i="78"/>
  <c r="J403" i="78"/>
  <c r="BF403" i="78" s="1"/>
  <c r="BK400" i="78"/>
  <c r="BI400" i="78"/>
  <c r="BH400" i="78"/>
  <c r="BG400" i="78"/>
  <c r="BE400" i="78"/>
  <c r="T400" i="78"/>
  <c r="R400" i="78"/>
  <c r="P400" i="78"/>
  <c r="J400" i="78"/>
  <c r="BF400" i="78" s="1"/>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J386" i="78"/>
  <c r="BF386" i="78" s="1"/>
  <c r="BK382" i="78"/>
  <c r="BI382" i="78"/>
  <c r="BH382" i="78"/>
  <c r="BG382" i="78"/>
  <c r="BE382" i="78"/>
  <c r="T382" i="78"/>
  <c r="R382" i="78"/>
  <c r="P382" i="78"/>
  <c r="J382" i="78"/>
  <c r="BF382" i="78" s="1"/>
  <c r="BK378" i="78"/>
  <c r="BI378" i="78"/>
  <c r="BH378" i="78"/>
  <c r="BG378" i="78"/>
  <c r="BE378" i="78"/>
  <c r="T378" i="78"/>
  <c r="R378" i="78"/>
  <c r="P378" i="78"/>
  <c r="J378" i="78"/>
  <c r="BF378" i="78" s="1"/>
  <c r="BK375" i="78"/>
  <c r="BI375" i="78"/>
  <c r="BH375" i="78"/>
  <c r="BG375" i="78"/>
  <c r="BE375" i="78"/>
  <c r="T375" i="78"/>
  <c r="R375" i="78"/>
  <c r="P375" i="78"/>
  <c r="J375" i="78"/>
  <c r="BF375" i="78" s="1"/>
  <c r="BK372" i="78"/>
  <c r="BI372" i="78"/>
  <c r="BH372" i="78"/>
  <c r="BG372" i="78"/>
  <c r="BE372" i="78"/>
  <c r="T372" i="78"/>
  <c r="R372" i="78"/>
  <c r="P372" i="78"/>
  <c r="J372" i="78"/>
  <c r="BF372" i="78" s="1"/>
  <c r="BK368" i="78"/>
  <c r="BI368" i="78"/>
  <c r="BH368" i="78"/>
  <c r="BG368" i="78"/>
  <c r="BE368" i="78"/>
  <c r="T368" i="78"/>
  <c r="R368" i="78"/>
  <c r="P368" i="78"/>
  <c r="J368" i="78"/>
  <c r="BF368" i="78" s="1"/>
  <c r="BK364" i="78"/>
  <c r="BI364" i="78"/>
  <c r="BH364" i="78"/>
  <c r="BG364" i="78"/>
  <c r="BE364" i="78"/>
  <c r="T364" i="78"/>
  <c r="R364" i="78"/>
  <c r="P364" i="78"/>
  <c r="J364" i="78"/>
  <c r="BF364" i="78" s="1"/>
  <c r="BK360" i="78"/>
  <c r="BI360" i="78"/>
  <c r="BH360" i="78"/>
  <c r="BG360" i="78"/>
  <c r="BE360" i="78"/>
  <c r="T360" i="78"/>
  <c r="R360" i="78"/>
  <c r="P360" i="78"/>
  <c r="J360" i="78"/>
  <c r="BF360" i="78" s="1"/>
  <c r="BK356" i="78"/>
  <c r="BI356" i="78"/>
  <c r="BH356" i="78"/>
  <c r="BG356" i="78"/>
  <c r="BE356" i="78"/>
  <c r="T356" i="78"/>
  <c r="R356" i="78"/>
  <c r="P356" i="78"/>
  <c r="J356" i="78"/>
  <c r="BF356" i="78" s="1"/>
  <c r="BK352" i="78"/>
  <c r="BI352" i="78"/>
  <c r="BH352" i="78"/>
  <c r="BG352" i="78"/>
  <c r="BE352" i="78"/>
  <c r="T352" i="78"/>
  <c r="R352" i="78"/>
  <c r="P352" i="78"/>
  <c r="J352" i="78"/>
  <c r="BF352" i="78" s="1"/>
  <c r="BK348" i="78"/>
  <c r="BI348" i="78"/>
  <c r="BH348" i="78"/>
  <c r="BG348" i="78"/>
  <c r="BE348" i="78"/>
  <c r="T348" i="78"/>
  <c r="R348" i="78"/>
  <c r="P348" i="78"/>
  <c r="J348" i="78"/>
  <c r="BF348" i="78" s="1"/>
  <c r="BK344" i="78"/>
  <c r="BI344" i="78"/>
  <c r="BH344" i="78"/>
  <c r="BG344" i="78"/>
  <c r="BE344" i="78"/>
  <c r="T344" i="78"/>
  <c r="R344" i="78"/>
  <c r="P344" i="78"/>
  <c r="J344" i="78"/>
  <c r="BF344" i="78" s="1"/>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F296" i="78"/>
  <c r="BE296" i="78"/>
  <c r="T296" i="78"/>
  <c r="R296" i="78"/>
  <c r="P296" i="78"/>
  <c r="P295" i="78" s="1"/>
  <c r="J296" i="78"/>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K189" i="78"/>
  <c r="BI189" i="78"/>
  <c r="BH189" i="78"/>
  <c r="BG189" i="78"/>
  <c r="BE189" i="78"/>
  <c r="T189" i="78"/>
  <c r="R189" i="78"/>
  <c r="P189" i="78"/>
  <c r="J189" i="78"/>
  <c r="BF189" i="78" s="1"/>
  <c r="BK185" i="78"/>
  <c r="BI185" i="78"/>
  <c r="BH185" i="78"/>
  <c r="BG185" i="78"/>
  <c r="BE185" i="78"/>
  <c r="T185" i="78"/>
  <c r="R185" i="78"/>
  <c r="P185" i="78"/>
  <c r="J185" i="78"/>
  <c r="BF185" i="78" s="1"/>
  <c r="BK184" i="78"/>
  <c r="BI184" i="78"/>
  <c r="BH184" i="78"/>
  <c r="BG184" i="78"/>
  <c r="BE184" i="78"/>
  <c r="T184" i="78"/>
  <c r="R184" i="78"/>
  <c r="P184" i="78"/>
  <c r="J184" i="78"/>
  <c r="BF184" i="78" s="1"/>
  <c r="BK179" i="78"/>
  <c r="BI179" i="78"/>
  <c r="BH179" i="78"/>
  <c r="BG179" i="78"/>
  <c r="BE179" i="78"/>
  <c r="T179" i="78"/>
  <c r="R179" i="78"/>
  <c r="P179" i="78"/>
  <c r="J179" i="78"/>
  <c r="BF179" i="78" s="1"/>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J101" i="78"/>
  <c r="F92" i="78"/>
  <c r="F91" i="78"/>
  <c r="F89" i="78"/>
  <c r="E87" i="78"/>
  <c r="J39" i="78"/>
  <c r="J38" i="78"/>
  <c r="J37" i="78"/>
  <c r="AX97" i="75" s="1"/>
  <c r="J24" i="78"/>
  <c r="E24" i="78"/>
  <c r="J92" i="78" s="1"/>
  <c r="J23" i="78"/>
  <c r="J21" i="78"/>
  <c r="E21" i="78"/>
  <c r="J144" i="78" s="1"/>
  <c r="J20" i="78"/>
  <c r="J12" i="78"/>
  <c r="J89" i="78" s="1"/>
  <c r="E7" i="78"/>
  <c r="E85" i="78" s="1"/>
  <c r="BK336" i="77"/>
  <c r="BI336" i="77"/>
  <c r="BH336" i="77"/>
  <c r="BG336" i="77"/>
  <c r="BE336" i="77"/>
  <c r="T336" i="77"/>
  <c r="R336" i="77"/>
  <c r="P336" i="77"/>
  <c r="J336" i="77"/>
  <c r="BF336" i="77" s="1"/>
  <c r="BK335" i="77"/>
  <c r="BI335" i="77"/>
  <c r="BH335" i="77"/>
  <c r="BG335" i="77"/>
  <c r="BE335" i="77"/>
  <c r="T335" i="77"/>
  <c r="R335" i="77"/>
  <c r="P335" i="77"/>
  <c r="J335" i="77"/>
  <c r="BF335" i="77" s="1"/>
  <c r="BK334" i="77"/>
  <c r="BI334" i="77"/>
  <c r="BH334" i="77"/>
  <c r="BG334" i="77"/>
  <c r="BE334" i="77"/>
  <c r="T334" i="77"/>
  <c r="R334" i="77"/>
  <c r="P334" i="77"/>
  <c r="P330" i="77" s="1"/>
  <c r="J334" i="77"/>
  <c r="BF334" i="77" s="1"/>
  <c r="BK333" i="77"/>
  <c r="BI333" i="77"/>
  <c r="BH333" i="77"/>
  <c r="BG333" i="77"/>
  <c r="BE333" i="77"/>
  <c r="T333" i="77"/>
  <c r="T330" i="77" s="1"/>
  <c r="R333" i="77"/>
  <c r="P333" i="77"/>
  <c r="J333" i="77"/>
  <c r="BF333" i="77" s="1"/>
  <c r="BK331" i="77"/>
  <c r="BI331" i="77"/>
  <c r="BH331" i="77"/>
  <c r="BG331" i="77"/>
  <c r="BF331" i="77"/>
  <c r="BE331" i="77"/>
  <c r="T331" i="77"/>
  <c r="R331" i="77"/>
  <c r="P331" i="77"/>
  <c r="J331" i="77"/>
  <c r="R330" i="77"/>
  <c r="BK329" i="77"/>
  <c r="BI329" i="77"/>
  <c r="BH329" i="77"/>
  <c r="BG329" i="77"/>
  <c r="BE329" i="77"/>
  <c r="T329" i="77"/>
  <c r="R329" i="77"/>
  <c r="P329" i="77"/>
  <c r="J329" i="77"/>
  <c r="BF329" i="77" s="1"/>
  <c r="BK328" i="77"/>
  <c r="BI328" i="77"/>
  <c r="BH328" i="77"/>
  <c r="BG328" i="77"/>
  <c r="BF328" i="77"/>
  <c r="BE328" i="77"/>
  <c r="T328" i="77"/>
  <c r="R328" i="77"/>
  <c r="P328" i="77"/>
  <c r="J328" i="77"/>
  <c r="BK324" i="77"/>
  <c r="BI324" i="77"/>
  <c r="BH324" i="77"/>
  <c r="BG324" i="77"/>
  <c r="BE324" i="77"/>
  <c r="T324" i="77"/>
  <c r="R324" i="77"/>
  <c r="P324" i="77"/>
  <c r="J324" i="77"/>
  <c r="BF324" i="77" s="1"/>
  <c r="BK323" i="77"/>
  <c r="BI323" i="77"/>
  <c r="BH323" i="77"/>
  <c r="BG323" i="77"/>
  <c r="BE323" i="77"/>
  <c r="T323" i="77"/>
  <c r="R323" i="77"/>
  <c r="P323" i="77"/>
  <c r="J323" i="77"/>
  <c r="BF323" i="77" s="1"/>
  <c r="BK322" i="77"/>
  <c r="BK316" i="77" s="1"/>
  <c r="J316" i="77" s="1"/>
  <c r="J105" i="77" s="1"/>
  <c r="BI322" i="77"/>
  <c r="BH322" i="77"/>
  <c r="BG322" i="77"/>
  <c r="BE322" i="77"/>
  <c r="T322" i="77"/>
  <c r="R322" i="77"/>
  <c r="P322" i="77"/>
  <c r="J322" i="77"/>
  <c r="BF322" i="77" s="1"/>
  <c r="BK321" i="77"/>
  <c r="BI321" i="77"/>
  <c r="BH321" i="77"/>
  <c r="BG321" i="77"/>
  <c r="BF321" i="77"/>
  <c r="BE321" i="77"/>
  <c r="T321" i="77"/>
  <c r="T316" i="77" s="1"/>
  <c r="R321" i="77"/>
  <c r="P321" i="77"/>
  <c r="J321" i="77"/>
  <c r="BK318" i="77"/>
  <c r="BI318" i="77"/>
  <c r="BH318" i="77"/>
  <c r="BG318" i="77"/>
  <c r="BE318" i="77"/>
  <c r="T318" i="77"/>
  <c r="R318" i="77"/>
  <c r="P318" i="77"/>
  <c r="J318" i="77"/>
  <c r="BF318" i="77" s="1"/>
  <c r="BK317" i="77"/>
  <c r="BI317" i="77"/>
  <c r="BH317" i="77"/>
  <c r="BG317" i="77"/>
  <c r="BE317" i="77"/>
  <c r="T317" i="77"/>
  <c r="R317" i="77"/>
  <c r="P317" i="77"/>
  <c r="P316" i="77" s="1"/>
  <c r="J317" i="77"/>
  <c r="BF317" i="77" s="1"/>
  <c r="BK315" i="77"/>
  <c r="BI315" i="77"/>
  <c r="BH315" i="77"/>
  <c r="BG315" i="77"/>
  <c r="BE315" i="77"/>
  <c r="T315" i="77"/>
  <c r="R315" i="77"/>
  <c r="P315" i="77"/>
  <c r="J315" i="77"/>
  <c r="BF315" i="77" s="1"/>
  <c r="BK314" i="77"/>
  <c r="BI314" i="77"/>
  <c r="BH314" i="77"/>
  <c r="BG314" i="77"/>
  <c r="BE314" i="77"/>
  <c r="T314" i="77"/>
  <c r="R314" i="77"/>
  <c r="P314" i="77"/>
  <c r="J314" i="77"/>
  <c r="BF314" i="77" s="1"/>
  <c r="BK313" i="77"/>
  <c r="BI313" i="77"/>
  <c r="BH313" i="77"/>
  <c r="BG313" i="77"/>
  <c r="BF313" i="77"/>
  <c r="BE313" i="77"/>
  <c r="T313" i="77"/>
  <c r="R313" i="77"/>
  <c r="P313" i="77"/>
  <c r="J313" i="77"/>
  <c r="BK311" i="77"/>
  <c r="BI311" i="77"/>
  <c r="BH311" i="77"/>
  <c r="BG311" i="77"/>
  <c r="BE311" i="77"/>
  <c r="T311" i="77"/>
  <c r="R311" i="77"/>
  <c r="P311" i="77"/>
  <c r="J311" i="77"/>
  <c r="BF311" i="77" s="1"/>
  <c r="BK309" i="77"/>
  <c r="BI309" i="77"/>
  <c r="BH309" i="77"/>
  <c r="BG309" i="77"/>
  <c r="BE309" i="77"/>
  <c r="T309" i="77"/>
  <c r="R309" i="77"/>
  <c r="P309" i="77"/>
  <c r="J309" i="77"/>
  <c r="BF309" i="77" s="1"/>
  <c r="BK308" i="77"/>
  <c r="BI308" i="77"/>
  <c r="BH308" i="77"/>
  <c r="BG308" i="77"/>
  <c r="BE308" i="77"/>
  <c r="T308" i="77"/>
  <c r="R308" i="77"/>
  <c r="P308" i="77"/>
  <c r="J308" i="77"/>
  <c r="BF308" i="77" s="1"/>
  <c r="BK306" i="77"/>
  <c r="BI306" i="77"/>
  <c r="BH306" i="77"/>
  <c r="BG306" i="77"/>
  <c r="BE306" i="77"/>
  <c r="T306" i="77"/>
  <c r="R306" i="77"/>
  <c r="P306" i="77"/>
  <c r="J306" i="77"/>
  <c r="BF306" i="77" s="1"/>
  <c r="BK287" i="77"/>
  <c r="BI287" i="77"/>
  <c r="BH287" i="77"/>
  <c r="BG287" i="77"/>
  <c r="BE287" i="77"/>
  <c r="T287" i="77"/>
  <c r="R287" i="77"/>
  <c r="P287" i="77"/>
  <c r="J287" i="77"/>
  <c r="BF287" i="77" s="1"/>
  <c r="BK285" i="77"/>
  <c r="BI285" i="77"/>
  <c r="BH285" i="77"/>
  <c r="BG285" i="77"/>
  <c r="BE285" i="77"/>
  <c r="T285" i="77"/>
  <c r="R285" i="77"/>
  <c r="P285" i="77"/>
  <c r="J285" i="77"/>
  <c r="BF285" i="77" s="1"/>
  <c r="BK284" i="77"/>
  <c r="BI284" i="77"/>
  <c r="BH284" i="77"/>
  <c r="BG284" i="77"/>
  <c r="BE284" i="77"/>
  <c r="T284" i="77"/>
  <c r="R284" i="77"/>
  <c r="P284" i="77"/>
  <c r="J284" i="77"/>
  <c r="BF284" i="77" s="1"/>
  <c r="BK282" i="77"/>
  <c r="BI282" i="77"/>
  <c r="BH282" i="77"/>
  <c r="BG282" i="77"/>
  <c r="BE282" i="77"/>
  <c r="T282" i="77"/>
  <c r="R282" i="77"/>
  <c r="P282" i="77"/>
  <c r="J282" i="77"/>
  <c r="BF282" i="77" s="1"/>
  <c r="BK280" i="77"/>
  <c r="BI280" i="77"/>
  <c r="BH280" i="77"/>
  <c r="BG280" i="77"/>
  <c r="BE280" i="77"/>
  <c r="T280" i="77"/>
  <c r="R280" i="77"/>
  <c r="P280" i="77"/>
  <c r="J280" i="77"/>
  <c r="BF280" i="77" s="1"/>
  <c r="BK278" i="77"/>
  <c r="BI278" i="77"/>
  <c r="BH278" i="77"/>
  <c r="BG278" i="77"/>
  <c r="BE278" i="77"/>
  <c r="T278" i="77"/>
  <c r="R278" i="77"/>
  <c r="P278" i="77"/>
  <c r="J278" i="77"/>
  <c r="BF278" i="77" s="1"/>
  <c r="BK276" i="77"/>
  <c r="BI276" i="77"/>
  <c r="BH276" i="77"/>
  <c r="BG276" i="77"/>
  <c r="BE276" i="77"/>
  <c r="T276" i="77"/>
  <c r="R276" i="77"/>
  <c r="P276" i="77"/>
  <c r="J276" i="77"/>
  <c r="BF276" i="77" s="1"/>
  <c r="BK273" i="77"/>
  <c r="BI273" i="77"/>
  <c r="BH273" i="77"/>
  <c r="BG273" i="77"/>
  <c r="BE273" i="77"/>
  <c r="T273" i="77"/>
  <c r="R273" i="77"/>
  <c r="P273" i="77"/>
  <c r="J273" i="77"/>
  <c r="BF273" i="77" s="1"/>
  <c r="BK271" i="77"/>
  <c r="BI271" i="77"/>
  <c r="BH271" i="77"/>
  <c r="BG271" i="77"/>
  <c r="BE271" i="77"/>
  <c r="T271" i="77"/>
  <c r="R271" i="77"/>
  <c r="P271" i="77"/>
  <c r="J271" i="77"/>
  <c r="BF271" i="77" s="1"/>
  <c r="BK267" i="77"/>
  <c r="BI267" i="77"/>
  <c r="BH267" i="77"/>
  <c r="BG267" i="77"/>
  <c r="BE267" i="77"/>
  <c r="T267" i="77"/>
  <c r="R267" i="77"/>
  <c r="P267" i="77"/>
  <c r="J267" i="77"/>
  <c r="BF267" i="77" s="1"/>
  <c r="BK266" i="77"/>
  <c r="BI266" i="77"/>
  <c r="BH266" i="77"/>
  <c r="BG266" i="77"/>
  <c r="BE266" i="77"/>
  <c r="T266" i="77"/>
  <c r="R266" i="77"/>
  <c r="P266" i="77"/>
  <c r="J266" i="77"/>
  <c r="BF266" i="77" s="1"/>
  <c r="BK265" i="77"/>
  <c r="BI265" i="77"/>
  <c r="BH265" i="77"/>
  <c r="BG265" i="77"/>
  <c r="BF265" i="77"/>
  <c r="BE265" i="77"/>
  <c r="T265" i="77"/>
  <c r="R265" i="77"/>
  <c r="P265" i="77"/>
  <c r="J265" i="77"/>
  <c r="BK264" i="77"/>
  <c r="BI264" i="77"/>
  <c r="BH264" i="77"/>
  <c r="BG264" i="77"/>
  <c r="BE264" i="77"/>
  <c r="T264" i="77"/>
  <c r="R264" i="77"/>
  <c r="P264" i="77"/>
  <c r="J264" i="77"/>
  <c r="BF264" i="77" s="1"/>
  <c r="BK263" i="77"/>
  <c r="BI263" i="77"/>
  <c r="BH263" i="77"/>
  <c r="BG263" i="77"/>
  <c r="BE263" i="77"/>
  <c r="T263" i="77"/>
  <c r="R263" i="77"/>
  <c r="P263" i="77"/>
  <c r="J263" i="77"/>
  <c r="BF263" i="77" s="1"/>
  <c r="BK262" i="77"/>
  <c r="BI262" i="77"/>
  <c r="BH262" i="77"/>
  <c r="BG262" i="77"/>
  <c r="BE262" i="77"/>
  <c r="T262" i="77"/>
  <c r="R262" i="77"/>
  <c r="P262" i="77"/>
  <c r="J262" i="77"/>
  <c r="BF262" i="77" s="1"/>
  <c r="BK261" i="77"/>
  <c r="BI261" i="77"/>
  <c r="BH261" i="77"/>
  <c r="BG261" i="77"/>
  <c r="BF261" i="77"/>
  <c r="BE261" i="77"/>
  <c r="T261" i="77"/>
  <c r="R261" i="77"/>
  <c r="P261" i="77"/>
  <c r="J261" i="77"/>
  <c r="BK260" i="77"/>
  <c r="BI260" i="77"/>
  <c r="BH260" i="77"/>
  <c r="BG260" i="77"/>
  <c r="BE260" i="77"/>
  <c r="T260" i="77"/>
  <c r="R260" i="77"/>
  <c r="P260" i="77"/>
  <c r="J260" i="77"/>
  <c r="BF260" i="77" s="1"/>
  <c r="BK258" i="77"/>
  <c r="BI258" i="77"/>
  <c r="BH258" i="77"/>
  <c r="BG258" i="77"/>
  <c r="BE258" i="77"/>
  <c r="T258" i="77"/>
  <c r="R258" i="77"/>
  <c r="P258" i="77"/>
  <c r="J258" i="77"/>
  <c r="BF258" i="77" s="1"/>
  <c r="BK257" i="77"/>
  <c r="BI257" i="77"/>
  <c r="BH257" i="77"/>
  <c r="BG257" i="77"/>
  <c r="BE257" i="77"/>
  <c r="T257" i="77"/>
  <c r="R257" i="77"/>
  <c r="R256" i="77" s="1"/>
  <c r="P257" i="77"/>
  <c r="J257" i="77"/>
  <c r="BF257" i="77" s="1"/>
  <c r="BK255" i="77"/>
  <c r="BI255" i="77"/>
  <c r="BH255" i="77"/>
  <c r="BG255" i="77"/>
  <c r="BE255" i="77"/>
  <c r="T255" i="77"/>
  <c r="R255" i="77"/>
  <c r="P255" i="77"/>
  <c r="J255" i="77"/>
  <c r="BF255" i="77" s="1"/>
  <c r="BK254" i="77"/>
  <c r="BI254" i="77"/>
  <c r="BH254" i="77"/>
  <c r="BG254" i="77"/>
  <c r="BE254" i="77"/>
  <c r="T254" i="77"/>
  <c r="R254" i="77"/>
  <c r="P254" i="77"/>
  <c r="J254" i="77"/>
  <c r="BF254" i="77" s="1"/>
  <c r="BK252" i="77"/>
  <c r="BI252" i="77"/>
  <c r="BH252" i="77"/>
  <c r="BG252" i="77"/>
  <c r="BF252" i="77"/>
  <c r="BE252" i="77"/>
  <c r="T252" i="77"/>
  <c r="R252" i="77"/>
  <c r="P252" i="77"/>
  <c r="J252" i="77"/>
  <c r="BK245" i="77"/>
  <c r="BI245" i="77"/>
  <c r="BH245" i="77"/>
  <c r="BG245" i="77"/>
  <c r="BE245" i="77"/>
  <c r="T245" i="77"/>
  <c r="R245" i="77"/>
  <c r="P245" i="77"/>
  <c r="J245" i="77"/>
  <c r="BF245" i="77" s="1"/>
  <c r="BK244" i="77"/>
  <c r="BI244" i="77"/>
  <c r="BH244" i="77"/>
  <c r="BG244" i="77"/>
  <c r="BF244" i="77"/>
  <c r="BE244" i="77"/>
  <c r="T244" i="77"/>
  <c r="R244" i="77"/>
  <c r="P244" i="77"/>
  <c r="J244" i="77"/>
  <c r="BK243" i="77"/>
  <c r="BI243" i="77"/>
  <c r="BH243" i="77"/>
  <c r="BG243" i="77"/>
  <c r="BE243" i="77"/>
  <c r="T243" i="77"/>
  <c r="R243" i="77"/>
  <c r="P243" i="77"/>
  <c r="J243" i="77"/>
  <c r="BF243" i="77" s="1"/>
  <c r="BK238" i="77"/>
  <c r="BI238" i="77"/>
  <c r="BH238" i="77"/>
  <c r="BG238" i="77"/>
  <c r="BE238" i="77"/>
  <c r="T238" i="77"/>
  <c r="R238" i="77"/>
  <c r="P238" i="77"/>
  <c r="J238" i="77"/>
  <c r="BF238" i="77" s="1"/>
  <c r="BK235" i="77"/>
  <c r="BI235" i="77"/>
  <c r="BH235" i="77"/>
  <c r="BG235" i="77"/>
  <c r="BE235" i="77"/>
  <c r="T235" i="77"/>
  <c r="R235" i="77"/>
  <c r="P235" i="77"/>
  <c r="J235" i="77"/>
  <c r="BF235" i="77" s="1"/>
  <c r="BK234" i="77"/>
  <c r="BI234" i="77"/>
  <c r="BH234" i="77"/>
  <c r="BG234" i="77"/>
  <c r="BF234" i="77"/>
  <c r="BE234" i="77"/>
  <c r="T234" i="77"/>
  <c r="R234" i="77"/>
  <c r="P234" i="77"/>
  <c r="J234" i="77"/>
  <c r="BK221" i="77"/>
  <c r="BI221" i="77"/>
  <c r="BH221" i="77"/>
  <c r="BG221" i="77"/>
  <c r="BE221" i="77"/>
  <c r="T221" i="77"/>
  <c r="R221" i="77"/>
  <c r="P221" i="77"/>
  <c r="J221" i="77"/>
  <c r="BF221" i="77" s="1"/>
  <c r="BK220" i="77"/>
  <c r="BI220" i="77"/>
  <c r="BH220" i="77"/>
  <c r="BG220" i="77"/>
  <c r="BF220" i="77"/>
  <c r="BE220" i="77"/>
  <c r="T220" i="77"/>
  <c r="T215" i="77" s="1"/>
  <c r="R220" i="77"/>
  <c r="P220" i="77"/>
  <c r="J220" i="77"/>
  <c r="BK219" i="77"/>
  <c r="BI219" i="77"/>
  <c r="BH219" i="77"/>
  <c r="BG219" i="77"/>
  <c r="BE219" i="77"/>
  <c r="T219" i="77"/>
  <c r="R219" i="77"/>
  <c r="P219" i="77"/>
  <c r="J219" i="77"/>
  <c r="BF219" i="77" s="1"/>
  <c r="BK216" i="77"/>
  <c r="BI216" i="77"/>
  <c r="BH216" i="77"/>
  <c r="BG216" i="77"/>
  <c r="BE216" i="77"/>
  <c r="T216" i="77"/>
  <c r="R216" i="77"/>
  <c r="P216" i="77"/>
  <c r="P215" i="77" s="1"/>
  <c r="J216" i="77"/>
  <c r="BF216" i="77" s="1"/>
  <c r="BK215" i="77"/>
  <c r="J215" i="77" s="1"/>
  <c r="J103" i="77" s="1"/>
  <c r="BK214" i="77"/>
  <c r="BI214" i="77"/>
  <c r="BH214" i="77"/>
  <c r="BG214" i="77"/>
  <c r="BE214" i="77"/>
  <c r="T214" i="77"/>
  <c r="R214" i="77"/>
  <c r="P214" i="77"/>
  <c r="J214" i="77"/>
  <c r="BF214" i="77" s="1"/>
  <c r="BK213" i="77"/>
  <c r="BI213" i="77"/>
  <c r="BH213" i="77"/>
  <c r="BG213" i="77"/>
  <c r="BE213" i="77"/>
  <c r="T213" i="77"/>
  <c r="R213" i="77"/>
  <c r="P213" i="77"/>
  <c r="J213" i="77"/>
  <c r="BF213" i="77" s="1"/>
  <c r="BK211" i="77"/>
  <c r="BI211" i="77"/>
  <c r="BH211" i="77"/>
  <c r="BG211" i="77"/>
  <c r="BF211" i="77"/>
  <c r="BE211" i="77"/>
  <c r="T211" i="77"/>
  <c r="R211" i="77"/>
  <c r="P211" i="77"/>
  <c r="J211" i="77"/>
  <c r="BK208" i="77"/>
  <c r="BI208" i="77"/>
  <c r="BH208" i="77"/>
  <c r="BG208" i="77"/>
  <c r="BE208" i="77"/>
  <c r="T208" i="77"/>
  <c r="R208" i="77"/>
  <c r="P208" i="77"/>
  <c r="J208" i="77"/>
  <c r="BF208" i="77" s="1"/>
  <c r="BK203" i="77"/>
  <c r="BI203" i="77"/>
  <c r="BH203" i="77"/>
  <c r="BG203" i="77"/>
  <c r="BE203" i="77"/>
  <c r="T203" i="77"/>
  <c r="R203" i="77"/>
  <c r="P203" i="77"/>
  <c r="J203" i="77"/>
  <c r="BF203" i="77" s="1"/>
  <c r="BK198" i="77"/>
  <c r="BI198" i="77"/>
  <c r="BH198" i="77"/>
  <c r="BG198" i="77"/>
  <c r="BE198" i="77"/>
  <c r="T198" i="77"/>
  <c r="R198" i="77"/>
  <c r="P198" i="77"/>
  <c r="J198" i="77"/>
  <c r="BF198" i="77" s="1"/>
  <c r="BK194" i="77"/>
  <c r="BI194" i="77"/>
  <c r="BH194" i="77"/>
  <c r="BG194" i="77"/>
  <c r="BE194" i="77"/>
  <c r="T194" i="77"/>
  <c r="R194" i="77"/>
  <c r="R176" i="77" s="1"/>
  <c r="P194" i="77"/>
  <c r="J194" i="77"/>
  <c r="BF194" i="77" s="1"/>
  <c r="BK186" i="77"/>
  <c r="BI186" i="77"/>
  <c r="BH186" i="77"/>
  <c r="BG186" i="77"/>
  <c r="BE186" i="77"/>
  <c r="T186" i="77"/>
  <c r="R186" i="77"/>
  <c r="P186" i="77"/>
  <c r="J186" i="77"/>
  <c r="BF186" i="77" s="1"/>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T167" i="77" s="1"/>
  <c r="R171" i="77"/>
  <c r="P171" i="77"/>
  <c r="J171" i="77"/>
  <c r="BF171" i="77" s="1"/>
  <c r="BK170" i="77"/>
  <c r="BI170" i="77"/>
  <c r="BH170" i="77"/>
  <c r="BG170" i="77"/>
  <c r="BE170" i="77"/>
  <c r="T170" i="77"/>
  <c r="R170" i="77"/>
  <c r="P170" i="77"/>
  <c r="J170" i="77"/>
  <c r="BF170" i="77" s="1"/>
  <c r="BK168" i="77"/>
  <c r="BI168" i="77"/>
  <c r="BH168" i="77"/>
  <c r="BG168" i="77"/>
  <c r="BE168" i="77"/>
  <c r="T168" i="77"/>
  <c r="R168" i="77"/>
  <c r="R167" i="77" s="1"/>
  <c r="P168" i="77"/>
  <c r="P167" i="77" s="1"/>
  <c r="J168" i="77"/>
  <c r="BF168" i="77" s="1"/>
  <c r="BK167" i="77"/>
  <c r="J167" i="77" s="1"/>
  <c r="J101" i="77" s="1"/>
  <c r="BK165" i="77"/>
  <c r="BI165" i="77"/>
  <c r="BH165" i="77"/>
  <c r="BG165" i="77"/>
  <c r="BF165" i="77"/>
  <c r="BE165" i="77"/>
  <c r="T165" i="77"/>
  <c r="R165" i="77"/>
  <c r="P165" i="77"/>
  <c r="P164" i="77" s="1"/>
  <c r="J165" i="77"/>
  <c r="BK164" i="77"/>
  <c r="J164" i="77" s="1"/>
  <c r="J99" i="77" s="1"/>
  <c r="T164" i="77"/>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K132" i="77" s="1"/>
  <c r="BI137" i="77"/>
  <c r="BH137" i="77"/>
  <c r="BG137" i="77"/>
  <c r="BE137" i="77"/>
  <c r="T137" i="77"/>
  <c r="R137" i="77"/>
  <c r="P137" i="77"/>
  <c r="J137" i="77"/>
  <c r="BF137" i="77" s="1"/>
  <c r="BK135" i="77"/>
  <c r="BI135" i="77"/>
  <c r="BH135" i="77"/>
  <c r="BG135" i="77"/>
  <c r="BF135" i="77"/>
  <c r="BE135" i="77"/>
  <c r="T135" i="77"/>
  <c r="R135" i="77"/>
  <c r="R132" i="77" s="1"/>
  <c r="R131" i="77" s="1"/>
  <c r="P135" i="77"/>
  <c r="J135" i="77"/>
  <c r="BK133" i="77"/>
  <c r="BI133" i="77"/>
  <c r="BH133" i="77"/>
  <c r="BG133" i="77"/>
  <c r="BE133" i="77"/>
  <c r="T133" i="77"/>
  <c r="R133" i="77"/>
  <c r="P133" i="77"/>
  <c r="J133" i="77"/>
  <c r="BF133" i="77" s="1"/>
  <c r="F127" i="77"/>
  <c r="F126" i="77"/>
  <c r="J124" i="77"/>
  <c r="F124" i="77"/>
  <c r="E122" i="77"/>
  <c r="J92" i="77"/>
  <c r="F92" i="77"/>
  <c r="F91" i="77"/>
  <c r="F89" i="77"/>
  <c r="E87" i="77"/>
  <c r="J39" i="77"/>
  <c r="J38" i="77"/>
  <c r="J37" i="77"/>
  <c r="J31" i="77"/>
  <c r="J24" i="77"/>
  <c r="E24" i="77"/>
  <c r="J127" i="77" s="1"/>
  <c r="J23" i="77"/>
  <c r="J21" i="77"/>
  <c r="E21" i="77"/>
  <c r="J126" i="77" s="1"/>
  <c r="J20" i="77"/>
  <c r="J12" i="77"/>
  <c r="J89" i="77" s="1"/>
  <c r="E7" i="77"/>
  <c r="BK1126" i="76"/>
  <c r="BI1126" i="76"/>
  <c r="BH1126" i="76"/>
  <c r="BG1126" i="76"/>
  <c r="BE1126" i="76"/>
  <c r="T1126" i="76"/>
  <c r="R1126" i="76"/>
  <c r="P1126" i="76"/>
  <c r="J1126" i="76"/>
  <c r="BF1126" i="76" s="1"/>
  <c r="BK1125" i="76"/>
  <c r="BI1125" i="76"/>
  <c r="BH1125" i="76"/>
  <c r="BG1125" i="76"/>
  <c r="BE1125" i="76"/>
  <c r="T1125" i="76"/>
  <c r="R1125" i="76"/>
  <c r="P1125" i="76"/>
  <c r="J1125" i="76"/>
  <c r="BF1125" i="76" s="1"/>
  <c r="BK1118" i="76"/>
  <c r="BI1118" i="76"/>
  <c r="BH1118" i="76"/>
  <c r="BG1118" i="76"/>
  <c r="BE1118" i="76"/>
  <c r="T1118" i="76"/>
  <c r="R1118" i="76"/>
  <c r="P1118" i="76"/>
  <c r="J1118" i="76"/>
  <c r="BF1118" i="76" s="1"/>
  <c r="BK1117" i="76"/>
  <c r="BI1117" i="76"/>
  <c r="BH1117" i="76"/>
  <c r="BG1117" i="76"/>
  <c r="BE1117" i="76"/>
  <c r="T1117" i="76"/>
  <c r="R1117" i="76"/>
  <c r="P1117" i="76"/>
  <c r="J1117" i="76"/>
  <c r="BF1117" i="76" s="1"/>
  <c r="BK1116" i="76"/>
  <c r="BI1116" i="76"/>
  <c r="BH1116" i="76"/>
  <c r="BG1116" i="76"/>
  <c r="BE1116" i="76"/>
  <c r="T1116" i="76"/>
  <c r="R1116" i="76"/>
  <c r="P1116" i="76"/>
  <c r="J1116" i="76"/>
  <c r="BF1116" i="76" s="1"/>
  <c r="BK1114" i="76"/>
  <c r="BI1114" i="76"/>
  <c r="BH1114" i="76"/>
  <c r="BG1114" i="76"/>
  <c r="BE1114" i="76"/>
  <c r="T1114" i="76"/>
  <c r="R1114" i="76"/>
  <c r="P1114" i="76"/>
  <c r="J1114" i="76"/>
  <c r="BF1114" i="76" s="1"/>
  <c r="BK1112" i="76"/>
  <c r="BI1112" i="76"/>
  <c r="BH1112" i="76"/>
  <c r="BG1112" i="76"/>
  <c r="BE1112" i="76"/>
  <c r="T1112" i="76"/>
  <c r="R1112" i="76"/>
  <c r="P1112" i="76"/>
  <c r="J1112" i="76"/>
  <c r="BF1112" i="76" s="1"/>
  <c r="BK1111" i="76"/>
  <c r="BI1111" i="76"/>
  <c r="BH1111" i="76"/>
  <c r="BG1111" i="76"/>
  <c r="BE1111" i="76"/>
  <c r="T1111" i="76"/>
  <c r="R1111" i="76"/>
  <c r="P1111" i="76"/>
  <c r="J1111" i="76"/>
  <c r="BF1111" i="76" s="1"/>
  <c r="BK1110" i="76"/>
  <c r="BI1110" i="76"/>
  <c r="BH1110" i="76"/>
  <c r="BG1110" i="76"/>
  <c r="BE1110" i="76"/>
  <c r="T1110" i="76"/>
  <c r="R1110" i="76"/>
  <c r="P1110" i="76"/>
  <c r="J1110" i="76"/>
  <c r="BF1110" i="76" s="1"/>
  <c r="BK1109" i="76"/>
  <c r="BI1109" i="76"/>
  <c r="BH1109" i="76"/>
  <c r="BG1109" i="76"/>
  <c r="BE1109" i="76"/>
  <c r="T1109" i="76"/>
  <c r="R1109" i="76"/>
  <c r="P1109" i="76"/>
  <c r="J1109" i="76"/>
  <c r="BF1109" i="76" s="1"/>
  <c r="BK1103" i="76"/>
  <c r="BI1103" i="76"/>
  <c r="BH1103" i="76"/>
  <c r="BG1103" i="76"/>
  <c r="BE1103" i="76"/>
  <c r="T1103" i="76"/>
  <c r="R1103" i="76"/>
  <c r="P1103" i="76"/>
  <c r="J1103" i="76"/>
  <c r="BF1103" i="76" s="1"/>
  <c r="BK1101" i="76"/>
  <c r="BI1101" i="76"/>
  <c r="BH1101" i="76"/>
  <c r="BG1101" i="76"/>
  <c r="BE1101" i="76"/>
  <c r="T1101" i="76"/>
  <c r="R1101" i="76"/>
  <c r="P1101" i="76"/>
  <c r="J1101" i="76"/>
  <c r="BF1101" i="76" s="1"/>
  <c r="BK1097" i="76"/>
  <c r="BI1097" i="76"/>
  <c r="BH1097" i="76"/>
  <c r="BG1097" i="76"/>
  <c r="BE1097" i="76"/>
  <c r="T1097" i="76"/>
  <c r="R1097" i="76"/>
  <c r="P1097" i="76"/>
  <c r="J1097" i="76"/>
  <c r="BF1097" i="76" s="1"/>
  <c r="BK1089" i="76"/>
  <c r="BI1089" i="76"/>
  <c r="BH1089" i="76"/>
  <c r="BG1089" i="76"/>
  <c r="BE1089" i="76"/>
  <c r="T1089" i="76"/>
  <c r="R1089" i="76"/>
  <c r="P1089" i="76"/>
  <c r="J1089" i="76"/>
  <c r="BF1089" i="76" s="1"/>
  <c r="BK1087" i="76"/>
  <c r="BI1087" i="76"/>
  <c r="BH1087" i="76"/>
  <c r="BG1087" i="76"/>
  <c r="BE1087" i="76"/>
  <c r="T1087" i="76"/>
  <c r="R1087" i="76"/>
  <c r="P1087" i="76"/>
  <c r="J1087" i="76"/>
  <c r="BF1087" i="76" s="1"/>
  <c r="BK1071" i="76"/>
  <c r="BI1071" i="76"/>
  <c r="BH1071" i="76"/>
  <c r="BG1071" i="76"/>
  <c r="BE1071" i="76"/>
  <c r="T1071" i="76"/>
  <c r="R1071" i="76"/>
  <c r="P1071" i="76"/>
  <c r="J1071" i="76"/>
  <c r="BF1071" i="76" s="1"/>
  <c r="BK1070" i="76"/>
  <c r="BI1070" i="76"/>
  <c r="BH1070" i="76"/>
  <c r="BG1070" i="76"/>
  <c r="BE1070" i="76"/>
  <c r="T1070" i="76"/>
  <c r="R1070" i="76"/>
  <c r="P1070" i="76"/>
  <c r="J1070" i="76"/>
  <c r="BF1070" i="76" s="1"/>
  <c r="BK1059" i="76"/>
  <c r="BI1059" i="76"/>
  <c r="BH1059" i="76"/>
  <c r="BG1059" i="76"/>
  <c r="BE1059" i="76"/>
  <c r="T1059" i="76"/>
  <c r="R1059" i="76"/>
  <c r="P1059" i="76"/>
  <c r="J1059" i="76"/>
  <c r="BF1059" i="76" s="1"/>
  <c r="BK1057" i="76"/>
  <c r="BI1057" i="76"/>
  <c r="BH1057" i="76"/>
  <c r="BG1057" i="76"/>
  <c r="BE1057" i="76"/>
  <c r="T1057" i="76"/>
  <c r="R1057" i="76"/>
  <c r="P1057" i="76"/>
  <c r="J1057" i="76"/>
  <c r="BF1057" i="76" s="1"/>
  <c r="BK1056" i="76"/>
  <c r="BI1056" i="76"/>
  <c r="BH1056" i="76"/>
  <c r="BG1056" i="76"/>
  <c r="BE1056" i="76"/>
  <c r="T1056" i="76"/>
  <c r="R1056" i="76"/>
  <c r="P1056" i="76"/>
  <c r="J1056" i="76"/>
  <c r="BF1056" i="76" s="1"/>
  <c r="BK1055" i="76"/>
  <c r="BI1055" i="76"/>
  <c r="BH1055" i="76"/>
  <c r="BG1055" i="76"/>
  <c r="BE1055" i="76"/>
  <c r="T1055" i="76"/>
  <c r="R1055" i="76"/>
  <c r="P1055" i="76"/>
  <c r="J1055" i="76"/>
  <c r="BF1055" i="76" s="1"/>
  <c r="BK1053" i="76"/>
  <c r="BI1053" i="76"/>
  <c r="BH1053" i="76"/>
  <c r="BG1053" i="76"/>
  <c r="BE1053" i="76"/>
  <c r="T1053" i="76"/>
  <c r="R1053" i="76"/>
  <c r="P1053" i="76"/>
  <c r="J1053" i="76"/>
  <c r="BF1053" i="76" s="1"/>
  <c r="BK1052" i="76"/>
  <c r="BI1052" i="76"/>
  <c r="BH1052" i="76"/>
  <c r="BG1052" i="76"/>
  <c r="BE1052" i="76"/>
  <c r="T1052" i="76"/>
  <c r="R1052" i="76"/>
  <c r="P1052" i="76"/>
  <c r="J1052" i="76"/>
  <c r="BF1052" i="76" s="1"/>
  <c r="BK1051" i="76"/>
  <c r="BI1051" i="76"/>
  <c r="BH1051" i="76"/>
  <c r="BG1051" i="76"/>
  <c r="BE1051" i="76"/>
  <c r="T1051" i="76"/>
  <c r="R1051" i="76"/>
  <c r="P1051" i="76"/>
  <c r="J1051" i="76"/>
  <c r="BF1051" i="76" s="1"/>
  <c r="BK1050" i="76"/>
  <c r="BI1050" i="76"/>
  <c r="BH1050" i="76"/>
  <c r="BG1050" i="76"/>
  <c r="BE1050" i="76"/>
  <c r="T1050" i="76"/>
  <c r="R1050" i="76"/>
  <c r="P1050" i="76"/>
  <c r="J1050" i="76"/>
  <c r="BF1050" i="76" s="1"/>
  <c r="BK1047" i="76"/>
  <c r="BI1047" i="76"/>
  <c r="BH1047" i="76"/>
  <c r="BG1047" i="76"/>
  <c r="BE1047" i="76"/>
  <c r="T1047" i="76"/>
  <c r="R1047" i="76"/>
  <c r="P1047" i="76"/>
  <c r="J1047" i="76"/>
  <c r="BF1047" i="76" s="1"/>
  <c r="BK1046" i="76"/>
  <c r="BI1046" i="76"/>
  <c r="BH1046" i="76"/>
  <c r="BG1046" i="76"/>
  <c r="BE1046" i="76"/>
  <c r="T1046" i="76"/>
  <c r="R1046" i="76"/>
  <c r="P1046" i="76"/>
  <c r="J1046" i="76"/>
  <c r="BF1046" i="76" s="1"/>
  <c r="BK1045" i="76"/>
  <c r="BI1045" i="76"/>
  <c r="BH1045" i="76"/>
  <c r="BG1045" i="76"/>
  <c r="BE1045" i="76"/>
  <c r="T1045" i="76"/>
  <c r="R1045" i="76"/>
  <c r="P1045" i="76"/>
  <c r="J1045" i="76"/>
  <c r="BF1045" i="76" s="1"/>
  <c r="BK1034" i="76"/>
  <c r="BI1034" i="76"/>
  <c r="BH1034" i="76"/>
  <c r="BG1034" i="76"/>
  <c r="BE1034" i="76"/>
  <c r="T1034" i="76"/>
  <c r="R1034" i="76"/>
  <c r="P1034" i="76"/>
  <c r="J1034" i="76"/>
  <c r="BF1034" i="76" s="1"/>
  <c r="BK1033" i="76"/>
  <c r="BI1033" i="76"/>
  <c r="BH1033" i="76"/>
  <c r="BG1033" i="76"/>
  <c r="BE1033" i="76"/>
  <c r="T1033" i="76"/>
  <c r="R1033" i="76"/>
  <c r="P1033" i="76"/>
  <c r="J1033" i="76"/>
  <c r="BF1033" i="76" s="1"/>
  <c r="BK1031" i="76"/>
  <c r="BI1031" i="76"/>
  <c r="BH1031" i="76"/>
  <c r="BG1031" i="76"/>
  <c r="BE1031" i="76"/>
  <c r="T1031" i="76"/>
  <c r="R1031" i="76"/>
  <c r="P1031" i="76"/>
  <c r="J1031" i="76"/>
  <c r="BF1031" i="76" s="1"/>
  <c r="BK1030" i="76"/>
  <c r="BI1030" i="76"/>
  <c r="BH1030" i="76"/>
  <c r="BG1030" i="76"/>
  <c r="BE1030" i="76"/>
  <c r="T1030" i="76"/>
  <c r="R1030" i="76"/>
  <c r="P1030" i="76"/>
  <c r="J1030" i="76"/>
  <c r="BF1030" i="76" s="1"/>
  <c r="BK1028" i="76"/>
  <c r="BI1028" i="76"/>
  <c r="BH1028" i="76"/>
  <c r="BG1028" i="76"/>
  <c r="BE1028" i="76"/>
  <c r="T1028" i="76"/>
  <c r="R1028" i="76"/>
  <c r="P1028" i="76"/>
  <c r="J1028" i="76"/>
  <c r="BF1028" i="76" s="1"/>
  <c r="BK1022" i="76"/>
  <c r="BI1022" i="76"/>
  <c r="BH1022" i="76"/>
  <c r="BG1022" i="76"/>
  <c r="BE1022" i="76"/>
  <c r="T1022" i="76"/>
  <c r="R1022" i="76"/>
  <c r="P1022" i="76"/>
  <c r="J1022" i="76"/>
  <c r="BF1022" i="76" s="1"/>
  <c r="BK1020" i="76"/>
  <c r="BK1019" i="76" s="1"/>
  <c r="BI1020" i="76"/>
  <c r="BH1020" i="76"/>
  <c r="BG1020" i="76"/>
  <c r="BE1020" i="76"/>
  <c r="T1020" i="76"/>
  <c r="T1019" i="76" s="1"/>
  <c r="R1020" i="76"/>
  <c r="R1019" i="76" s="1"/>
  <c r="P1020" i="76"/>
  <c r="P1019" i="76" s="1"/>
  <c r="J1020" i="76"/>
  <c r="BF1020" i="76" s="1"/>
  <c r="BK1018" i="76"/>
  <c r="BI1018" i="76"/>
  <c r="BH1018" i="76"/>
  <c r="BG1018" i="76"/>
  <c r="BE1018" i="76"/>
  <c r="T1018" i="76"/>
  <c r="R1018" i="76"/>
  <c r="P1018" i="76"/>
  <c r="J1018" i="76"/>
  <c r="BF1018" i="76" s="1"/>
  <c r="BK1017" i="76"/>
  <c r="BI1017" i="76"/>
  <c r="BH1017" i="76"/>
  <c r="BG1017" i="76"/>
  <c r="BE1017" i="76"/>
  <c r="T1017" i="76"/>
  <c r="R1017" i="76"/>
  <c r="P1017" i="76"/>
  <c r="J1017" i="76"/>
  <c r="BF1017" i="76" s="1"/>
  <c r="BK1015" i="76"/>
  <c r="BI1015" i="76"/>
  <c r="BH1015" i="76"/>
  <c r="BG1015" i="76"/>
  <c r="BE1015" i="76"/>
  <c r="T1015" i="76"/>
  <c r="R1015" i="76"/>
  <c r="P1015" i="76"/>
  <c r="J1015" i="76"/>
  <c r="BF1015" i="76" s="1"/>
  <c r="BK1013" i="76"/>
  <c r="BI1013" i="76"/>
  <c r="BH1013" i="76"/>
  <c r="BG1013" i="76"/>
  <c r="BE1013" i="76"/>
  <c r="T1013" i="76"/>
  <c r="R1013" i="76"/>
  <c r="P1013" i="76"/>
  <c r="J1013" i="76"/>
  <c r="BF1013" i="76" s="1"/>
  <c r="BK1006" i="76"/>
  <c r="BI1006" i="76"/>
  <c r="BH1006" i="76"/>
  <c r="BG1006" i="76"/>
  <c r="BE1006" i="76"/>
  <c r="T1006" i="76"/>
  <c r="R1006" i="76"/>
  <c r="P1006" i="76"/>
  <c r="J1006" i="76"/>
  <c r="BF1006" i="76" s="1"/>
  <c r="BK1003" i="76"/>
  <c r="BI1003" i="76"/>
  <c r="BH1003" i="76"/>
  <c r="BG1003" i="76"/>
  <c r="BE1003" i="76"/>
  <c r="T1003" i="76"/>
  <c r="R1003" i="76"/>
  <c r="P1003" i="76"/>
  <c r="J1003" i="76"/>
  <c r="BF1003" i="76" s="1"/>
  <c r="BK1001" i="76"/>
  <c r="BI1001" i="76"/>
  <c r="BH1001" i="76"/>
  <c r="BG1001" i="76"/>
  <c r="BE1001" i="76"/>
  <c r="T1001" i="76"/>
  <c r="R1001" i="76"/>
  <c r="P1001" i="76"/>
  <c r="J1001" i="76"/>
  <c r="BF1001" i="76" s="1"/>
  <c r="BK999" i="76"/>
  <c r="BI999" i="76"/>
  <c r="BH999" i="76"/>
  <c r="BG999" i="76"/>
  <c r="BE999" i="76"/>
  <c r="T999" i="76"/>
  <c r="R999" i="76"/>
  <c r="P999" i="76"/>
  <c r="J999" i="76"/>
  <c r="BF999" i="76" s="1"/>
  <c r="BK997" i="76"/>
  <c r="BI997" i="76"/>
  <c r="BH997" i="76"/>
  <c r="BG997" i="76"/>
  <c r="BE997" i="76"/>
  <c r="T997" i="76"/>
  <c r="R997" i="76"/>
  <c r="P997" i="76"/>
  <c r="J997" i="76"/>
  <c r="BF997" i="76" s="1"/>
  <c r="BK991" i="76"/>
  <c r="BI991" i="76"/>
  <c r="BH991" i="76"/>
  <c r="BG991" i="76"/>
  <c r="BE991" i="76"/>
  <c r="T991" i="76"/>
  <c r="R991" i="76"/>
  <c r="P991" i="76"/>
  <c r="J991" i="76"/>
  <c r="BF991" i="76" s="1"/>
  <c r="BK989" i="76"/>
  <c r="BI989" i="76"/>
  <c r="BH989" i="76"/>
  <c r="BG989" i="76"/>
  <c r="BE989" i="76"/>
  <c r="T989" i="76"/>
  <c r="R989" i="76"/>
  <c r="P989" i="76"/>
  <c r="J989" i="76"/>
  <c r="BF989" i="76" s="1"/>
  <c r="BK980" i="76"/>
  <c r="BI980" i="76"/>
  <c r="BH980" i="76"/>
  <c r="BG980" i="76"/>
  <c r="BE980" i="76"/>
  <c r="T980" i="76"/>
  <c r="R980" i="76"/>
  <c r="P980" i="76"/>
  <c r="J980" i="76"/>
  <c r="BF980" i="76" s="1"/>
  <c r="BK979" i="76"/>
  <c r="BI979" i="76"/>
  <c r="BH979" i="76"/>
  <c r="BG979" i="76"/>
  <c r="BE979" i="76"/>
  <c r="T979" i="76"/>
  <c r="R979" i="76"/>
  <c r="P979" i="76"/>
  <c r="J979" i="76"/>
  <c r="BF979" i="76" s="1"/>
  <c r="BK977" i="76"/>
  <c r="BI977" i="76"/>
  <c r="BH977" i="76"/>
  <c r="BG977" i="76"/>
  <c r="BE977" i="76"/>
  <c r="T977" i="76"/>
  <c r="R977" i="76"/>
  <c r="P977" i="76"/>
  <c r="J977" i="76"/>
  <c r="BF977" i="76" s="1"/>
  <c r="BK973" i="76"/>
  <c r="BI973" i="76"/>
  <c r="BH973" i="76"/>
  <c r="BG973" i="76"/>
  <c r="BE973" i="76"/>
  <c r="T973" i="76"/>
  <c r="R973" i="76"/>
  <c r="P973" i="76"/>
  <c r="J973" i="76"/>
  <c r="BF973" i="76" s="1"/>
  <c r="BK970" i="76"/>
  <c r="BI970" i="76"/>
  <c r="BH970" i="76"/>
  <c r="BG970" i="76"/>
  <c r="BE970" i="76"/>
  <c r="T970" i="76"/>
  <c r="R970" i="76"/>
  <c r="P970" i="76"/>
  <c r="J970" i="76"/>
  <c r="BF970" i="76" s="1"/>
  <c r="BK962" i="76"/>
  <c r="BI962" i="76"/>
  <c r="BH962" i="76"/>
  <c r="BG962" i="76"/>
  <c r="BE962" i="76"/>
  <c r="T962" i="76"/>
  <c r="R962" i="76"/>
  <c r="P962" i="76"/>
  <c r="J962" i="76"/>
  <c r="BF962" i="76" s="1"/>
  <c r="BK955" i="76"/>
  <c r="BI955" i="76"/>
  <c r="BH955" i="76"/>
  <c r="BG955" i="76"/>
  <c r="BE955" i="76"/>
  <c r="T955" i="76"/>
  <c r="R955" i="76"/>
  <c r="P955" i="76"/>
  <c r="J955" i="76"/>
  <c r="BF955" i="76" s="1"/>
  <c r="BK951" i="76"/>
  <c r="BI951" i="76"/>
  <c r="BH951" i="76"/>
  <c r="BG951" i="76"/>
  <c r="BE951" i="76"/>
  <c r="T951" i="76"/>
  <c r="R951" i="76"/>
  <c r="P951" i="76"/>
  <c r="J951" i="76"/>
  <c r="BF951" i="76" s="1"/>
  <c r="BK949" i="76"/>
  <c r="BI949" i="76"/>
  <c r="BH949" i="76"/>
  <c r="BG949" i="76"/>
  <c r="BE949" i="76"/>
  <c r="T949" i="76"/>
  <c r="R949" i="76"/>
  <c r="P949" i="76"/>
  <c r="J949" i="76"/>
  <c r="BF949" i="76" s="1"/>
  <c r="BK948" i="76"/>
  <c r="BI948" i="76"/>
  <c r="BH948" i="76"/>
  <c r="BG948" i="76"/>
  <c r="BE948" i="76"/>
  <c r="T948" i="76"/>
  <c r="R948" i="76"/>
  <c r="P948" i="76"/>
  <c r="J948" i="76"/>
  <c r="BF948" i="76" s="1"/>
  <c r="BK941" i="76"/>
  <c r="BI941" i="76"/>
  <c r="BH941" i="76"/>
  <c r="BG941" i="76"/>
  <c r="BE941" i="76"/>
  <c r="T941" i="76"/>
  <c r="R941" i="76"/>
  <c r="P941" i="76"/>
  <c r="J941" i="76"/>
  <c r="BF941" i="76" s="1"/>
  <c r="BK931" i="76"/>
  <c r="BI931" i="76"/>
  <c r="BH931" i="76"/>
  <c r="BG931" i="76"/>
  <c r="BE931" i="76"/>
  <c r="T931" i="76"/>
  <c r="R931" i="76"/>
  <c r="P931" i="76"/>
  <c r="J931" i="76"/>
  <c r="BF931" i="76" s="1"/>
  <c r="BK927" i="76"/>
  <c r="BI927" i="76"/>
  <c r="BH927" i="76"/>
  <c r="BG927" i="76"/>
  <c r="BE927" i="76"/>
  <c r="T927" i="76"/>
  <c r="R927" i="76"/>
  <c r="P927" i="76"/>
  <c r="J927" i="76"/>
  <c r="BF927" i="76" s="1"/>
  <c r="BK924" i="76"/>
  <c r="BI924" i="76"/>
  <c r="BH924" i="76"/>
  <c r="BG924" i="76"/>
  <c r="BE924" i="76"/>
  <c r="T924" i="76"/>
  <c r="R924" i="76"/>
  <c r="P924" i="76"/>
  <c r="J924" i="76"/>
  <c r="BF924" i="76" s="1"/>
  <c r="BK921" i="76"/>
  <c r="BI921" i="76"/>
  <c r="BH921" i="76"/>
  <c r="BG921" i="76"/>
  <c r="BE921" i="76"/>
  <c r="T921" i="76"/>
  <c r="R921" i="76"/>
  <c r="P921" i="76"/>
  <c r="J921" i="76"/>
  <c r="BF921" i="76" s="1"/>
  <c r="BK914" i="76"/>
  <c r="BI914" i="76"/>
  <c r="BH914" i="76"/>
  <c r="BG914" i="76"/>
  <c r="BE914" i="76"/>
  <c r="T914" i="76"/>
  <c r="R914" i="76"/>
  <c r="P914" i="76"/>
  <c r="J914" i="76"/>
  <c r="BF914" i="76" s="1"/>
  <c r="BK908" i="76"/>
  <c r="BI908" i="76"/>
  <c r="BH908" i="76"/>
  <c r="BG908" i="76"/>
  <c r="BE908" i="76"/>
  <c r="T908" i="76"/>
  <c r="R908" i="76"/>
  <c r="P908" i="76"/>
  <c r="J908" i="76"/>
  <c r="BF908" i="76" s="1"/>
  <c r="BK900" i="76"/>
  <c r="BI900" i="76"/>
  <c r="BH900" i="76"/>
  <c r="BG900" i="76"/>
  <c r="BE900" i="76"/>
  <c r="T900" i="76"/>
  <c r="R900" i="76"/>
  <c r="P900" i="76"/>
  <c r="J900" i="76"/>
  <c r="BF900" i="76" s="1"/>
  <c r="BK896" i="76"/>
  <c r="BI896" i="76"/>
  <c r="BH896" i="76"/>
  <c r="BG896" i="76"/>
  <c r="BE896" i="76"/>
  <c r="T896" i="76"/>
  <c r="R896" i="76"/>
  <c r="P896" i="76"/>
  <c r="J896" i="76"/>
  <c r="BF896" i="76" s="1"/>
  <c r="BK894" i="76"/>
  <c r="BI894" i="76"/>
  <c r="BH894" i="76"/>
  <c r="BG894" i="76"/>
  <c r="BE894" i="76"/>
  <c r="T894" i="76"/>
  <c r="R894" i="76"/>
  <c r="P894" i="76"/>
  <c r="J894" i="76"/>
  <c r="BF894" i="76" s="1"/>
  <c r="BK887" i="76"/>
  <c r="BI887" i="76"/>
  <c r="BH887" i="76"/>
  <c r="BG887" i="76"/>
  <c r="BE887" i="76"/>
  <c r="T887" i="76"/>
  <c r="R887" i="76"/>
  <c r="P887" i="76"/>
  <c r="J887" i="76"/>
  <c r="BF887" i="76" s="1"/>
  <c r="BK881" i="76"/>
  <c r="BI881" i="76"/>
  <c r="BH881" i="76"/>
  <c r="BG881" i="76"/>
  <c r="BE881" i="76"/>
  <c r="T881" i="76"/>
  <c r="R881" i="76"/>
  <c r="P881" i="76"/>
  <c r="J881" i="76"/>
  <c r="BF881" i="76" s="1"/>
  <c r="BK875" i="76"/>
  <c r="BI875" i="76"/>
  <c r="BH875" i="76"/>
  <c r="BG875" i="76"/>
  <c r="BE875" i="76"/>
  <c r="T875" i="76"/>
  <c r="R875" i="76"/>
  <c r="P875" i="76"/>
  <c r="J875" i="76"/>
  <c r="BF875" i="76" s="1"/>
  <c r="BK866" i="76"/>
  <c r="BI866" i="76"/>
  <c r="BH866" i="76"/>
  <c r="BG866" i="76"/>
  <c r="BE866" i="76"/>
  <c r="T866" i="76"/>
  <c r="R866" i="76"/>
  <c r="P866" i="76"/>
  <c r="J866" i="76"/>
  <c r="BF866" i="76" s="1"/>
  <c r="BK864" i="76"/>
  <c r="BI864" i="76"/>
  <c r="BH864" i="76"/>
  <c r="BG864" i="76"/>
  <c r="BE864" i="76"/>
  <c r="T864" i="76"/>
  <c r="R864" i="76"/>
  <c r="P864" i="76"/>
  <c r="J864" i="76"/>
  <c r="BF864" i="76" s="1"/>
  <c r="BK860" i="76"/>
  <c r="BK859" i="76" s="1"/>
  <c r="J859" i="76" s="1"/>
  <c r="BI860" i="76"/>
  <c r="BH860" i="76"/>
  <c r="BG860" i="76"/>
  <c r="BE860" i="76"/>
  <c r="T860" i="76"/>
  <c r="R860" i="76"/>
  <c r="P860" i="76"/>
  <c r="J860" i="76"/>
  <c r="BF860" i="76" s="1"/>
  <c r="BK858" i="76"/>
  <c r="BI858" i="76"/>
  <c r="BH858" i="76"/>
  <c r="BG858" i="76"/>
  <c r="BE858" i="76"/>
  <c r="T858" i="76"/>
  <c r="R858" i="76"/>
  <c r="P858" i="76"/>
  <c r="J858" i="76"/>
  <c r="BF858" i="76" s="1"/>
  <c r="BK857" i="76"/>
  <c r="BI857" i="76"/>
  <c r="BH857" i="76"/>
  <c r="BG857" i="76"/>
  <c r="BE857" i="76"/>
  <c r="T857" i="76"/>
  <c r="R857" i="76"/>
  <c r="P857" i="76"/>
  <c r="J857" i="76"/>
  <c r="BF857" i="76" s="1"/>
  <c r="BK855" i="76"/>
  <c r="BI855" i="76"/>
  <c r="BH855" i="76"/>
  <c r="BG855" i="76"/>
  <c r="BE855" i="76"/>
  <c r="T855" i="76"/>
  <c r="R855" i="76"/>
  <c r="P855" i="76"/>
  <c r="J855" i="76"/>
  <c r="BF855" i="76" s="1"/>
  <c r="BK852" i="76"/>
  <c r="BI852" i="76"/>
  <c r="BH852" i="76"/>
  <c r="BG852" i="76"/>
  <c r="BE852" i="76"/>
  <c r="T852" i="76"/>
  <c r="R852" i="76"/>
  <c r="P852" i="76"/>
  <c r="J852" i="76"/>
  <c r="BF852" i="76" s="1"/>
  <c r="BK850" i="76"/>
  <c r="BI850" i="76"/>
  <c r="BH850" i="76"/>
  <c r="BG850" i="76"/>
  <c r="BE850" i="76"/>
  <c r="T850" i="76"/>
  <c r="R850" i="76"/>
  <c r="P850" i="76"/>
  <c r="J850" i="76"/>
  <c r="BF850" i="76" s="1"/>
  <c r="BK848" i="76"/>
  <c r="BI848" i="76"/>
  <c r="BH848" i="76"/>
  <c r="BG848" i="76"/>
  <c r="BE848" i="76"/>
  <c r="T848" i="76"/>
  <c r="R848" i="76"/>
  <c r="P848" i="76"/>
  <c r="J848" i="76"/>
  <c r="BF848" i="76" s="1"/>
  <c r="BK846" i="76"/>
  <c r="BI846" i="76"/>
  <c r="BH846" i="76"/>
  <c r="BG846" i="76"/>
  <c r="BE846" i="76"/>
  <c r="T846" i="76"/>
  <c r="R846" i="76"/>
  <c r="P846" i="76"/>
  <c r="J846" i="76"/>
  <c r="BF846" i="76" s="1"/>
  <c r="BK844" i="76"/>
  <c r="BI844" i="76"/>
  <c r="BH844" i="76"/>
  <c r="BG844" i="76"/>
  <c r="BE844" i="76"/>
  <c r="T844" i="76"/>
  <c r="R844" i="76"/>
  <c r="P844" i="76"/>
  <c r="J844" i="76"/>
  <c r="BF844" i="76" s="1"/>
  <c r="BK842" i="76"/>
  <c r="BI842" i="76"/>
  <c r="BH842" i="76"/>
  <c r="BG842" i="76"/>
  <c r="BE842" i="76"/>
  <c r="T842" i="76"/>
  <c r="R842" i="76"/>
  <c r="P842" i="76"/>
  <c r="J842" i="76"/>
  <c r="BF842" i="76" s="1"/>
  <c r="BK841" i="76"/>
  <c r="BI841" i="76"/>
  <c r="BH841" i="76"/>
  <c r="BG841" i="76"/>
  <c r="BE841" i="76"/>
  <c r="T841" i="76"/>
  <c r="R841" i="76"/>
  <c r="P841" i="76"/>
  <c r="J841" i="76"/>
  <c r="BF841" i="76" s="1"/>
  <c r="BK839" i="76"/>
  <c r="BI839" i="76"/>
  <c r="BH839" i="76"/>
  <c r="BG839" i="76"/>
  <c r="BE839" i="76"/>
  <c r="T839" i="76"/>
  <c r="R839" i="76"/>
  <c r="P839" i="76"/>
  <c r="J839" i="76"/>
  <c r="BF839" i="76" s="1"/>
  <c r="BK838" i="76"/>
  <c r="BI838" i="76"/>
  <c r="BH838" i="76"/>
  <c r="BG838" i="76"/>
  <c r="BE838" i="76"/>
  <c r="T838" i="76"/>
  <c r="R838" i="76"/>
  <c r="P838" i="76"/>
  <c r="J838" i="76"/>
  <c r="BF838" i="76" s="1"/>
  <c r="BK836" i="76"/>
  <c r="BI836" i="76"/>
  <c r="BH836" i="76"/>
  <c r="BG836" i="76"/>
  <c r="BE836" i="76"/>
  <c r="T836" i="76"/>
  <c r="R836" i="76"/>
  <c r="P836" i="76"/>
  <c r="J836" i="76"/>
  <c r="BF836" i="76" s="1"/>
  <c r="BK835" i="76"/>
  <c r="BI835" i="76"/>
  <c r="BH835" i="76"/>
  <c r="BG835" i="76"/>
  <c r="BE835" i="76"/>
  <c r="T835" i="76"/>
  <c r="R835" i="76"/>
  <c r="P835" i="76"/>
  <c r="J835" i="76"/>
  <c r="BF835" i="76" s="1"/>
  <c r="BK833" i="76"/>
  <c r="BI833" i="76"/>
  <c r="BH833" i="76"/>
  <c r="BG833" i="76"/>
  <c r="BE833" i="76"/>
  <c r="T833" i="76"/>
  <c r="R833" i="76"/>
  <c r="P833" i="76"/>
  <c r="J833" i="76"/>
  <c r="BF833" i="76" s="1"/>
  <c r="BK832" i="76"/>
  <c r="BI832" i="76"/>
  <c r="BH832" i="76"/>
  <c r="BG832" i="76"/>
  <c r="BE832" i="76"/>
  <c r="T832" i="76"/>
  <c r="R832" i="76"/>
  <c r="P832" i="76"/>
  <c r="J832" i="76"/>
  <c r="BF832" i="76" s="1"/>
  <c r="BK830" i="76"/>
  <c r="BI830" i="76"/>
  <c r="BH830" i="76"/>
  <c r="BG830" i="76"/>
  <c r="BE830" i="76"/>
  <c r="T830" i="76"/>
  <c r="R830" i="76"/>
  <c r="P830" i="76"/>
  <c r="J830" i="76"/>
  <c r="BF830" i="76" s="1"/>
  <c r="BK828" i="76"/>
  <c r="BI828" i="76"/>
  <c r="BH828" i="76"/>
  <c r="BG828" i="76"/>
  <c r="BE828" i="76"/>
  <c r="T828" i="76"/>
  <c r="R828" i="76"/>
  <c r="P828" i="76"/>
  <c r="J828" i="76"/>
  <c r="BF828" i="76" s="1"/>
  <c r="BK826" i="76"/>
  <c r="BI826" i="76"/>
  <c r="BH826" i="76"/>
  <c r="BG826" i="76"/>
  <c r="BE826" i="76"/>
  <c r="T826" i="76"/>
  <c r="R826" i="76"/>
  <c r="P826" i="76"/>
  <c r="J826" i="76"/>
  <c r="BF826" i="76" s="1"/>
  <c r="BK825" i="76"/>
  <c r="BI825" i="76"/>
  <c r="BH825" i="76"/>
  <c r="BG825" i="76"/>
  <c r="BE825" i="76"/>
  <c r="T825" i="76"/>
  <c r="R825" i="76"/>
  <c r="P825" i="76"/>
  <c r="J825" i="76"/>
  <c r="BF825" i="76" s="1"/>
  <c r="BK823" i="76"/>
  <c r="BI823" i="76"/>
  <c r="BH823" i="76"/>
  <c r="BG823" i="76"/>
  <c r="BE823" i="76"/>
  <c r="T823" i="76"/>
  <c r="R823" i="76"/>
  <c r="P823" i="76"/>
  <c r="J823" i="76"/>
  <c r="BF823" i="76" s="1"/>
  <c r="BK810" i="76"/>
  <c r="BI810" i="76"/>
  <c r="BH810" i="76"/>
  <c r="BG810" i="76"/>
  <c r="BE810" i="76"/>
  <c r="T810" i="76"/>
  <c r="R810" i="76"/>
  <c r="P810" i="76"/>
  <c r="J810" i="76"/>
  <c r="BF810" i="76" s="1"/>
  <c r="BK797" i="76"/>
  <c r="BI797" i="76"/>
  <c r="BH797" i="76"/>
  <c r="BG797" i="76"/>
  <c r="BE797" i="76"/>
  <c r="T797" i="76"/>
  <c r="R797" i="76"/>
  <c r="P797" i="76"/>
  <c r="J797" i="76"/>
  <c r="BF797" i="76" s="1"/>
  <c r="BK795" i="76"/>
  <c r="BI795" i="76"/>
  <c r="BH795" i="76"/>
  <c r="BG795" i="76"/>
  <c r="BE795" i="76"/>
  <c r="T795" i="76"/>
  <c r="R795" i="76"/>
  <c r="P795" i="76"/>
  <c r="J795" i="76"/>
  <c r="BF795" i="76" s="1"/>
  <c r="BK782" i="76"/>
  <c r="BI782" i="76"/>
  <c r="BH782" i="76"/>
  <c r="BG782" i="76"/>
  <c r="BE782" i="76"/>
  <c r="T782" i="76"/>
  <c r="R782" i="76"/>
  <c r="P782" i="76"/>
  <c r="J782" i="76"/>
  <c r="BF782" i="76" s="1"/>
  <c r="BK780" i="76"/>
  <c r="BI780" i="76"/>
  <c r="BH780" i="76"/>
  <c r="BG780" i="76"/>
  <c r="BE780" i="76"/>
  <c r="T780" i="76"/>
  <c r="R780" i="76"/>
  <c r="P780" i="76"/>
  <c r="J780" i="76"/>
  <c r="BF780" i="76" s="1"/>
  <c r="BK768" i="76"/>
  <c r="BI768" i="76"/>
  <c r="BH768" i="76"/>
  <c r="BG768" i="76"/>
  <c r="BE768" i="76"/>
  <c r="T768" i="76"/>
  <c r="R768" i="76"/>
  <c r="P768" i="76"/>
  <c r="J768" i="76"/>
  <c r="BF768" i="76" s="1"/>
  <c r="BK766" i="76"/>
  <c r="BI766" i="76"/>
  <c r="BH766" i="76"/>
  <c r="BG766" i="76"/>
  <c r="BE766" i="76"/>
  <c r="T766" i="76"/>
  <c r="R766" i="76"/>
  <c r="P766" i="76"/>
  <c r="J766" i="76"/>
  <c r="BF766" i="76" s="1"/>
  <c r="BK765" i="76"/>
  <c r="BI765" i="76"/>
  <c r="BH765" i="76"/>
  <c r="BG765" i="76"/>
  <c r="BE765" i="76"/>
  <c r="T765" i="76"/>
  <c r="R765" i="76"/>
  <c r="P765" i="76"/>
  <c r="J765" i="76"/>
  <c r="BF765" i="76" s="1"/>
  <c r="BK764" i="76"/>
  <c r="BI764" i="76"/>
  <c r="BH764" i="76"/>
  <c r="BG764" i="76"/>
  <c r="BE764" i="76"/>
  <c r="T764" i="76"/>
  <c r="R764" i="76"/>
  <c r="P764" i="76"/>
  <c r="J764" i="76"/>
  <c r="BF764" i="76" s="1"/>
  <c r="BK762" i="76"/>
  <c r="BI762" i="76"/>
  <c r="BH762" i="76"/>
  <c r="BG762" i="76"/>
  <c r="BE762" i="76"/>
  <c r="T762" i="76"/>
  <c r="R762" i="76"/>
  <c r="P762" i="76"/>
  <c r="J762" i="76"/>
  <c r="BF762" i="76" s="1"/>
  <c r="BK761" i="76"/>
  <c r="BI761" i="76"/>
  <c r="BH761" i="76"/>
  <c r="BG761" i="76"/>
  <c r="BE761" i="76"/>
  <c r="T761" i="76"/>
  <c r="R761" i="76"/>
  <c r="P761" i="76"/>
  <c r="J761" i="76"/>
  <c r="BF761" i="76" s="1"/>
  <c r="BK760" i="76"/>
  <c r="BI760" i="76"/>
  <c r="BH760" i="76"/>
  <c r="BG760" i="76"/>
  <c r="BE760" i="76"/>
  <c r="T760" i="76"/>
  <c r="R760" i="76"/>
  <c r="P760" i="76"/>
  <c r="J760" i="76"/>
  <c r="BF760" i="76" s="1"/>
  <c r="BK757" i="76"/>
  <c r="BI757" i="76"/>
  <c r="BH757" i="76"/>
  <c r="BG757" i="76"/>
  <c r="BE757" i="76"/>
  <c r="T757" i="76"/>
  <c r="R757" i="76"/>
  <c r="P757" i="76"/>
  <c r="J757" i="76"/>
  <c r="BF757" i="76" s="1"/>
  <c r="BK756" i="76"/>
  <c r="BI756" i="76"/>
  <c r="BH756" i="76"/>
  <c r="BG756" i="76"/>
  <c r="BE756" i="76"/>
  <c r="T756" i="76"/>
  <c r="R756" i="76"/>
  <c r="P756" i="76"/>
  <c r="J756" i="76"/>
  <c r="BF756" i="76" s="1"/>
  <c r="BK754" i="76"/>
  <c r="BI754" i="76"/>
  <c r="BH754" i="76"/>
  <c r="BG754" i="76"/>
  <c r="BE754" i="76"/>
  <c r="T754" i="76"/>
  <c r="R754" i="76"/>
  <c r="P754" i="76"/>
  <c r="J754" i="76"/>
  <c r="BF754" i="76" s="1"/>
  <c r="BK753" i="76"/>
  <c r="BI753" i="76"/>
  <c r="BH753" i="76"/>
  <c r="BG753" i="76"/>
  <c r="BE753" i="76"/>
  <c r="T753" i="76"/>
  <c r="R753" i="76"/>
  <c r="P753" i="76"/>
  <c r="J753" i="76"/>
  <c r="BF753" i="76" s="1"/>
  <c r="BK751" i="76"/>
  <c r="BI751" i="76"/>
  <c r="BH751" i="76"/>
  <c r="BG751" i="76"/>
  <c r="BE751" i="76"/>
  <c r="T751" i="76"/>
  <c r="R751" i="76"/>
  <c r="P751" i="76"/>
  <c r="J751" i="76"/>
  <c r="BF751" i="76" s="1"/>
  <c r="BK750" i="76"/>
  <c r="BI750" i="76"/>
  <c r="BH750" i="76"/>
  <c r="BG750" i="76"/>
  <c r="BE750" i="76"/>
  <c r="T750" i="76"/>
  <c r="R750" i="76"/>
  <c r="P750" i="76"/>
  <c r="J750" i="76"/>
  <c r="BF750" i="76" s="1"/>
  <c r="BK749" i="76"/>
  <c r="BI749" i="76"/>
  <c r="BH749" i="76"/>
  <c r="BG749" i="76"/>
  <c r="BE749" i="76"/>
  <c r="T749" i="76"/>
  <c r="R749" i="76"/>
  <c r="P749" i="76"/>
  <c r="J749" i="76"/>
  <c r="BF749" i="76" s="1"/>
  <c r="BK747" i="76"/>
  <c r="BI747" i="76"/>
  <c r="BH747" i="76"/>
  <c r="BG747" i="76"/>
  <c r="BE747" i="76"/>
  <c r="T747" i="76"/>
  <c r="R747" i="76"/>
  <c r="P747" i="76"/>
  <c r="J747" i="76"/>
  <c r="BF747" i="76" s="1"/>
  <c r="BK742" i="76"/>
  <c r="BI742" i="76"/>
  <c r="BH742" i="76"/>
  <c r="BG742" i="76"/>
  <c r="BE742" i="76"/>
  <c r="T742" i="76"/>
  <c r="R742" i="76"/>
  <c r="P742" i="76"/>
  <c r="J742" i="76"/>
  <c r="BF742" i="76" s="1"/>
  <c r="BK740" i="76"/>
  <c r="BI740" i="76"/>
  <c r="BH740" i="76"/>
  <c r="BG740" i="76"/>
  <c r="BE740" i="76"/>
  <c r="T740" i="76"/>
  <c r="R740" i="76"/>
  <c r="P740" i="76"/>
  <c r="J740" i="76"/>
  <c r="BF740" i="76" s="1"/>
  <c r="BK735" i="76"/>
  <c r="BI735" i="76"/>
  <c r="BH735" i="76"/>
  <c r="BG735" i="76"/>
  <c r="BE735" i="76"/>
  <c r="T735" i="76"/>
  <c r="R735" i="76"/>
  <c r="P735" i="76"/>
  <c r="J735" i="76"/>
  <c r="BF735" i="76" s="1"/>
  <c r="BK731" i="76"/>
  <c r="BI731" i="76"/>
  <c r="BH731" i="76"/>
  <c r="BG731" i="76"/>
  <c r="BE731" i="76"/>
  <c r="T731" i="76"/>
  <c r="R731" i="76"/>
  <c r="P731" i="76"/>
  <c r="J731" i="76"/>
  <c r="BF731" i="76" s="1"/>
  <c r="BK729" i="76"/>
  <c r="BI729" i="76"/>
  <c r="BH729" i="76"/>
  <c r="BG729" i="76"/>
  <c r="BE729" i="76"/>
  <c r="T729" i="76"/>
  <c r="R729" i="76"/>
  <c r="P729" i="76"/>
  <c r="J729" i="76"/>
  <c r="BF729" i="76" s="1"/>
  <c r="BK727" i="76"/>
  <c r="BI727" i="76"/>
  <c r="BH727" i="76"/>
  <c r="BG727" i="76"/>
  <c r="BE727" i="76"/>
  <c r="T727" i="76"/>
  <c r="R727" i="76"/>
  <c r="P727" i="76"/>
  <c r="J727" i="76"/>
  <c r="BF727" i="76" s="1"/>
  <c r="BK724" i="76"/>
  <c r="BI724" i="76"/>
  <c r="BH724" i="76"/>
  <c r="BG724" i="76"/>
  <c r="BE724" i="76"/>
  <c r="T724" i="76"/>
  <c r="R724" i="76"/>
  <c r="P724" i="76"/>
  <c r="J724" i="76"/>
  <c r="BF724" i="76" s="1"/>
  <c r="BK722" i="76"/>
  <c r="BI722" i="76"/>
  <c r="BH722" i="76"/>
  <c r="BG722" i="76"/>
  <c r="BE722" i="76"/>
  <c r="T722" i="76"/>
  <c r="R722" i="76"/>
  <c r="P722" i="76"/>
  <c r="J722" i="76"/>
  <c r="BF722" i="76" s="1"/>
  <c r="BK720" i="76"/>
  <c r="BI720" i="76"/>
  <c r="BH720" i="76"/>
  <c r="BG720" i="76"/>
  <c r="BE720" i="76"/>
  <c r="T720" i="76"/>
  <c r="R720" i="76"/>
  <c r="P720" i="76"/>
  <c r="J720" i="76"/>
  <c r="BF720" i="76" s="1"/>
  <c r="BK719" i="76"/>
  <c r="BI719" i="76"/>
  <c r="BH719" i="76"/>
  <c r="BG719" i="76"/>
  <c r="BE719" i="76"/>
  <c r="T719" i="76"/>
  <c r="R719" i="76"/>
  <c r="P719" i="76"/>
  <c r="J719" i="76"/>
  <c r="BF719" i="76" s="1"/>
  <c r="BK717" i="76"/>
  <c r="BI717" i="76"/>
  <c r="BH717" i="76"/>
  <c r="BG717" i="76"/>
  <c r="BE717" i="76"/>
  <c r="T717" i="76"/>
  <c r="R717" i="76"/>
  <c r="P717" i="76"/>
  <c r="J717" i="76"/>
  <c r="BF717" i="76" s="1"/>
  <c r="BK716" i="76"/>
  <c r="BI716" i="76"/>
  <c r="BH716" i="76"/>
  <c r="BG716" i="76"/>
  <c r="BE716" i="76"/>
  <c r="T716" i="76"/>
  <c r="R716" i="76"/>
  <c r="P716" i="76"/>
  <c r="J716" i="76"/>
  <c r="BF716" i="76" s="1"/>
  <c r="BK711" i="76"/>
  <c r="BI711" i="76"/>
  <c r="BH711" i="76"/>
  <c r="BG711" i="76"/>
  <c r="BE711" i="76"/>
  <c r="T711" i="76"/>
  <c r="R711" i="76"/>
  <c r="P711" i="76"/>
  <c r="J711" i="76"/>
  <c r="BF711" i="76" s="1"/>
  <c r="BK708" i="76"/>
  <c r="BI708" i="76"/>
  <c r="BH708" i="76"/>
  <c r="BG708" i="76"/>
  <c r="BE708" i="76"/>
  <c r="T708" i="76"/>
  <c r="R708" i="76"/>
  <c r="P708" i="76"/>
  <c r="J708" i="76"/>
  <c r="BF708" i="76" s="1"/>
  <c r="BK707" i="76"/>
  <c r="BI707" i="76"/>
  <c r="BH707" i="76"/>
  <c r="BG707" i="76"/>
  <c r="BE707" i="76"/>
  <c r="T707" i="76"/>
  <c r="R707" i="76"/>
  <c r="P707" i="76"/>
  <c r="J707" i="76"/>
  <c r="BF707" i="76" s="1"/>
  <c r="BK705" i="76"/>
  <c r="BI705" i="76"/>
  <c r="BH705" i="76"/>
  <c r="BG705" i="76"/>
  <c r="BE705" i="76"/>
  <c r="T705" i="76"/>
  <c r="R705" i="76"/>
  <c r="P705" i="76"/>
  <c r="J705" i="76"/>
  <c r="BF705" i="76" s="1"/>
  <c r="BK702" i="76"/>
  <c r="BI702" i="76"/>
  <c r="BH702" i="76"/>
  <c r="BG702" i="76"/>
  <c r="BE702" i="76"/>
  <c r="T702" i="76"/>
  <c r="R702" i="76"/>
  <c r="P702" i="76"/>
  <c r="J702" i="76"/>
  <c r="BF702" i="76" s="1"/>
  <c r="BK701" i="76"/>
  <c r="BI701" i="76"/>
  <c r="BH701" i="76"/>
  <c r="BG701" i="76"/>
  <c r="BE701" i="76"/>
  <c r="T701" i="76"/>
  <c r="R701" i="76"/>
  <c r="P701" i="76"/>
  <c r="J701" i="76"/>
  <c r="BF701" i="76" s="1"/>
  <c r="BK698" i="76"/>
  <c r="BI698" i="76"/>
  <c r="BH698" i="76"/>
  <c r="BG698" i="76"/>
  <c r="BE698" i="76"/>
  <c r="T698" i="76"/>
  <c r="R698" i="76"/>
  <c r="P698" i="76"/>
  <c r="J698" i="76"/>
  <c r="BF698" i="76" s="1"/>
  <c r="BK697" i="76"/>
  <c r="BI697" i="76"/>
  <c r="BH697" i="76"/>
  <c r="BG697" i="76"/>
  <c r="BE697" i="76"/>
  <c r="T697" i="76"/>
  <c r="R697" i="76"/>
  <c r="P697" i="76"/>
  <c r="J697" i="76"/>
  <c r="BF697" i="76" s="1"/>
  <c r="BK696" i="76"/>
  <c r="BI696" i="76"/>
  <c r="BH696" i="76"/>
  <c r="BG696" i="76"/>
  <c r="BE696" i="76"/>
  <c r="T696" i="76"/>
  <c r="R696" i="76"/>
  <c r="P696" i="76"/>
  <c r="J696" i="76"/>
  <c r="BF696" i="76" s="1"/>
  <c r="BK693" i="76"/>
  <c r="BI693" i="76"/>
  <c r="BH693" i="76"/>
  <c r="BG693" i="76"/>
  <c r="BE693" i="76"/>
  <c r="T693" i="76"/>
  <c r="R693" i="76"/>
  <c r="P693" i="76"/>
  <c r="J693" i="76"/>
  <c r="BF693" i="76" s="1"/>
  <c r="BK692" i="76"/>
  <c r="BI692" i="76"/>
  <c r="BH692" i="76"/>
  <c r="BG692" i="76"/>
  <c r="BE692" i="76"/>
  <c r="T692" i="76"/>
  <c r="R692" i="76"/>
  <c r="P692" i="76"/>
  <c r="J692" i="76"/>
  <c r="BF692" i="76" s="1"/>
  <c r="BK691" i="76"/>
  <c r="BI691" i="76"/>
  <c r="BH691" i="76"/>
  <c r="BG691" i="76"/>
  <c r="BE691" i="76"/>
  <c r="T691" i="76"/>
  <c r="R691" i="76"/>
  <c r="P691" i="76"/>
  <c r="J691" i="76"/>
  <c r="BF691" i="76" s="1"/>
  <c r="BK689" i="76"/>
  <c r="BI689" i="76"/>
  <c r="BH689" i="76"/>
  <c r="BG689" i="76"/>
  <c r="BE689" i="76"/>
  <c r="T689" i="76"/>
  <c r="R689" i="76"/>
  <c r="P689" i="76"/>
  <c r="J689" i="76"/>
  <c r="BF689" i="76" s="1"/>
  <c r="BK688" i="76"/>
  <c r="BI688" i="76"/>
  <c r="BH688" i="76"/>
  <c r="BG688" i="76"/>
  <c r="BE688" i="76"/>
  <c r="T688" i="76"/>
  <c r="R688" i="76"/>
  <c r="P688" i="76"/>
  <c r="J688" i="76"/>
  <c r="BF688" i="76" s="1"/>
  <c r="BK687" i="76"/>
  <c r="BI687" i="76"/>
  <c r="BH687" i="76"/>
  <c r="BG687" i="76"/>
  <c r="BE687" i="76"/>
  <c r="T687" i="76"/>
  <c r="R687" i="76"/>
  <c r="P687" i="76"/>
  <c r="J687" i="76"/>
  <c r="BF687" i="76" s="1"/>
  <c r="BK685" i="76"/>
  <c r="BI685" i="76"/>
  <c r="BH685" i="76"/>
  <c r="BG685" i="76"/>
  <c r="BE685" i="76"/>
  <c r="T685" i="76"/>
  <c r="R685" i="76"/>
  <c r="P685" i="76"/>
  <c r="J685" i="76"/>
  <c r="BF685" i="76" s="1"/>
  <c r="BK683" i="76"/>
  <c r="BI683" i="76"/>
  <c r="BH683" i="76"/>
  <c r="BG683" i="76"/>
  <c r="BE683" i="76"/>
  <c r="T683" i="76"/>
  <c r="R683" i="76"/>
  <c r="P683" i="76"/>
  <c r="J683" i="76"/>
  <c r="BF683" i="76" s="1"/>
  <c r="BK682" i="76"/>
  <c r="BI682" i="76"/>
  <c r="BH682" i="76"/>
  <c r="BG682" i="76"/>
  <c r="BE682" i="76"/>
  <c r="T682" i="76"/>
  <c r="R682" i="76"/>
  <c r="P682" i="76"/>
  <c r="J682" i="76"/>
  <c r="BF682" i="76" s="1"/>
  <c r="BK680" i="76"/>
  <c r="BI680" i="76"/>
  <c r="BH680" i="76"/>
  <c r="BG680" i="76"/>
  <c r="BE680" i="76"/>
  <c r="T680" i="76"/>
  <c r="R680" i="76"/>
  <c r="P680" i="76"/>
  <c r="J680" i="76"/>
  <c r="BF680" i="76" s="1"/>
  <c r="BK676" i="76"/>
  <c r="BI676" i="76"/>
  <c r="BH676" i="76"/>
  <c r="BG676" i="76"/>
  <c r="BE676" i="76"/>
  <c r="T676" i="76"/>
  <c r="R676" i="76"/>
  <c r="P676" i="76"/>
  <c r="J676" i="76"/>
  <c r="BF676" i="76" s="1"/>
  <c r="BK674" i="76"/>
  <c r="BI674" i="76"/>
  <c r="BH674" i="76"/>
  <c r="BG674" i="76"/>
  <c r="BE674" i="76"/>
  <c r="T674" i="76"/>
  <c r="R674" i="76"/>
  <c r="P674" i="76"/>
  <c r="J674" i="76"/>
  <c r="BF674" i="76" s="1"/>
  <c r="BK666" i="76"/>
  <c r="BI666" i="76"/>
  <c r="BH666" i="76"/>
  <c r="BG666" i="76"/>
  <c r="BE666" i="76"/>
  <c r="T666" i="76"/>
  <c r="R666" i="76"/>
  <c r="P666" i="76"/>
  <c r="J666" i="76"/>
  <c r="BF666" i="76" s="1"/>
  <c r="BK665" i="76"/>
  <c r="BI665" i="76"/>
  <c r="BH665" i="76"/>
  <c r="BG665" i="76"/>
  <c r="BE665" i="76"/>
  <c r="T665" i="76"/>
  <c r="R665" i="76"/>
  <c r="P665" i="76"/>
  <c r="J665" i="76"/>
  <c r="BF665" i="76" s="1"/>
  <c r="BK664" i="76"/>
  <c r="BI664" i="76"/>
  <c r="BH664" i="76"/>
  <c r="BG664" i="76"/>
  <c r="BE664" i="76"/>
  <c r="T664" i="76"/>
  <c r="R664" i="76"/>
  <c r="P664" i="76"/>
  <c r="J664" i="76"/>
  <c r="BF664" i="76" s="1"/>
  <c r="BK663" i="76"/>
  <c r="BI663" i="76"/>
  <c r="BH663" i="76"/>
  <c r="BG663" i="76"/>
  <c r="BE663" i="76"/>
  <c r="T663" i="76"/>
  <c r="R663" i="76"/>
  <c r="P663" i="76"/>
  <c r="J663" i="76"/>
  <c r="BF663" i="76" s="1"/>
  <c r="BK658" i="76"/>
  <c r="BI658" i="76"/>
  <c r="BH658" i="76"/>
  <c r="BG658" i="76"/>
  <c r="BE658" i="76"/>
  <c r="T658" i="76"/>
  <c r="R658" i="76"/>
  <c r="P658" i="76"/>
  <c r="J658" i="76"/>
  <c r="BF658" i="76" s="1"/>
  <c r="BK656" i="76"/>
  <c r="BI656" i="76"/>
  <c r="BH656" i="76"/>
  <c r="BG656" i="76"/>
  <c r="BE656" i="76"/>
  <c r="T656" i="76"/>
  <c r="R656" i="76"/>
  <c r="P656" i="76"/>
  <c r="J656" i="76"/>
  <c r="BF656" i="76" s="1"/>
  <c r="BK655" i="76"/>
  <c r="BI655" i="76"/>
  <c r="BH655" i="76"/>
  <c r="BG655" i="76"/>
  <c r="BE655" i="76"/>
  <c r="T655" i="76"/>
  <c r="R655" i="76"/>
  <c r="P655" i="76"/>
  <c r="J655" i="76"/>
  <c r="BF655" i="76" s="1"/>
  <c r="BK650" i="76"/>
  <c r="BI650" i="76"/>
  <c r="BH650" i="76"/>
  <c r="BG650" i="76"/>
  <c r="BE650" i="76"/>
  <c r="T650" i="76"/>
  <c r="R650" i="76"/>
  <c r="P650" i="76"/>
  <c r="J650" i="76"/>
  <c r="BF650" i="76" s="1"/>
  <c r="BK649" i="76"/>
  <c r="BI649" i="76"/>
  <c r="BH649" i="76"/>
  <c r="BG649" i="76"/>
  <c r="BE649" i="76"/>
  <c r="T649" i="76"/>
  <c r="R649" i="76"/>
  <c r="P649" i="76"/>
  <c r="J649" i="76"/>
  <c r="BF649" i="76" s="1"/>
  <c r="BK646" i="76"/>
  <c r="BI646" i="76"/>
  <c r="BH646" i="76"/>
  <c r="BG646" i="76"/>
  <c r="BE646" i="76"/>
  <c r="T646" i="76"/>
  <c r="R646" i="76"/>
  <c r="P646" i="76"/>
  <c r="J646" i="76"/>
  <c r="BF646" i="76" s="1"/>
  <c r="BK644" i="76"/>
  <c r="BI644" i="76"/>
  <c r="BH644" i="76"/>
  <c r="BG644" i="76"/>
  <c r="BE644" i="76"/>
  <c r="T644" i="76"/>
  <c r="R644" i="76"/>
  <c r="P644" i="76"/>
  <c r="J644" i="76"/>
  <c r="BF644" i="76" s="1"/>
  <c r="BK640" i="76"/>
  <c r="BI640" i="76"/>
  <c r="BH640" i="76"/>
  <c r="BG640" i="76"/>
  <c r="BE640" i="76"/>
  <c r="T640" i="76"/>
  <c r="R640" i="76"/>
  <c r="P640" i="76"/>
  <c r="J640" i="76"/>
  <c r="BF640" i="76" s="1"/>
  <c r="BK638" i="76"/>
  <c r="BI638" i="76"/>
  <c r="BH638" i="76"/>
  <c r="BG638" i="76"/>
  <c r="BE638" i="76"/>
  <c r="T638" i="76"/>
  <c r="R638" i="76"/>
  <c r="P638" i="76"/>
  <c r="J638" i="76"/>
  <c r="BF638" i="76" s="1"/>
  <c r="BK635" i="76"/>
  <c r="BI635" i="76"/>
  <c r="BH635" i="76"/>
  <c r="BG635" i="76"/>
  <c r="BE635" i="76"/>
  <c r="T635" i="76"/>
  <c r="R635" i="76"/>
  <c r="P635" i="76"/>
  <c r="J635" i="76"/>
  <c r="BF635" i="76" s="1"/>
  <c r="BK633" i="76"/>
  <c r="BI633" i="76"/>
  <c r="BH633" i="76"/>
  <c r="BG633" i="76"/>
  <c r="BE633" i="76"/>
  <c r="T633" i="76"/>
  <c r="R633" i="76"/>
  <c r="P633" i="76"/>
  <c r="J633" i="76"/>
  <c r="BF633" i="76" s="1"/>
  <c r="BK629" i="76"/>
  <c r="BI629" i="76"/>
  <c r="BH629" i="76"/>
  <c r="BG629" i="76"/>
  <c r="BE629" i="76"/>
  <c r="T629" i="76"/>
  <c r="R629" i="76"/>
  <c r="P629" i="76"/>
  <c r="J629" i="76"/>
  <c r="BF629" i="76" s="1"/>
  <c r="BK627" i="76"/>
  <c r="BI627" i="76"/>
  <c r="BH627" i="76"/>
  <c r="BG627" i="76"/>
  <c r="BE627" i="76"/>
  <c r="T627" i="76"/>
  <c r="R627" i="76"/>
  <c r="P627" i="76"/>
  <c r="J627" i="76"/>
  <c r="BF627" i="76" s="1"/>
  <c r="BK625" i="76"/>
  <c r="BI625" i="76"/>
  <c r="BH625" i="76"/>
  <c r="BG625" i="76"/>
  <c r="BE625" i="76"/>
  <c r="T625" i="76"/>
  <c r="R625" i="76"/>
  <c r="P625" i="76"/>
  <c r="J625" i="76"/>
  <c r="BF625" i="76" s="1"/>
  <c r="BK619" i="76"/>
  <c r="BI619" i="76"/>
  <c r="BH619" i="76"/>
  <c r="BG619" i="76"/>
  <c r="BE619" i="76"/>
  <c r="T619" i="76"/>
  <c r="R619" i="76"/>
  <c r="P619" i="76"/>
  <c r="J619" i="76"/>
  <c r="BF619" i="76" s="1"/>
  <c r="BK617" i="76"/>
  <c r="BI617" i="76"/>
  <c r="BH617" i="76"/>
  <c r="BG617" i="76"/>
  <c r="BE617" i="76"/>
  <c r="T617" i="76"/>
  <c r="R617" i="76"/>
  <c r="P617" i="76"/>
  <c r="J617" i="76"/>
  <c r="BF617" i="76" s="1"/>
  <c r="BK611" i="76"/>
  <c r="BI611" i="76"/>
  <c r="BH611" i="76"/>
  <c r="BG611" i="76"/>
  <c r="BE611" i="76"/>
  <c r="T611" i="76"/>
  <c r="R611" i="76"/>
  <c r="P611" i="76"/>
  <c r="J611" i="76"/>
  <c r="BF611" i="76" s="1"/>
  <c r="BK609" i="76"/>
  <c r="BI609" i="76"/>
  <c r="BH609" i="76"/>
  <c r="BG609" i="76"/>
  <c r="BE609" i="76"/>
  <c r="T609" i="76"/>
  <c r="R609" i="76"/>
  <c r="P609" i="76"/>
  <c r="J609" i="76"/>
  <c r="BF609" i="76" s="1"/>
  <c r="BK607" i="76"/>
  <c r="BI607" i="76"/>
  <c r="BH607" i="76"/>
  <c r="BG607" i="76"/>
  <c r="BE607" i="76"/>
  <c r="T607" i="76"/>
  <c r="R607" i="76"/>
  <c r="P607" i="76"/>
  <c r="J607" i="76"/>
  <c r="BF607" i="76" s="1"/>
  <c r="BK603" i="76"/>
  <c r="BI603" i="76"/>
  <c r="BH603" i="76"/>
  <c r="BG603" i="76"/>
  <c r="BE603" i="76"/>
  <c r="T603" i="76"/>
  <c r="R603" i="76"/>
  <c r="P603" i="76"/>
  <c r="J603" i="76"/>
  <c r="BF603" i="76" s="1"/>
  <c r="BK602" i="76"/>
  <c r="BI602" i="76"/>
  <c r="BH602" i="76"/>
  <c r="BG602" i="76"/>
  <c r="BE602" i="76"/>
  <c r="T602" i="76"/>
  <c r="R602" i="76"/>
  <c r="P602" i="76"/>
  <c r="J602" i="76"/>
  <c r="BF602" i="76" s="1"/>
  <c r="BK592" i="76"/>
  <c r="BI592" i="76"/>
  <c r="BH592" i="76"/>
  <c r="BG592" i="76"/>
  <c r="BE592" i="76"/>
  <c r="T592" i="76"/>
  <c r="R592" i="76"/>
  <c r="P592" i="76"/>
  <c r="J592" i="76"/>
  <c r="BF592" i="76" s="1"/>
  <c r="BK582" i="76"/>
  <c r="BI582" i="76"/>
  <c r="BH582" i="76"/>
  <c r="BG582" i="76"/>
  <c r="BE582" i="76"/>
  <c r="T582" i="76"/>
  <c r="R582" i="76"/>
  <c r="P582" i="76"/>
  <c r="J582" i="76"/>
  <c r="BF582" i="76" s="1"/>
  <c r="BK572" i="76"/>
  <c r="BI572" i="76"/>
  <c r="BH572" i="76"/>
  <c r="BG572" i="76"/>
  <c r="BE572" i="76"/>
  <c r="T572" i="76"/>
  <c r="R572" i="76"/>
  <c r="P572" i="76"/>
  <c r="J572" i="76"/>
  <c r="BF572" i="76" s="1"/>
  <c r="BK571" i="76"/>
  <c r="BI571" i="76"/>
  <c r="BH571" i="76"/>
  <c r="BG571" i="76"/>
  <c r="BE571" i="76"/>
  <c r="T571" i="76"/>
  <c r="R571" i="76"/>
  <c r="P571" i="76"/>
  <c r="J571" i="76"/>
  <c r="BF571" i="76" s="1"/>
  <c r="BK556" i="76"/>
  <c r="BI556" i="76"/>
  <c r="BH556" i="76"/>
  <c r="BG556" i="76"/>
  <c r="BE556" i="76"/>
  <c r="T556" i="76"/>
  <c r="R556" i="76"/>
  <c r="P556" i="76"/>
  <c r="J556" i="76"/>
  <c r="BF556" i="76" s="1"/>
  <c r="BK555" i="76"/>
  <c r="BI555" i="76"/>
  <c r="BH555" i="76"/>
  <c r="BG555" i="76"/>
  <c r="BE555" i="76"/>
  <c r="T555" i="76"/>
  <c r="R555" i="76"/>
  <c r="P555" i="76"/>
  <c r="J555" i="76"/>
  <c r="BF555" i="76" s="1"/>
  <c r="BK554" i="76"/>
  <c r="BI554" i="76"/>
  <c r="BH554" i="76"/>
  <c r="BG554" i="76"/>
  <c r="BE554" i="76"/>
  <c r="T554" i="76"/>
  <c r="R554" i="76"/>
  <c r="P554" i="76"/>
  <c r="J554" i="76"/>
  <c r="BF554" i="76" s="1"/>
  <c r="BK552" i="76"/>
  <c r="BI552" i="76"/>
  <c r="BH552" i="76"/>
  <c r="BG552" i="76"/>
  <c r="BE552" i="76"/>
  <c r="T552" i="76"/>
  <c r="R552" i="76"/>
  <c r="P552" i="76"/>
  <c r="J552" i="76"/>
  <c r="BF552" i="76" s="1"/>
  <c r="BK548" i="76"/>
  <c r="BI548" i="76"/>
  <c r="BH548" i="76"/>
  <c r="BG548" i="76"/>
  <c r="BE548" i="76"/>
  <c r="T548" i="76"/>
  <c r="R548" i="76"/>
  <c r="P548" i="76"/>
  <c r="J548" i="76"/>
  <c r="BF548" i="76" s="1"/>
  <c r="BK547" i="76"/>
  <c r="BI547" i="76"/>
  <c r="BH547" i="76"/>
  <c r="BG547" i="76"/>
  <c r="BE547" i="76"/>
  <c r="T547" i="76"/>
  <c r="R547" i="76"/>
  <c r="P547" i="76"/>
  <c r="J547" i="76"/>
  <c r="BF547" i="76" s="1"/>
  <c r="BK546" i="76"/>
  <c r="BI546" i="76"/>
  <c r="BH546" i="76"/>
  <c r="BG546" i="76"/>
  <c r="BE546" i="76"/>
  <c r="T546" i="76"/>
  <c r="R546" i="76"/>
  <c r="P546" i="76"/>
  <c r="J546" i="76"/>
  <c r="BF546" i="76" s="1"/>
  <c r="BK535" i="76"/>
  <c r="BI535" i="76"/>
  <c r="BH535" i="76"/>
  <c r="BG535" i="76"/>
  <c r="BE535" i="76"/>
  <c r="T535" i="76"/>
  <c r="R535" i="76"/>
  <c r="P535" i="76"/>
  <c r="J535" i="76"/>
  <c r="BF535" i="76" s="1"/>
  <c r="BK533" i="76"/>
  <c r="BI533" i="76"/>
  <c r="BH533" i="76"/>
  <c r="BG533" i="76"/>
  <c r="BE533" i="76"/>
  <c r="T533" i="76"/>
  <c r="R533" i="76"/>
  <c r="P533" i="76"/>
  <c r="J533" i="76"/>
  <c r="BF533" i="76" s="1"/>
  <c r="BK532" i="76"/>
  <c r="BI532" i="76"/>
  <c r="BH532" i="76"/>
  <c r="BG532" i="76"/>
  <c r="BE532" i="76"/>
  <c r="T532" i="76"/>
  <c r="R532" i="76"/>
  <c r="P532" i="76"/>
  <c r="J532" i="76"/>
  <c r="BF532" i="76" s="1"/>
  <c r="BK531" i="76"/>
  <c r="BI531" i="76"/>
  <c r="BH531" i="76"/>
  <c r="BG531" i="76"/>
  <c r="BE531" i="76"/>
  <c r="T531" i="76"/>
  <c r="R531" i="76"/>
  <c r="P531" i="76"/>
  <c r="J531" i="76"/>
  <c r="BF531" i="76" s="1"/>
  <c r="BK530" i="76"/>
  <c r="BI530" i="76"/>
  <c r="BH530" i="76"/>
  <c r="BG530" i="76"/>
  <c r="BE530" i="76"/>
  <c r="T530" i="76"/>
  <c r="R530" i="76"/>
  <c r="P530" i="76"/>
  <c r="J530" i="76"/>
  <c r="BF530" i="76" s="1"/>
  <c r="BK529" i="76"/>
  <c r="BI529" i="76"/>
  <c r="BH529" i="76"/>
  <c r="BG529" i="76"/>
  <c r="BE529" i="76"/>
  <c r="T529" i="76"/>
  <c r="R529" i="76"/>
  <c r="P529" i="76"/>
  <c r="J529" i="76"/>
  <c r="BF529" i="76" s="1"/>
  <c r="BK528" i="76"/>
  <c r="BI528" i="76"/>
  <c r="BH528" i="76"/>
  <c r="BG528" i="76"/>
  <c r="BE528" i="76"/>
  <c r="T528" i="76"/>
  <c r="R528" i="76"/>
  <c r="P528" i="76"/>
  <c r="J528" i="76"/>
  <c r="BF528" i="76" s="1"/>
  <c r="BK527" i="76"/>
  <c r="BI527" i="76"/>
  <c r="BH527" i="76"/>
  <c r="BG527" i="76"/>
  <c r="BE527" i="76"/>
  <c r="T527" i="76"/>
  <c r="R527" i="76"/>
  <c r="P527" i="76"/>
  <c r="J527" i="76"/>
  <c r="BF527" i="76" s="1"/>
  <c r="BK526" i="76"/>
  <c r="BI526" i="76"/>
  <c r="BH526" i="76"/>
  <c r="BG526" i="76"/>
  <c r="BE526" i="76"/>
  <c r="T526" i="76"/>
  <c r="R526" i="76"/>
  <c r="P526" i="76"/>
  <c r="J526" i="76"/>
  <c r="BF526" i="76" s="1"/>
  <c r="BK525" i="76"/>
  <c r="BI525" i="76"/>
  <c r="BH525" i="76"/>
  <c r="BG525" i="76"/>
  <c r="BE525" i="76"/>
  <c r="T525" i="76"/>
  <c r="R525" i="76"/>
  <c r="P525" i="76"/>
  <c r="J525" i="76"/>
  <c r="BF525" i="76" s="1"/>
  <c r="BK520" i="76"/>
  <c r="BI520" i="76"/>
  <c r="BH520" i="76"/>
  <c r="BG520" i="76"/>
  <c r="BE520" i="76"/>
  <c r="T520" i="76"/>
  <c r="R520" i="76"/>
  <c r="P520" i="76"/>
  <c r="J520" i="76"/>
  <c r="BF520" i="76" s="1"/>
  <c r="BK519" i="76"/>
  <c r="BI519" i="76"/>
  <c r="BH519" i="76"/>
  <c r="BG519" i="76"/>
  <c r="BE519" i="76"/>
  <c r="T519" i="76"/>
  <c r="R519" i="76"/>
  <c r="P519" i="76"/>
  <c r="J519" i="76"/>
  <c r="BF519" i="76" s="1"/>
  <c r="BK501" i="76"/>
  <c r="BI501" i="76"/>
  <c r="BH501" i="76"/>
  <c r="BG501" i="76"/>
  <c r="BE501" i="76"/>
  <c r="T501" i="76"/>
  <c r="R501" i="76"/>
  <c r="P501" i="76"/>
  <c r="J501" i="76"/>
  <c r="BF501" i="76" s="1"/>
  <c r="BK499" i="76"/>
  <c r="BI499" i="76"/>
  <c r="BH499" i="76"/>
  <c r="BG499" i="76"/>
  <c r="BE499" i="76"/>
  <c r="T499" i="76"/>
  <c r="R499" i="76"/>
  <c r="P499" i="76"/>
  <c r="J499" i="76"/>
  <c r="BF499" i="76" s="1"/>
  <c r="BK489" i="76"/>
  <c r="BI489" i="76"/>
  <c r="BH489" i="76"/>
  <c r="BG489" i="76"/>
  <c r="BE489" i="76"/>
  <c r="T489" i="76"/>
  <c r="R489" i="76"/>
  <c r="P489" i="76"/>
  <c r="J489" i="76"/>
  <c r="BF489" i="76" s="1"/>
  <c r="BK488" i="76"/>
  <c r="BI488" i="76"/>
  <c r="BH488" i="76"/>
  <c r="BG488" i="76"/>
  <c r="BE488" i="76"/>
  <c r="T488" i="76"/>
  <c r="R488" i="76"/>
  <c r="P488" i="76"/>
  <c r="J488" i="76"/>
  <c r="BF488" i="76" s="1"/>
  <c r="BK485" i="76"/>
  <c r="BI485" i="76"/>
  <c r="BH485" i="76"/>
  <c r="BG485" i="76"/>
  <c r="BE485" i="76"/>
  <c r="T485" i="76"/>
  <c r="R485" i="76"/>
  <c r="P485" i="76"/>
  <c r="J485" i="76"/>
  <c r="BF485" i="76" s="1"/>
  <c r="BK482" i="76"/>
  <c r="BI482" i="76"/>
  <c r="BH482" i="76"/>
  <c r="BG482" i="76"/>
  <c r="BE482" i="76"/>
  <c r="T482" i="76"/>
  <c r="R482" i="76"/>
  <c r="P482" i="76"/>
  <c r="J482" i="76"/>
  <c r="BF482" i="76" s="1"/>
  <c r="BK481" i="76"/>
  <c r="BI481" i="76"/>
  <c r="BH481" i="76"/>
  <c r="BG481" i="76"/>
  <c r="BE481" i="76"/>
  <c r="T481" i="76"/>
  <c r="R481" i="76"/>
  <c r="P481" i="76"/>
  <c r="J481" i="76"/>
  <c r="BF481" i="76" s="1"/>
  <c r="BK478" i="76"/>
  <c r="BI478" i="76"/>
  <c r="BH478" i="76"/>
  <c r="BG478" i="76"/>
  <c r="BE478" i="76"/>
  <c r="T478" i="76"/>
  <c r="R478" i="76"/>
  <c r="P478" i="76"/>
  <c r="J478" i="76"/>
  <c r="BF478" i="76" s="1"/>
  <c r="BK477" i="76"/>
  <c r="BI477" i="76"/>
  <c r="BH477" i="76"/>
  <c r="BG477" i="76"/>
  <c r="BE477" i="76"/>
  <c r="T477" i="76"/>
  <c r="R477" i="76"/>
  <c r="P477" i="76"/>
  <c r="J477" i="76"/>
  <c r="BF477" i="76" s="1"/>
  <c r="BK466" i="76"/>
  <c r="BI466" i="76"/>
  <c r="BH466" i="76"/>
  <c r="BG466" i="76"/>
  <c r="BE466" i="76"/>
  <c r="T466" i="76"/>
  <c r="R466" i="76"/>
  <c r="P466" i="76"/>
  <c r="J466" i="76"/>
  <c r="BF466" i="76" s="1"/>
  <c r="BK465" i="76"/>
  <c r="BI465" i="76"/>
  <c r="BH465" i="76"/>
  <c r="BG465" i="76"/>
  <c r="BE465" i="76"/>
  <c r="T465" i="76"/>
  <c r="R465" i="76"/>
  <c r="P465" i="76"/>
  <c r="J465" i="76"/>
  <c r="BF465" i="76" s="1"/>
  <c r="BK464" i="76"/>
  <c r="BI464" i="76"/>
  <c r="BH464" i="76"/>
  <c r="BG464" i="76"/>
  <c r="BE464" i="76"/>
  <c r="T464" i="76"/>
  <c r="R464" i="76"/>
  <c r="P464" i="76"/>
  <c r="J464" i="76"/>
  <c r="BF464" i="76" s="1"/>
  <c r="BK463" i="76"/>
  <c r="BI463" i="76"/>
  <c r="BH463" i="76"/>
  <c r="BG463" i="76"/>
  <c r="BE463" i="76"/>
  <c r="T463" i="76"/>
  <c r="R463" i="76"/>
  <c r="P463" i="76"/>
  <c r="J463" i="76"/>
  <c r="BF463" i="76" s="1"/>
  <c r="BK453" i="76"/>
  <c r="BI453" i="76"/>
  <c r="BH453" i="76"/>
  <c r="BG453" i="76"/>
  <c r="BE453" i="76"/>
  <c r="T453" i="76"/>
  <c r="R453" i="76"/>
  <c r="P453" i="76"/>
  <c r="J453" i="76"/>
  <c r="BF453" i="76" s="1"/>
  <c r="BK443" i="76"/>
  <c r="BI443" i="76"/>
  <c r="BH443" i="76"/>
  <c r="BG443" i="76"/>
  <c r="BE443" i="76"/>
  <c r="T443" i="76"/>
  <c r="R443" i="76"/>
  <c r="P443" i="76"/>
  <c r="J443" i="76"/>
  <c r="BF443" i="76" s="1"/>
  <c r="BK438" i="76"/>
  <c r="BI438" i="76"/>
  <c r="BH438" i="76"/>
  <c r="BG438" i="76"/>
  <c r="BE438" i="76"/>
  <c r="T438" i="76"/>
  <c r="R438" i="76"/>
  <c r="P438" i="76"/>
  <c r="J438" i="76"/>
  <c r="BF438" i="76" s="1"/>
  <c r="BK434" i="76"/>
  <c r="BI434" i="76"/>
  <c r="BH434" i="76"/>
  <c r="BG434" i="76"/>
  <c r="BE434" i="76"/>
  <c r="T434" i="76"/>
  <c r="R434" i="76"/>
  <c r="P434" i="76"/>
  <c r="J434" i="76"/>
  <c r="BF434" i="76" s="1"/>
  <c r="BK429" i="76"/>
  <c r="BI429" i="76"/>
  <c r="BH429" i="76"/>
  <c r="BG429" i="76"/>
  <c r="BE429" i="76"/>
  <c r="T429" i="76"/>
  <c r="R429" i="76"/>
  <c r="P429" i="76"/>
  <c r="J429" i="76"/>
  <c r="BF429" i="76" s="1"/>
  <c r="BK421" i="76"/>
  <c r="BI421" i="76"/>
  <c r="BH421" i="76"/>
  <c r="BG421" i="76"/>
  <c r="BE421" i="76"/>
  <c r="T421" i="76"/>
  <c r="R421" i="76"/>
  <c r="P421" i="76"/>
  <c r="J421" i="76"/>
  <c r="BF421" i="76" s="1"/>
  <c r="BK420" i="76"/>
  <c r="BI420" i="76"/>
  <c r="BH420" i="76"/>
  <c r="BG420" i="76"/>
  <c r="BE420" i="76"/>
  <c r="T420" i="76"/>
  <c r="R420" i="76"/>
  <c r="P420" i="76"/>
  <c r="J420" i="76"/>
  <c r="BF420" i="76" s="1"/>
  <c r="BK418" i="76"/>
  <c r="BI418" i="76"/>
  <c r="BH418" i="76"/>
  <c r="BG418" i="76"/>
  <c r="BE418" i="76"/>
  <c r="T418" i="76"/>
  <c r="R418" i="76"/>
  <c r="P418" i="76"/>
  <c r="J418" i="76"/>
  <c r="BF418" i="76" s="1"/>
  <c r="BK416" i="76"/>
  <c r="BI416" i="76"/>
  <c r="BH416" i="76"/>
  <c r="BG416" i="76"/>
  <c r="BE416" i="76"/>
  <c r="T416" i="76"/>
  <c r="R416" i="76"/>
  <c r="P416" i="76"/>
  <c r="J416" i="76"/>
  <c r="BF416" i="76" s="1"/>
  <c r="BK400" i="76"/>
  <c r="BI400" i="76"/>
  <c r="BH400" i="76"/>
  <c r="BG400" i="76"/>
  <c r="BE400" i="76"/>
  <c r="T400" i="76"/>
  <c r="R400" i="76"/>
  <c r="P400" i="76"/>
  <c r="J400" i="76"/>
  <c r="BF400" i="76" s="1"/>
  <c r="BK383" i="76"/>
  <c r="BI383" i="76"/>
  <c r="BH383" i="76"/>
  <c r="BG383" i="76"/>
  <c r="BE383" i="76"/>
  <c r="T383" i="76"/>
  <c r="R383" i="76"/>
  <c r="P383" i="76"/>
  <c r="J383" i="76"/>
  <c r="BF383" i="76" s="1"/>
  <c r="BK379" i="76"/>
  <c r="BI379" i="76"/>
  <c r="BH379" i="76"/>
  <c r="BG379" i="76"/>
  <c r="BE379" i="76"/>
  <c r="T379" i="76"/>
  <c r="R379" i="76"/>
  <c r="P379" i="76"/>
  <c r="J379" i="76"/>
  <c r="BF379" i="76" s="1"/>
  <c r="BK372" i="76"/>
  <c r="BI372" i="76"/>
  <c r="BH372" i="76"/>
  <c r="BG372" i="76"/>
  <c r="BE372" i="76"/>
  <c r="T372" i="76"/>
  <c r="R372" i="76"/>
  <c r="P372" i="76"/>
  <c r="J372" i="76"/>
  <c r="BF372" i="76" s="1"/>
  <c r="BK369" i="76"/>
  <c r="BI369" i="76"/>
  <c r="BH369" i="76"/>
  <c r="BG369" i="76"/>
  <c r="BE369" i="76"/>
  <c r="T369" i="76"/>
  <c r="R369" i="76"/>
  <c r="P369" i="76"/>
  <c r="J369" i="76"/>
  <c r="BF369" i="76" s="1"/>
  <c r="BK366" i="76"/>
  <c r="BI366" i="76"/>
  <c r="BH366" i="76"/>
  <c r="BG366" i="76"/>
  <c r="BE366" i="76"/>
  <c r="T366" i="76"/>
  <c r="R366" i="76"/>
  <c r="P366" i="76"/>
  <c r="J366" i="76"/>
  <c r="BF366" i="76" s="1"/>
  <c r="BK364" i="76"/>
  <c r="BI364" i="76"/>
  <c r="BH364" i="76"/>
  <c r="BG364" i="76"/>
  <c r="BE364" i="76"/>
  <c r="T364" i="76"/>
  <c r="R364" i="76"/>
  <c r="P364" i="76"/>
  <c r="J364" i="76"/>
  <c r="BF364" i="76" s="1"/>
  <c r="BK363" i="76"/>
  <c r="BI363" i="76"/>
  <c r="BH363" i="76"/>
  <c r="BG363" i="76"/>
  <c r="BE363" i="76"/>
  <c r="T363" i="76"/>
  <c r="R363" i="76"/>
  <c r="P363" i="76"/>
  <c r="J363" i="76"/>
  <c r="BF363" i="76" s="1"/>
  <c r="BK359" i="76"/>
  <c r="BI359" i="76"/>
  <c r="BH359" i="76"/>
  <c r="BG359" i="76"/>
  <c r="BE359" i="76"/>
  <c r="T359" i="76"/>
  <c r="R359" i="76"/>
  <c r="P359" i="76"/>
  <c r="J359" i="76"/>
  <c r="BF359" i="76" s="1"/>
  <c r="BK355" i="76"/>
  <c r="BI355" i="76"/>
  <c r="BH355" i="76"/>
  <c r="BG355" i="76"/>
  <c r="BE355" i="76"/>
  <c r="T355" i="76"/>
  <c r="R355" i="76"/>
  <c r="P355" i="76"/>
  <c r="J355" i="76"/>
  <c r="BF355" i="76" s="1"/>
  <c r="BK353" i="76"/>
  <c r="BI353" i="76"/>
  <c r="BH353" i="76"/>
  <c r="BG353" i="76"/>
  <c r="BE353" i="76"/>
  <c r="T353" i="76"/>
  <c r="R353" i="76"/>
  <c r="P353" i="76"/>
  <c r="J353" i="76"/>
  <c r="BF353" i="76" s="1"/>
  <c r="BK352" i="76"/>
  <c r="BI352" i="76"/>
  <c r="BH352" i="76"/>
  <c r="BG352" i="76"/>
  <c r="BE352" i="76"/>
  <c r="T352" i="76"/>
  <c r="R352" i="76"/>
  <c r="P352" i="76"/>
  <c r="J352" i="76"/>
  <c r="BF352" i="76" s="1"/>
  <c r="BK351" i="76"/>
  <c r="BI351" i="76"/>
  <c r="BH351" i="76"/>
  <c r="BG351" i="76"/>
  <c r="BE351" i="76"/>
  <c r="T351" i="76"/>
  <c r="R351" i="76"/>
  <c r="P351" i="76"/>
  <c r="J351" i="76"/>
  <c r="BF351" i="76" s="1"/>
  <c r="BK349" i="76"/>
  <c r="BI349" i="76"/>
  <c r="BH349" i="76"/>
  <c r="BG349" i="76"/>
  <c r="BE349" i="76"/>
  <c r="T349" i="76"/>
  <c r="R349" i="76"/>
  <c r="P349" i="76"/>
  <c r="J349" i="76"/>
  <c r="BF349" i="76" s="1"/>
  <c r="BK339" i="76"/>
  <c r="BI339" i="76"/>
  <c r="BH339" i="76"/>
  <c r="BG339" i="76"/>
  <c r="BE339" i="76"/>
  <c r="T339" i="76"/>
  <c r="R339" i="76"/>
  <c r="P339" i="76"/>
  <c r="J339" i="76"/>
  <c r="BF339" i="76" s="1"/>
  <c r="BK332" i="76"/>
  <c r="BI332" i="76"/>
  <c r="BH332" i="76"/>
  <c r="BG332" i="76"/>
  <c r="BE332" i="76"/>
  <c r="T332" i="76"/>
  <c r="R332" i="76"/>
  <c r="P332" i="76"/>
  <c r="J332" i="76"/>
  <c r="BF332" i="76" s="1"/>
  <c r="BK309" i="76"/>
  <c r="BI309" i="76"/>
  <c r="BH309" i="76"/>
  <c r="BG309" i="76"/>
  <c r="BE309" i="76"/>
  <c r="T309" i="76"/>
  <c r="R309" i="76"/>
  <c r="P309" i="76"/>
  <c r="J309" i="76"/>
  <c r="BF309" i="76" s="1"/>
  <c r="BK297" i="76"/>
  <c r="BI297" i="76"/>
  <c r="BH297" i="76"/>
  <c r="BG297" i="76"/>
  <c r="BE297" i="76"/>
  <c r="T297" i="76"/>
  <c r="R297" i="76"/>
  <c r="P297" i="76"/>
  <c r="J297" i="76"/>
  <c r="BF297" i="76" s="1"/>
  <c r="BK293" i="76"/>
  <c r="BI293" i="76"/>
  <c r="BH293" i="76"/>
  <c r="BG293" i="76"/>
  <c r="BE293" i="76"/>
  <c r="T293" i="76"/>
  <c r="R293" i="76"/>
  <c r="P293" i="76"/>
  <c r="J293" i="76"/>
  <c r="BF293" i="76" s="1"/>
  <c r="BK287" i="76"/>
  <c r="BI287" i="76"/>
  <c r="BH287" i="76"/>
  <c r="BG287" i="76"/>
  <c r="BE287" i="76"/>
  <c r="T287" i="76"/>
  <c r="R287" i="76"/>
  <c r="P287" i="76"/>
  <c r="J287" i="76"/>
  <c r="BF287" i="76" s="1"/>
  <c r="BK283" i="76"/>
  <c r="BI283" i="76"/>
  <c r="BH283" i="76"/>
  <c r="BG283" i="76"/>
  <c r="BE283" i="76"/>
  <c r="T283" i="76"/>
  <c r="R283" i="76"/>
  <c r="P283" i="76"/>
  <c r="J283" i="76"/>
  <c r="BF283" i="76" s="1"/>
  <c r="BK267" i="76"/>
  <c r="BI267" i="76"/>
  <c r="BH267" i="76"/>
  <c r="BG267" i="76"/>
  <c r="BE267" i="76"/>
  <c r="T267" i="76"/>
  <c r="R267" i="76"/>
  <c r="P267" i="76"/>
  <c r="J267" i="76"/>
  <c r="BF267" i="76" s="1"/>
  <c r="BK261" i="76"/>
  <c r="BI261" i="76"/>
  <c r="BH261" i="76"/>
  <c r="BG261" i="76"/>
  <c r="BE261" i="76"/>
  <c r="T261" i="76"/>
  <c r="R261" i="76"/>
  <c r="P261" i="76"/>
  <c r="J261" i="76"/>
  <c r="BF261" i="76" s="1"/>
  <c r="BK255" i="76"/>
  <c r="BI255" i="76"/>
  <c r="BH255" i="76"/>
  <c r="BG255" i="76"/>
  <c r="BE255" i="76"/>
  <c r="T255" i="76"/>
  <c r="R255" i="76"/>
  <c r="P255" i="76"/>
  <c r="J255" i="76"/>
  <c r="BF255" i="76" s="1"/>
  <c r="BK251" i="76"/>
  <c r="BI251" i="76"/>
  <c r="BH251" i="76"/>
  <c r="BG251" i="76"/>
  <c r="BE251" i="76"/>
  <c r="T251" i="76"/>
  <c r="R251" i="76"/>
  <c r="P251" i="76"/>
  <c r="J251" i="76"/>
  <c r="BF251" i="76" s="1"/>
  <c r="BK247" i="76"/>
  <c r="BI247" i="76"/>
  <c r="BH247" i="76"/>
  <c r="BG247" i="76"/>
  <c r="BE247" i="76"/>
  <c r="T247" i="76"/>
  <c r="R247" i="76"/>
  <c r="P247" i="76"/>
  <c r="J247" i="76"/>
  <c r="BF247" i="76" s="1"/>
  <c r="BK241" i="76"/>
  <c r="BI241" i="76"/>
  <c r="BH241" i="76"/>
  <c r="BG241" i="76"/>
  <c r="BE241" i="76"/>
  <c r="T241" i="76"/>
  <c r="R241" i="76"/>
  <c r="P241" i="76"/>
  <c r="J241" i="76"/>
  <c r="BF241" i="76" s="1"/>
  <c r="BK237" i="76"/>
  <c r="BI237" i="76"/>
  <c r="BH237" i="76"/>
  <c r="BG237" i="76"/>
  <c r="BE237" i="76"/>
  <c r="T237" i="76"/>
  <c r="R237" i="76"/>
  <c r="P237" i="76"/>
  <c r="J237" i="76"/>
  <c r="BF237" i="76" s="1"/>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7" i="75"/>
  <c r="AY96" i="75"/>
  <c r="AX96" i="75"/>
  <c r="AS94" i="75"/>
  <c r="AM90" i="75"/>
  <c r="L90" i="75"/>
  <c r="AM89" i="75"/>
  <c r="L89" i="75"/>
  <c r="AM87" i="75"/>
  <c r="L87" i="75"/>
  <c r="L85" i="75"/>
  <c r="L84" i="75"/>
  <c r="AK27" i="75"/>
  <c r="BK718" i="76" l="1"/>
  <c r="J718" i="76" s="1"/>
  <c r="BK767" i="76"/>
  <c r="J767" i="76" s="1"/>
  <c r="J1019" i="76"/>
  <c r="J111" i="76" s="1"/>
  <c r="BK950" i="76"/>
  <c r="J950" i="76" s="1"/>
  <c r="BK368" i="76"/>
  <c r="J368" i="76" s="1"/>
  <c r="BK442" i="76"/>
  <c r="J442" i="76" s="1"/>
  <c r="J101" i="76" s="1"/>
  <c r="BK675" i="76"/>
  <c r="J675" i="76" s="1"/>
  <c r="BK1054" i="76"/>
  <c r="J1054" i="76" s="1"/>
  <c r="J274" i="80"/>
  <c r="J102" i="80" s="1"/>
  <c r="BK134" i="80"/>
  <c r="BK149" i="76"/>
  <c r="J149" i="76" s="1"/>
  <c r="T135" i="80"/>
  <c r="T277" i="80"/>
  <c r="J135" i="80"/>
  <c r="J98" i="80" s="1"/>
  <c r="P237" i="80"/>
  <c r="T237" i="80"/>
  <c r="R169" i="80"/>
  <c r="P277" i="80"/>
  <c r="P276" i="80" s="1"/>
  <c r="P260" i="80"/>
  <c r="T169" i="80"/>
  <c r="T1069" i="76"/>
  <c r="BK1115" i="76"/>
  <c r="BK726" i="76"/>
  <c r="F39" i="81"/>
  <c r="BD100" i="75" s="1"/>
  <c r="F37" i="81"/>
  <c r="BB100" i="75" s="1"/>
  <c r="J91" i="81"/>
  <c r="T1124" i="76"/>
  <c r="P1124" i="76"/>
  <c r="F37" i="77"/>
  <c r="BB96" i="75" s="1"/>
  <c r="F39" i="77"/>
  <c r="BD96" i="75" s="1"/>
  <c r="BK487" i="78"/>
  <c r="J487" i="78" s="1"/>
  <c r="J109" i="78" s="1"/>
  <c r="BK577" i="78"/>
  <c r="J577" i="78" s="1"/>
  <c r="J113" i="78" s="1"/>
  <c r="F37" i="79"/>
  <c r="BB98" i="75" s="1"/>
  <c r="BK204" i="79"/>
  <c r="F35" i="79"/>
  <c r="AZ98" i="75" s="1"/>
  <c r="F39" i="79"/>
  <c r="BD98" i="75" s="1"/>
  <c r="BK134" i="79"/>
  <c r="F36" i="79"/>
  <c r="BA98" i="75" s="1"/>
  <c r="F38" i="80"/>
  <c r="BC99" i="75" s="1"/>
  <c r="BK237" i="80"/>
  <c r="J237" i="80" s="1"/>
  <c r="J100" i="80" s="1"/>
  <c r="BK277" i="80"/>
  <c r="BK276" i="80" s="1"/>
  <c r="J276" i="80" s="1"/>
  <c r="J103" i="80" s="1"/>
  <c r="BK260" i="80"/>
  <c r="J260" i="80" s="1"/>
  <c r="J101" i="80" s="1"/>
  <c r="F35" i="81"/>
  <c r="AZ100" i="75" s="1"/>
  <c r="F38" i="81"/>
  <c r="BC100" i="75" s="1"/>
  <c r="P726" i="76"/>
  <c r="BK1069" i="76"/>
  <c r="BK219" i="76"/>
  <c r="J109" i="76"/>
  <c r="R718" i="76"/>
  <c r="T1032" i="76"/>
  <c r="R767" i="76"/>
  <c r="R1054" i="76"/>
  <c r="R726" i="76"/>
  <c r="T1108" i="76"/>
  <c r="T675" i="76"/>
  <c r="BK734" i="76"/>
  <c r="F38" i="76"/>
  <c r="BC95" i="75" s="1"/>
  <c r="P734" i="76"/>
  <c r="R1021" i="76"/>
  <c r="P1069" i="76"/>
  <c r="R1115" i="76"/>
  <c r="P219" i="76"/>
  <c r="P442" i="76"/>
  <c r="T859" i="76"/>
  <c r="R950" i="76"/>
  <c r="BK1032" i="76"/>
  <c r="R1069" i="76"/>
  <c r="P950" i="76"/>
  <c r="J110" i="76"/>
  <c r="P149" i="76"/>
  <c r="E85" i="76"/>
  <c r="R149" i="76"/>
  <c r="J36" i="76"/>
  <c r="AW95" i="75" s="1"/>
  <c r="R368" i="76"/>
  <c r="T534" i="76"/>
  <c r="P534" i="76"/>
  <c r="BK534" i="76"/>
  <c r="P859" i="76"/>
  <c r="BK1021" i="76"/>
  <c r="J114" i="76"/>
  <c r="R1124" i="76"/>
  <c r="T368" i="76"/>
  <c r="R442" i="76"/>
  <c r="R534" i="76"/>
  <c r="P718" i="76"/>
  <c r="T734" i="76"/>
  <c r="T1054" i="76"/>
  <c r="P1108" i="76"/>
  <c r="J100" i="76"/>
  <c r="J143" i="76"/>
  <c r="T442" i="76"/>
  <c r="R1108" i="76"/>
  <c r="BK1108" i="76"/>
  <c r="P1115" i="76"/>
  <c r="J35" i="76"/>
  <c r="AV95" i="75" s="1"/>
  <c r="R219" i="76"/>
  <c r="T726" i="76"/>
  <c r="R1088" i="76"/>
  <c r="P1088" i="76"/>
  <c r="BK1088" i="76"/>
  <c r="T1115" i="76"/>
  <c r="T219" i="76"/>
  <c r="T767" i="76"/>
  <c r="P1032" i="76"/>
  <c r="T1088" i="76"/>
  <c r="T149" i="76"/>
  <c r="P368" i="76"/>
  <c r="F39" i="76"/>
  <c r="BD95" i="75" s="1"/>
  <c r="F37" i="76"/>
  <c r="BB95" i="75" s="1"/>
  <c r="P675" i="76"/>
  <c r="T718" i="76"/>
  <c r="T1021" i="76"/>
  <c r="P1021" i="76"/>
  <c r="R1032" i="76"/>
  <c r="BK1124" i="76"/>
  <c r="P499" i="78"/>
  <c r="BK499" i="78"/>
  <c r="J499" i="78" s="1"/>
  <c r="J110" i="78" s="1"/>
  <c r="T266" i="78"/>
  <c r="R499" i="78"/>
  <c r="P900" i="78"/>
  <c r="T900" i="78"/>
  <c r="T1605" i="78"/>
  <c r="T1618" i="78"/>
  <c r="T1693" i="78"/>
  <c r="R307" i="78"/>
  <c r="BK478" i="78"/>
  <c r="J478" i="78" s="1"/>
  <c r="J108" i="78" s="1"/>
  <c r="R1632" i="78"/>
  <c r="T1632" i="78"/>
  <c r="P509" i="78"/>
  <c r="T295" i="78"/>
  <c r="R487" i="78"/>
  <c r="T509" i="78"/>
  <c r="BK738" i="78"/>
  <c r="J738" i="78" s="1"/>
  <c r="J114" i="78" s="1"/>
  <c r="BK1618" i="78"/>
  <c r="J1618" i="78" s="1"/>
  <c r="J117" i="78" s="1"/>
  <c r="R1859" i="78"/>
  <c r="BK171" i="78"/>
  <c r="J171" i="78" s="1"/>
  <c r="J99" i="78" s="1"/>
  <c r="R738" i="78"/>
  <c r="J142" i="78"/>
  <c r="T171" i="78"/>
  <c r="F35" i="78"/>
  <c r="AZ97" i="75" s="1"/>
  <c r="BK1605" i="78"/>
  <c r="J1605" i="78" s="1"/>
  <c r="J116" i="78" s="1"/>
  <c r="P266" i="78"/>
  <c r="BK266" i="78"/>
  <c r="BK295" i="78"/>
  <c r="J295" i="78" s="1"/>
  <c r="J105" i="78" s="1"/>
  <c r="P554" i="78"/>
  <c r="R1618" i="78"/>
  <c r="P1693" i="78"/>
  <c r="BK1693" i="78"/>
  <c r="J1693" i="78" s="1"/>
  <c r="J119" i="78" s="1"/>
  <c r="T272" i="78"/>
  <c r="F39" i="78"/>
  <c r="BD97" i="75" s="1"/>
  <c r="T554" i="78"/>
  <c r="R266" i="78"/>
  <c r="R295" i="78"/>
  <c r="T307" i="78"/>
  <c r="T487" i="78"/>
  <c r="P577" i="78"/>
  <c r="BK319" i="78"/>
  <c r="J319" i="78" s="1"/>
  <c r="J107" i="78" s="1"/>
  <c r="J91" i="78"/>
  <c r="R150" i="78"/>
  <c r="P1605" i="78"/>
  <c r="BK1859" i="78"/>
  <c r="J1859" i="78" s="1"/>
  <c r="J120" i="78" s="1"/>
  <c r="BK150" i="78"/>
  <c r="P171" i="78"/>
  <c r="R190" i="78"/>
  <c r="R272" i="78"/>
  <c r="BK509" i="78"/>
  <c r="J509" i="78" s="1"/>
  <c r="J111" i="78" s="1"/>
  <c r="T577" i="78"/>
  <c r="BK900" i="78"/>
  <c r="J900" i="78" s="1"/>
  <c r="J115" i="78" s="1"/>
  <c r="T319" i="78"/>
  <c r="P319" i="78"/>
  <c r="J150" i="78"/>
  <c r="J98" i="78" s="1"/>
  <c r="F36" i="76"/>
  <c r="BA95" i="75" s="1"/>
  <c r="J92" i="76"/>
  <c r="F38" i="77"/>
  <c r="BC96" i="75" s="1"/>
  <c r="T132" i="77"/>
  <c r="T131" i="77" s="1"/>
  <c r="P166" i="77"/>
  <c r="T256" i="77"/>
  <c r="R316" i="77"/>
  <c r="F37" i="78"/>
  <c r="BB97" i="75" s="1"/>
  <c r="J132" i="77"/>
  <c r="J98" i="77" s="1"/>
  <c r="BK131" i="77"/>
  <c r="F38" i="78"/>
  <c r="BC97" i="75" s="1"/>
  <c r="J36" i="78"/>
  <c r="AW97" i="75" s="1"/>
  <c r="J141" i="76"/>
  <c r="J36" i="77"/>
  <c r="AW96" i="75" s="1"/>
  <c r="F36" i="77"/>
  <c r="BA96" i="75" s="1"/>
  <c r="BK330" i="77"/>
  <c r="J330" i="77" s="1"/>
  <c r="J106" i="77" s="1"/>
  <c r="J266" i="78"/>
  <c r="J103" i="78" s="1"/>
  <c r="R675" i="76"/>
  <c r="T166" i="77"/>
  <c r="R215" i="77"/>
  <c r="R166" i="77" s="1"/>
  <c r="R130" i="77" s="1"/>
  <c r="P1054" i="76"/>
  <c r="T176" i="77"/>
  <c r="BK190" i="78"/>
  <c r="J190" i="78" s="1"/>
  <c r="J100" i="78" s="1"/>
  <c r="BK272" i="78"/>
  <c r="J272" i="78" s="1"/>
  <c r="J104" i="78" s="1"/>
  <c r="R319" i="78"/>
  <c r="F35" i="76"/>
  <c r="AZ95" i="75" s="1"/>
  <c r="R734" i="76"/>
  <c r="R859" i="76"/>
  <c r="T950" i="76"/>
  <c r="E85" i="77"/>
  <c r="E120" i="77"/>
  <c r="J35" i="77"/>
  <c r="AV96" i="75" s="1"/>
  <c r="BK176" i="77"/>
  <c r="P256" i="77"/>
  <c r="BK256" i="77"/>
  <c r="J256" i="77" s="1"/>
  <c r="J104" i="77" s="1"/>
  <c r="J35" i="78"/>
  <c r="AV97" i="75" s="1"/>
  <c r="P150" i="78"/>
  <c r="R171" i="78"/>
  <c r="P190" i="78"/>
  <c r="P272" i="78"/>
  <c r="BK307" i="78"/>
  <c r="J307" i="78" s="1"/>
  <c r="J106" i="78" s="1"/>
  <c r="P767" i="76"/>
  <c r="J108" i="76"/>
  <c r="P132" i="77"/>
  <c r="P131" i="77" s="1"/>
  <c r="P130" i="77" s="1"/>
  <c r="AU96" i="75" s="1"/>
  <c r="P176" i="77"/>
  <c r="F36" i="78"/>
  <c r="BA97" i="75" s="1"/>
  <c r="T150" i="78"/>
  <c r="T190" i="78"/>
  <c r="P307" i="78"/>
  <c r="J145" i="78"/>
  <c r="J35" i="79"/>
  <c r="AV98" i="75" s="1"/>
  <c r="J36" i="80"/>
  <c r="AW99" i="75" s="1"/>
  <c r="F39" i="80"/>
  <c r="BD99" i="75" s="1"/>
  <c r="P169" i="80"/>
  <c r="E138" i="78"/>
  <c r="P478" i="78"/>
  <c r="R900" i="78"/>
  <c r="R135" i="80"/>
  <c r="F35" i="77"/>
  <c r="AZ96" i="75" s="1"/>
  <c r="J91" i="77"/>
  <c r="T499" i="78"/>
  <c r="BK554" i="78"/>
  <c r="J554" i="78" s="1"/>
  <c r="J112" i="78" s="1"/>
  <c r="J35" i="80"/>
  <c r="AV99" i="75" s="1"/>
  <c r="F35" i="80"/>
  <c r="AZ99" i="75" s="1"/>
  <c r="T276" i="80"/>
  <c r="J35" i="81"/>
  <c r="AV100" i="75" s="1"/>
  <c r="J36" i="81"/>
  <c r="AW100" i="75" s="1"/>
  <c r="P738" i="78"/>
  <c r="P1859" i="78"/>
  <c r="F38" i="79"/>
  <c r="BC98" i="75" s="1"/>
  <c r="J36" i="79"/>
  <c r="AW98" i="75" s="1"/>
  <c r="R237" i="80"/>
  <c r="T260" i="80"/>
  <c r="R1693" i="78"/>
  <c r="P133" i="79"/>
  <c r="P132" i="79" s="1"/>
  <c r="AU98" i="75" s="1"/>
  <c r="J134" i="79"/>
  <c r="J98" i="79" s="1"/>
  <c r="BK133" i="79"/>
  <c r="F37" i="80"/>
  <c r="BB99" i="75" s="1"/>
  <c r="T478" i="78"/>
  <c r="R577" i="78"/>
  <c r="T738" i="78"/>
  <c r="P1632" i="78"/>
  <c r="BK1632" i="78"/>
  <c r="J1632" i="78" s="1"/>
  <c r="J118" i="78" s="1"/>
  <c r="T1859" i="78"/>
  <c r="R277" i="80"/>
  <c r="R276" i="80" s="1"/>
  <c r="J30" i="81"/>
  <c r="J32" i="81" s="1"/>
  <c r="J106" i="81"/>
  <c r="R509" i="78"/>
  <c r="T134" i="79"/>
  <c r="T133" i="79" s="1"/>
  <c r="T132" i="79" s="1"/>
  <c r="J204" i="79"/>
  <c r="J104" i="79" s="1"/>
  <c r="BK203" i="79"/>
  <c r="J203" i="79" s="1"/>
  <c r="J103" i="79" s="1"/>
  <c r="J91" i="80"/>
  <c r="F36" i="81"/>
  <c r="BA100" i="75" s="1"/>
  <c r="J92" i="81"/>
  <c r="J126" i="79"/>
  <c r="E85" i="81"/>
  <c r="F36" i="80"/>
  <c r="BA99" i="75" s="1"/>
  <c r="J92" i="80"/>
  <c r="J128" i="79"/>
  <c r="E85" i="80"/>
  <c r="J89" i="81"/>
  <c r="J1108" i="76" l="1"/>
  <c r="J117" i="76" s="1"/>
  <c r="J1069" i="76"/>
  <c r="J115" i="76" s="1"/>
  <c r="J118" i="76"/>
  <c r="J1115" i="76"/>
  <c r="J119" i="76"/>
  <c r="J1124" i="76"/>
  <c r="J1021" i="76"/>
  <c r="J112" i="76" s="1"/>
  <c r="J734" i="76"/>
  <c r="J107" i="76" s="1"/>
  <c r="J1032" i="76"/>
  <c r="J113" i="76" s="1"/>
  <c r="J534" i="76"/>
  <c r="J102" i="76" s="1"/>
  <c r="J1088" i="76"/>
  <c r="J116" i="76" s="1"/>
  <c r="J726" i="76"/>
  <c r="J105" i="76" s="1"/>
  <c r="J219" i="76"/>
  <c r="J99" i="76" s="1"/>
  <c r="J104" i="76"/>
  <c r="R134" i="80"/>
  <c r="R133" i="80" s="1"/>
  <c r="T134" i="80"/>
  <c r="T133" i="80" s="1"/>
  <c r="P134" i="80"/>
  <c r="P133" i="80" s="1"/>
  <c r="AU99" i="75" s="1"/>
  <c r="J277" i="80"/>
  <c r="J104" i="80" s="1"/>
  <c r="P148" i="76"/>
  <c r="AT95" i="75"/>
  <c r="BK148" i="76"/>
  <c r="AT96" i="75"/>
  <c r="J98" i="76"/>
  <c r="T148" i="76"/>
  <c r="R148" i="76"/>
  <c r="R733" i="76"/>
  <c r="BK733" i="76"/>
  <c r="P733" i="76"/>
  <c r="BB94" i="75"/>
  <c r="W34" i="75" s="1"/>
  <c r="T733" i="76"/>
  <c r="R149" i="78"/>
  <c r="T149" i="78"/>
  <c r="BD94" i="75"/>
  <c r="W36" i="75" s="1"/>
  <c r="P149" i="78"/>
  <c r="R265" i="78"/>
  <c r="R148" i="78" s="1"/>
  <c r="BK265" i="78"/>
  <c r="J265" i="78" s="1"/>
  <c r="J102" i="78" s="1"/>
  <c r="T265" i="78"/>
  <c r="T148" i="78" s="1"/>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J733" i="76" l="1"/>
  <c r="J106" i="76" s="1"/>
  <c r="J148" i="76"/>
  <c r="J147" i="76" s="1"/>
  <c r="J96" i="76" s="1"/>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28" i="76" l="1"/>
  <c r="J97" i="76"/>
  <c r="I43" i="4"/>
  <c r="J111" i="77"/>
  <c r="J30" i="77"/>
  <c r="J32" i="77" s="1"/>
  <c r="AK32" i="75"/>
  <c r="AT94" i="75"/>
  <c r="J41" i="79"/>
  <c r="AG98" i="75"/>
  <c r="J30" i="80"/>
  <c r="J32" i="80" s="1"/>
  <c r="J114" i="80"/>
  <c r="J30" i="78"/>
  <c r="J32" i="78" s="1"/>
  <c r="J129" i="78"/>
  <c r="J30" i="76" l="1"/>
  <c r="J32" i="76" s="1"/>
  <c r="J41" i="76" s="1"/>
  <c r="AN98" i="75"/>
  <c r="G41" i="4"/>
  <c r="I41" i="4" s="1"/>
  <c r="J41" i="77"/>
  <c r="AG96" i="75"/>
  <c r="J41" i="78"/>
  <c r="AG97" i="75"/>
  <c r="J41" i="80"/>
  <c r="AG99" i="75"/>
  <c r="F771" i="42"/>
  <c r="H771" i="42" s="1"/>
  <c r="F519" i="42"/>
  <c r="H519" i="42" s="1"/>
  <c r="AG95" i="75" l="1"/>
  <c r="F38" i="4" s="1"/>
  <c r="H38" i="4" s="1"/>
  <c r="AN95" i="75"/>
  <c r="AN96" i="75"/>
  <c r="F39" i="4"/>
  <c r="H39" i="4" s="1"/>
  <c r="AN99" i="75"/>
  <c r="G42" i="4"/>
  <c r="AN97" i="75"/>
  <c r="F40" i="4"/>
  <c r="AG94" i="75"/>
  <c r="F1088" i="69"/>
  <c r="H1088" i="69" s="1"/>
  <c r="I42" i="4" l="1"/>
  <c r="I37" i="4" s="1"/>
  <c r="G37" i="4"/>
  <c r="H40" i="4"/>
  <c r="H37" i="4" s="1"/>
  <c r="F37" i="4"/>
  <c r="AN94" i="75"/>
  <c r="AN104" i="75" s="1"/>
  <c r="AK26" i="75"/>
  <c r="AK29" i="75" s="1"/>
  <c r="AK38" i="75" s="1"/>
  <c r="AG104" i="75"/>
  <c r="F258" i="59"/>
  <c r="H258" i="59" s="1"/>
  <c r="H147" i="43"/>
  <c r="F274" i="73" l="1"/>
  <c r="H274" i="73" s="1"/>
  <c r="F447" i="57" l="1"/>
  <c r="H447"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2" i="4" s="1"/>
  <c r="I52"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5" i="58"/>
  <c r="H85" i="58" s="1"/>
  <c r="F467" i="57"/>
  <c r="I467" i="57" s="1"/>
  <c r="I440" i="57" s="1"/>
  <c r="I7" i="57" s="1"/>
  <c r="I480" i="57" s="1"/>
  <c r="I483" i="57" s="1"/>
  <c r="G50" i="4" s="1"/>
  <c r="H8" i="72" l="1"/>
  <c r="H251" i="72" s="1"/>
  <c r="H253" i="72" s="1"/>
  <c r="C9" i="70" s="1"/>
  <c r="C10" i="70" s="1"/>
  <c r="I50" i="4"/>
  <c r="F584" i="59"/>
  <c r="H584" i="59" s="1"/>
  <c r="F1469" i="69"/>
  <c r="H1469" i="69" s="1"/>
  <c r="F52" i="4" l="1"/>
  <c r="H52" i="4" s="1"/>
  <c r="F1508" i="69"/>
  <c r="H1508" i="69" s="1"/>
  <c r="H1507" i="69"/>
  <c r="F1503" i="69"/>
  <c r="H1503" i="69" s="1"/>
  <c r="F1493" i="69"/>
  <c r="F1491" i="69"/>
  <c r="F1489" i="69" s="1"/>
  <c r="H1489" i="69" s="1"/>
  <c r="F1486" i="69"/>
  <c r="I1486" i="69" s="1"/>
  <c r="I1460" i="69" s="1"/>
  <c r="I7" i="69" s="1"/>
  <c r="I1511" i="69" s="1"/>
  <c r="I1514" i="69" s="1"/>
  <c r="G46" i="4" s="1"/>
  <c r="I46"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H46" i="69" s="1"/>
  <c r="F43" i="69"/>
  <c r="H43" i="69" s="1"/>
  <c r="F40" i="69"/>
  <c r="H40" i="69" s="1"/>
  <c r="F37" i="69"/>
  <c r="H37" i="69" s="1"/>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6" i="4" s="1"/>
  <c r="H46"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5" i="4" s="1"/>
  <c r="I55"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7" i="4" s="1"/>
  <c r="I47"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7" i="4" s="1"/>
  <c r="H47"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1" i="4" s="1"/>
  <c r="H51" i="4" s="1"/>
  <c r="F477" i="57" l="1"/>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0" i="4" s="1"/>
  <c r="H50"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8" i="4" s="1"/>
  <c r="H48"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5" i="4" s="1"/>
  <c r="H45"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4"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4"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4" i="4" s="1"/>
  <c r="H44"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H54" i="33" s="1"/>
  <c r="F47" i="33"/>
  <c r="H47" i="33" s="1"/>
  <c r="F40" i="33"/>
  <c r="H40" i="33" s="1"/>
  <c r="F34" i="33"/>
  <c r="H34" i="33" s="1"/>
  <c r="F28" i="33"/>
  <c r="H28" i="33" s="1"/>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3" i="4" s="1"/>
  <c r="I53"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4"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4"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6" i="4" s="1"/>
  <c r="H56"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7" i="4" s="1"/>
  <c r="I57"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8"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8"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59"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59"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0"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0"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2"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2"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3" i="4" s="1"/>
  <c r="H63"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4"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4"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5" i="4" s="1"/>
  <c r="G68" i="4" s="1"/>
  <c r="H93" i="16"/>
  <c r="F27" i="9"/>
  <c r="F66" i="4" s="1"/>
  <c r="F68" i="4" s="1"/>
  <c r="H66" i="4" l="1"/>
  <c r="H68" i="4" s="1"/>
  <c r="I21" i="4"/>
  <c r="I65" i="4"/>
  <c r="I22" i="4" l="1"/>
  <c r="I23" i="4" s="1"/>
  <c r="I36" i="4"/>
  <c r="I68" i="4" s="1"/>
  <c r="I24" i="4"/>
  <c r="I25" i="4" l="1"/>
  <c r="I26" i="4" s="1"/>
  <c r="I28" i="4" s="1"/>
  <c r="I27" i="4"/>
</calcChain>
</file>

<file path=xl/sharedStrings.xml><?xml version="1.0" encoding="utf-8"?>
<sst xmlns="http://schemas.openxmlformats.org/spreadsheetml/2006/main" count="57178" uniqueCount="11728">
  <si>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</si>
  <si>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</si>
  <si>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</si>
  <si>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</si>
  <si>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</si>
  <si>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</si>
  <si>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</si>
  <si>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</si>
  <si>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</si>
  <si>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</si>
  <si>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</si>
  <si>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</si>
  <si>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</si>
  <si>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</si>
  <si>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</si>
  <si>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</si>
  <si>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</si>
  <si>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</si>
  <si>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</si>
  <si>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</si>
  <si>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</si>
  <si>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</si>
  <si>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</si>
  <si>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</si>
  <si>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</si>
  <si>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</si>
  <si>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</si>
  <si>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</si>
  <si>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</si>
  <si>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</si>
  <si>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</si>
  <si>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</si>
  <si>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</si>
  <si>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</si>
  <si>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</si>
  <si>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</si>
  <si>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</si>
  <si>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</si>
  <si>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</si>
  <si>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</si>
  <si>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</si>
  <si>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</si>
  <si>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</si>
  <si>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</si>
  <si>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</si>
  <si>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</si>
  <si>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</si>
  <si>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</si>
  <si>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</si>
  <si>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</si>
  <si>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</si>
  <si>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</si>
  <si>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</si>
  <si>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</si>
  <si>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</si>
  <si>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</si>
  <si>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</si>
  <si>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</si>
  <si>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</si>
  <si>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</si>
  <si>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</si>
  <si>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</si>
  <si>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</si>
  <si>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</si>
  <si>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</si>
  <si>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</si>
  <si>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</si>
  <si>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</si>
  <si>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</si>
  <si>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</si>
  <si>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</si>
  <si>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</si>
  <si>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</si>
  <si>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</si>
  <si>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</si>
  <si>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</si>
  <si>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</si>
  <si>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</si>
  <si>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</si>
  <si>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</si>
  <si>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</si>
  <si>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</si>
  <si>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</si>
  <si>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</si>
  <si>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</si>
  <si>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</si>
  <si>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</si>
  <si>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</si>
  <si>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</si>
  <si>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</si>
  <si>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</si>
  <si>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</si>
  <si>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</si>
  <si>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</si>
  <si>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</si>
  <si>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</si>
  <si>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</si>
  <si>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</si>
  <si>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</si>
  <si>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</si>
  <si>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</si>
  <si>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</si>
  <si>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</si>
  <si>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</si>
  <si>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</si>
  <si>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</si>
  <si>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</si>
  <si>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</si>
  <si>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</si>
  <si>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</si>
  <si>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</si>
  <si>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</si>
  <si>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</si>
  <si>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</si>
  <si>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</si>
  <si>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</si>
  <si>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</si>
  <si>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</si>
  <si>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</si>
  <si>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</si>
  <si>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</si>
  <si>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</si>
  <si>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</si>
  <si>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</si>
  <si>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</si>
  <si>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</si>
  <si>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</si>
  <si>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</si>
  <si>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</si>
  <si>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</si>
  <si>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</si>
  <si>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</si>
  <si>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</si>
  <si>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</si>
  <si>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</si>
  <si>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</si>
  <si>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</si>
  <si>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</si>
  <si>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</si>
  <si>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</si>
  <si>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</si>
  <si>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</si>
  <si>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</si>
  <si>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</si>
  <si>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</si>
  <si>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</si>
  <si>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</si>
  <si>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</si>
  <si>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</si>
  <si>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</si>
  <si>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</si>
  <si>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</si>
  <si>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</si>
  <si>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</si>
  <si>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</si>
  <si>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</si>
  <si>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</si>
  <si>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</si>
  <si>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</si>
  <si>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</si>
  <si>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</si>
  <si>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</si>
  <si>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</si>
  <si>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</si>
  <si>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</si>
  <si>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</si>
  <si>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</si>
  <si>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</si>
  <si>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</si>
  <si>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</si>
  <si>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</si>
  <si>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</si>
  <si>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</si>
  <si>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</si>
  <si>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</si>
  <si>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</si>
  <si>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</si>
  <si>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</si>
  <si>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</si>
  <si>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</si>
  <si>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</si>
  <si>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</si>
  <si>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</si>
  <si>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</si>
  <si>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</si>
  <si>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</si>
  <si>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</si>
  <si>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</si>
  <si>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</si>
  <si>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</si>
  <si>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</si>
  <si>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</si>
  <si>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</si>
  <si>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</si>
  <si>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</si>
  <si>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</si>
  <si>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</si>
  <si>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</si>
  <si>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</si>
  <si>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</si>
  <si>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</si>
  <si>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</si>
  <si>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</si>
  <si>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</si>
  <si>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</si>
  <si>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</si>
  <si>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</si>
  <si>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</si>
  <si>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</si>
  <si>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</si>
  <si>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</si>
  <si>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</si>
  <si>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</si>
  <si>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</si>
  <si>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</si>
  <si>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</si>
  <si>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</si>
  <si>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</si>
  <si>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</si>
  <si>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</si>
  <si>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</si>
  <si>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</si>
  <si>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</si>
  <si>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</si>
  <si>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</si>
  <si>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</si>
  <si>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</si>
  <si>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</si>
  <si>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</si>
  <si>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</si>
  <si>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</si>
  <si>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</si>
  <si>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</si>
  <si>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</si>
  <si>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</si>
  <si>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</si>
  <si>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</si>
  <si>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</si>
  <si>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</si>
  <si>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</si>
  <si>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</si>
  <si>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</si>
  <si>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</si>
  <si>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</si>
  <si>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</si>
  <si>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</si>
  <si>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</si>
  <si>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</si>
  <si>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</si>
  <si>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</si>
  <si>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</si>
  <si>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</si>
  <si>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</si>
  <si>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</si>
  <si>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</si>
  <si>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</si>
  <si>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</si>
  <si>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</si>
  <si>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</si>
  <si>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</si>
  <si>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</si>
  <si>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</si>
  <si>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</si>
  <si>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</si>
  <si>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</si>
  <si>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</si>
  <si>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</si>
  <si>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</si>
  <si>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</si>
  <si>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</si>
  <si>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</si>
  <si>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</si>
  <si>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</si>
  <si>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</si>
  <si>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</si>
  <si>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</si>
  <si>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</si>
  <si>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</si>
  <si>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</si>
  <si>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</si>
  <si>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</si>
  <si>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</si>
  <si>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</si>
  <si>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</si>
  <si>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</si>
  <si>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</si>
  <si>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</si>
  <si>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</si>
  <si>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</si>
  <si>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</si>
  <si>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</si>
  <si>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</si>
  <si>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</si>
  <si>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</si>
  <si>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</si>
  <si>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</si>
  <si>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</si>
  <si>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</si>
  <si>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</si>
  <si>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</si>
  <si>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</si>
  <si>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</si>
  <si>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</si>
  <si>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</si>
  <si>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</si>
  <si>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</si>
  <si>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</si>
  <si>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</si>
  <si>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</si>
  <si>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</si>
  <si>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</si>
  <si>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</si>
  <si>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</si>
  <si>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</si>
  <si>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</si>
  <si>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</si>
  <si>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</si>
  <si>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</si>
  <si>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</si>
  <si>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</si>
  <si>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</si>
  <si>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</si>
  <si>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</si>
  <si>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</si>
  <si>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</si>
  <si>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</si>
  <si>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</si>
  <si>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</si>
  <si>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</si>
  <si>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</si>
  <si>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</si>
  <si>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</si>
  <si>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</si>
  <si>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</si>
  <si>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</si>
  <si>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</si>
  <si>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</si>
  <si>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</si>
  <si>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</si>
  <si>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</si>
  <si>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</si>
  <si>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</si>
  <si>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</si>
  <si>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</si>
  <si>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</si>
  <si>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</si>
  <si>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</si>
  <si>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</si>
  <si>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</si>
  <si>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</si>
  <si>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</si>
  <si>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</si>
  <si>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</si>
  <si>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</si>
  <si>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</si>
  <si>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</si>
  <si>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</si>
  <si>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</si>
  <si>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</si>
  <si>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</si>
  <si>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</si>
  <si>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</si>
  <si>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</si>
  <si>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</si>
  <si>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</si>
  <si>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</si>
  <si>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</si>
  <si>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</si>
  <si>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</si>
  <si>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</si>
  <si>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</si>
  <si>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</si>
  <si>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</si>
  <si>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</si>
  <si>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</si>
  <si>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</si>
  <si>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</si>
  <si>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</si>
  <si>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</si>
  <si>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</si>
  <si>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</si>
  <si>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</si>
  <si>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</si>
  <si>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</si>
  <si>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</si>
  <si>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</si>
  <si>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</si>
  <si>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</si>
  <si>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</si>
  <si>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</si>
  <si>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</si>
  <si>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</si>
  <si>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</si>
  <si>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</si>
  <si>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</si>
  <si>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</si>
  <si>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</si>
  <si>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</si>
  <si>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</si>
  <si>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</si>
  <si>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</si>
  <si>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</si>
  <si>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</si>
  <si>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</si>
  <si>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</si>
  <si>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</si>
  <si>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</si>
  <si>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</si>
  <si>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</si>
  <si>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</si>
  <si>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</si>
  <si>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</si>
  <si>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</si>
  <si>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</si>
  <si>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</si>
  <si>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</si>
  <si>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</si>
  <si>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</si>
  <si>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</si>
  <si>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</si>
  <si>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</si>
  <si>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</si>
  <si>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</si>
  <si>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</si>
  <si>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</si>
  <si>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</si>
  <si>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</si>
  <si>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</si>
  <si>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</si>
  <si>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</si>
  <si>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</si>
  <si>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</si>
  <si>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</si>
  <si>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</si>
  <si>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</si>
  <si>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</si>
  <si>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</si>
  <si>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</si>
  <si>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</si>
  <si>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</si>
  <si>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</si>
  <si>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</si>
  <si>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</si>
  <si>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</si>
  <si>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</si>
  <si>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</si>
  <si>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</si>
  <si>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</si>
  <si>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</si>
  <si>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</si>
  <si>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</si>
  <si>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</si>
  <si>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</si>
  <si>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</si>
  <si>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</si>
  <si>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</si>
  <si>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</si>
  <si>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</si>
  <si>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</si>
  <si>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</si>
  <si>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</si>
  <si>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</si>
  <si>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</si>
  <si>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</si>
  <si>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</si>
  <si>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</si>
  <si>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</si>
  <si>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</si>
  <si>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</si>
  <si>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</si>
  <si>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</si>
  <si>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</si>
  <si>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</si>
  <si>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</si>
  <si>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</si>
  <si>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</si>
  <si>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</si>
  <si>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</si>
  <si>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</si>
  <si>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</si>
  <si>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</si>
  <si>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</si>
  <si>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</si>
  <si>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</si>
  <si>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</si>
  <si>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</si>
  <si>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</si>
  <si>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</si>
  <si>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</si>
  <si>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</si>
  <si>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</si>
  <si>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</si>
  <si>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</si>
  <si>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</si>
  <si>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</si>
  <si>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</si>
  <si>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</si>
  <si>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</si>
  <si>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</si>
  <si>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</si>
  <si>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</si>
  <si>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</si>
  <si>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</si>
  <si>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</si>
  <si>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</si>
  <si>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</si>
  <si>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</si>
  <si>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</si>
  <si>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</si>
  <si>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</si>
  <si>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</si>
  <si>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</si>
  <si>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</si>
  <si>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</si>
  <si>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</si>
  <si>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</si>
  <si>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</si>
  <si>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</si>
  <si>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</si>
  <si>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</si>
  <si>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</si>
  <si>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</si>
  <si>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</si>
  <si>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</si>
  <si>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</si>
  <si>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</si>
  <si>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</si>
  <si>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</si>
  <si>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</si>
  <si>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</si>
  <si>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</si>
  <si>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</si>
  <si>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</si>
  <si>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</si>
  <si>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</si>
  <si>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</si>
  <si>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</si>
  <si>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</si>
  <si>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</si>
  <si>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</si>
  <si>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</si>
  <si>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</si>
  <si>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</si>
  <si>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</si>
  <si>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</si>
  <si>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</si>
  <si>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</si>
  <si>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</si>
  <si>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</si>
  <si>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</si>
  <si>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</si>
  <si>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</si>
  <si>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</si>
  <si>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</si>
  <si>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</si>
  <si>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</si>
  <si>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</si>
  <si>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</si>
  <si>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</si>
  <si>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</si>
  <si>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</si>
  <si>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</si>
  <si>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</si>
  <si>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</si>
  <si>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</si>
  <si>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</si>
  <si>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</si>
  <si>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</si>
  <si>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</si>
  <si>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</si>
  <si>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</si>
  <si>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</si>
  <si>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</si>
  <si>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</si>
  <si>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</si>
  <si>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</si>
  <si>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</si>
  <si>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</si>
  <si>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</si>
  <si>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</si>
  <si>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</si>
  <si>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</si>
  <si>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</si>
  <si>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</si>
  <si>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</si>
  <si>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</si>
  <si>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</si>
  <si>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</si>
  <si>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</si>
  <si>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</si>
  <si>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</si>
  <si>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</si>
  <si>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</si>
  <si>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</si>
  <si>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</si>
  <si>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</si>
  <si>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</si>
  <si>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</si>
  <si>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</si>
  <si>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</si>
  <si>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</si>
  <si>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</si>
  <si>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</si>
  <si>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</si>
  <si>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</si>
  <si>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</si>
  <si>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</si>
  <si>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</si>
  <si>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</si>
  <si>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</si>
  <si>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</si>
  <si>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</si>
  <si>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</si>
  <si>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</si>
  <si>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</si>
  <si>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</si>
  <si>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</si>
  <si>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</si>
  <si>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</si>
  <si>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</si>
  <si>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</si>
  <si>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</si>
  <si>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</si>
  <si>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</si>
  <si>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</si>
  <si>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</si>
  <si>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</si>
  <si>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</si>
  <si>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</si>
  <si>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</si>
  <si>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</si>
  <si>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</si>
  <si>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</si>
  <si>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</si>
  <si>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</si>
  <si>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</si>
  <si>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</si>
  <si>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</si>
  <si>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</si>
  <si>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</si>
  <si>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</si>
  <si>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</si>
  <si>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</si>
  <si>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</si>
  <si>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</si>
  <si>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</si>
  <si>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</si>
  <si>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</si>
  <si>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</si>
  <si>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</si>
  <si>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</si>
  <si>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</si>
  <si>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</si>
  <si>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</si>
  <si>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</si>
  <si>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</si>
  <si>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</si>
  <si>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</si>
  <si>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</si>
  <si>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</si>
  <si>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</si>
  <si>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</si>
  <si>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</si>
  <si>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</si>
  <si>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</si>
  <si>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</si>
  <si>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</si>
  <si>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</si>
  <si>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</si>
  <si>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</si>
  <si>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</si>
  <si>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</si>
  <si>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</si>
  <si>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</si>
  <si>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</si>
  <si>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</si>
  <si>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</si>
  <si>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</si>
  <si>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</si>
  <si>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</si>
  <si>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</si>
  <si>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</si>
  <si>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</si>
  <si>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</si>
  <si>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</si>
  <si>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</si>
  <si>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</si>
  <si>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</si>
  <si>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</si>
  <si>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</si>
  <si>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</si>
  <si>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</si>
  <si>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</si>
  <si>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</si>
  <si>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</si>
  <si>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</si>
  <si>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</si>
  <si>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</si>
  <si>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</si>
  <si>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</si>
  <si>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</si>
  <si>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</si>
  <si>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</si>
  <si>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</si>
  <si>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</si>
  <si>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</si>
  <si>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</si>
  <si>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</si>
  <si>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</si>
  <si>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</si>
  <si>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</si>
  <si>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</si>
  <si>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</si>
  <si>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</si>
  <si>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</si>
  <si>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</si>
  <si>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</si>
  <si>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</si>
  <si>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</si>
  <si>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</si>
  <si>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</si>
  <si>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</si>
  <si>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</si>
  <si>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</si>
  <si>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</si>
  <si>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</si>
  <si>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</si>
  <si>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</si>
  <si>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</si>
  <si>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</si>
  <si>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</si>
  <si>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</si>
  <si>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</si>
  <si>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</si>
  <si>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</si>
  <si>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</si>
  <si>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</si>
  <si>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</si>
  <si>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</si>
  <si>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</si>
  <si>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</si>
  <si>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</si>
  <si>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</si>
  <si>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</si>
  <si>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</si>
  <si>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</si>
  <si>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</si>
  <si>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</si>
  <si>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</si>
  <si>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</si>
  <si>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</si>
  <si>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</si>
  <si>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</si>
  <si>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</si>
  <si>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</si>
  <si>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</si>
  <si>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</si>
  <si>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</si>
  <si>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</si>
  <si>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</si>
  <si>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</si>
  <si>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</si>
  <si>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</si>
  <si>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</si>
  <si>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</si>
  <si>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</si>
  <si>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</si>
  <si>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</si>
  <si>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</si>
  <si>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</si>
  <si>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</si>
  <si>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</si>
  <si>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</si>
  <si>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</si>
  <si>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</si>
  <si>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</si>
  <si>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</si>
  <si>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</si>
  <si>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</si>
  <si>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</si>
  <si>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</si>
  <si>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</si>
  <si>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</si>
  <si>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</si>
  <si>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</si>
  <si>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</si>
  <si>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</si>
  <si>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</si>
  <si>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</si>
  <si>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</si>
  <si>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</si>
  <si>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</si>
  <si>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</si>
  <si>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</si>
  <si>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</si>
  <si>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</si>
  <si>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</si>
  <si>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</si>
  <si>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</si>
  <si>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</si>
  <si>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</si>
  <si>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</si>
  <si>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</si>
  <si>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</si>
  <si>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</si>
  <si>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</si>
  <si>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</si>
  <si>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</si>
  <si>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</si>
  <si>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</si>
  <si>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</si>
  <si>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</si>
  <si>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</si>
  <si>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</si>
  <si>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</si>
  <si>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</si>
  <si>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</si>
  <si>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</si>
  <si>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</si>
  <si>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</si>
  <si>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</si>
  <si>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</si>
  <si>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</si>
  <si>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</si>
  <si>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</si>
  <si>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</si>
  <si>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</si>
  <si>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</si>
  <si>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</si>
  <si>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</si>
  <si>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</si>
  <si>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</si>
  <si>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</si>
  <si>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</si>
  <si>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</si>
  <si>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</si>
  <si>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</si>
  <si>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</si>
  <si>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</si>
  <si>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</si>
  <si>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</si>
  <si>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</si>
  <si>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</si>
  <si>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</si>
  <si>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</si>
  <si>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</si>
  <si>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</si>
  <si>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</si>
  <si>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</si>
  <si>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</si>
  <si>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</si>
  <si>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</si>
  <si>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</si>
  <si>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</si>
  <si>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</si>
  <si>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</si>
  <si>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</si>
  <si>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</si>
  <si>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</si>
  <si>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</si>
  <si>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</si>
  <si>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</si>
  <si>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</si>
  <si>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</si>
  <si>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</si>
  <si>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</si>
  <si>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</si>
  <si>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</si>
  <si>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</si>
  <si>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</si>
  <si>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</si>
  <si>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</si>
  <si>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</si>
  <si>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</si>
  <si>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</si>
  <si>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</si>
  <si>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</si>
  <si>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</si>
  <si>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</si>
  <si>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</si>
  <si>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</si>
  <si>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</si>
  <si>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</si>
  <si>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</si>
  <si>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</si>
  <si>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</si>
  <si>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</si>
  <si>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</si>
  <si>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</si>
  <si>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</si>
  <si>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</si>
  <si>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</si>
  <si>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</si>
  <si>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</si>
  <si>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</si>
  <si>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</si>
  <si>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</si>
  <si>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</si>
  <si>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</si>
  <si>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</si>
  <si>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</si>
  <si>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</si>
  <si>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</si>
  <si>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</si>
  <si>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</si>
  <si>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</si>
  <si>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</si>
  <si>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</si>
  <si>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</si>
  <si>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</si>
  <si>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</si>
  <si>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</si>
  <si>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</si>
  <si>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</si>
  <si>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</si>
  <si>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</si>
  <si>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</si>
  <si>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</si>
  <si>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</si>
  <si>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</si>
  <si>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</si>
  <si>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</si>
  <si>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</si>
  <si>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</si>
  <si>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</si>
  <si>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</si>
  <si>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</si>
  <si>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</si>
  <si>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</si>
  <si>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</si>
  <si>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</si>
  <si>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</si>
  <si>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</si>
  <si>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</si>
  <si>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</si>
  <si>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</si>
  <si>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</si>
  <si>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</si>
  <si>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</si>
  <si>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</si>
  <si>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</si>
  <si>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</si>
  <si>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</si>
  <si>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</si>
  <si>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</si>
  <si>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</si>
  <si>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</si>
  <si>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</si>
  <si>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</si>
  <si>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</si>
  <si>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</si>
  <si>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</si>
  <si>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</si>
  <si>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</si>
  <si>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</si>
  <si>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</si>
  <si>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</si>
  <si>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</si>
  <si>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</si>
  <si>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</si>
  <si>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</si>
  <si>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</si>
  <si>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</si>
  <si>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</si>
  <si>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</si>
  <si>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</si>
  <si>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</si>
  <si>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</si>
  <si>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</si>
  <si>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</si>
  <si>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</si>
  <si>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</si>
  <si>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</si>
  <si>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</si>
  <si>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</si>
  <si>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</si>
  <si>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</si>
  <si>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</si>
  <si>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</si>
  <si>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</si>
  <si>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</si>
  <si>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</si>
  <si>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</si>
  <si>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</si>
  <si>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</si>
  <si>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</si>
  <si>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</si>
  <si>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</si>
  <si>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</si>
  <si>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</si>
  <si>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</si>
  <si>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</si>
  <si>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</si>
  <si>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</si>
  <si>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</si>
  <si>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</si>
  <si>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</si>
  <si>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</si>
  <si>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</si>
  <si>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</si>
  <si>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</si>
  <si>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</si>
  <si>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</si>
  <si>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</si>
  <si>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</si>
  <si>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</si>
  <si>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</si>
  <si>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</si>
  <si>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</si>
  <si>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</si>
  <si>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</si>
  <si>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</si>
  <si>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</si>
  <si>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</si>
  <si>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</si>
  <si>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</si>
  <si>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</si>
  <si>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</si>
  <si>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</si>
  <si>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</si>
  <si>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</si>
  <si>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</si>
  <si>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</si>
  <si>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</si>
  <si>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</si>
  <si>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</si>
  <si>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</si>
  <si>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</si>
  <si>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</si>
  <si>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</si>
  <si>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</si>
  <si>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</si>
  <si>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</si>
  <si>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</si>
  <si>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</si>
  <si>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</si>
  <si>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</si>
  <si>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</si>
  <si>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</si>
  <si>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</si>
  <si>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</si>
  <si>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</si>
  <si>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</si>
  <si>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</si>
  <si>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</si>
  <si>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</si>
  <si>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</si>
  <si>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</si>
  <si>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</si>
  <si>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</si>
  <si>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</si>
  <si>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</si>
  <si>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</si>
  <si>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</si>
  <si>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</si>
  <si>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</si>
  <si>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</si>
  <si>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</si>
  <si>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</si>
  <si>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</si>
  <si>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</si>
  <si>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</si>
  <si>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</si>
  <si>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</si>
  <si>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</si>
  <si>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</si>
  <si>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</si>
  <si>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</si>
  <si>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</si>
  <si>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</si>
  <si>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</si>
  <si>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</si>
  <si>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</si>
  <si>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</si>
  <si>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</si>
  <si>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</si>
  <si>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</si>
  <si>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</si>
  <si>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</si>
  <si>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</si>
  <si>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</si>
  <si>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</si>
  <si>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</si>
  <si>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</si>
  <si>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</si>
  <si>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</si>
  <si>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</si>
  <si>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</si>
  <si>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</si>
  <si>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</si>
  <si>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</si>
  <si>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</si>
  <si>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</si>
  <si>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</si>
  <si>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</si>
  <si>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</si>
  <si>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</si>
  <si>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</si>
  <si>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</si>
  <si>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</si>
  <si>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</si>
  <si>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</si>
  <si>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</si>
  <si>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</si>
  <si>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</si>
  <si>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</si>
  <si>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</si>
  <si>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</si>
  <si>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</si>
  <si>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</si>
  <si>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</si>
  <si>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</si>
  <si>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</si>
  <si>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</si>
  <si>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</si>
  <si>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</si>
  <si>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</si>
  <si>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</si>
  <si>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</si>
  <si>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</si>
  <si>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</si>
  <si>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</si>
  <si>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</si>
  <si>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</si>
  <si>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</si>
  <si>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</si>
  <si>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</si>
  <si>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</si>
  <si>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</si>
  <si>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</si>
  <si>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</si>
  <si>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</si>
  <si>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</si>
  <si>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</si>
  <si>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</si>
  <si>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</si>
  <si>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</si>
  <si>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</si>
  <si>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</si>
  <si>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</si>
  <si>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</si>
  <si>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</si>
  <si>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</si>
  <si>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</si>
  <si>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</si>
  <si>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</si>
  <si>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</si>
  <si>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</si>
  <si>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</si>
  <si>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</si>
  <si>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</si>
  <si>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</si>
  <si>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</si>
  <si>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</si>
  <si>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</si>
  <si>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</si>
  <si>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</si>
  <si>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</si>
  <si>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</si>
  <si>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</si>
  <si>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</si>
  <si>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</si>
  <si>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</si>
  <si>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</si>
  <si>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</si>
  <si>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</si>
  <si>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</si>
  <si>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</si>
  <si>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</si>
  <si>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</si>
  <si>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</si>
  <si>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</si>
  <si>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</si>
  <si>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</si>
  <si>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</si>
  <si>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</si>
  <si>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</si>
  <si>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</si>
  <si>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</si>
  <si>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</si>
  <si>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</si>
  <si>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</si>
  <si>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</si>
  <si>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</si>
  <si>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</si>
  <si>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</si>
  <si>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</si>
  <si>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</si>
  <si>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</si>
  <si>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</si>
  <si>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</si>
  <si>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</si>
  <si>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</si>
  <si>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</si>
  <si>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</si>
  <si>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</si>
  <si>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</si>
  <si>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</si>
  <si>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</si>
  <si>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</si>
  <si>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</si>
  <si>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</si>
  <si>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</si>
  <si>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</si>
  <si>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</si>
  <si>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</si>
  <si>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</si>
  <si>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</si>
  <si>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</si>
  <si>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</si>
  <si>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</si>
  <si>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</si>
  <si>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</si>
  <si>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</si>
  <si>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</si>
  <si>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</si>
  <si>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</si>
  <si>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</si>
  <si>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</si>
  <si>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</si>
  <si>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</si>
  <si>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</si>
  <si>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</si>
  <si>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</si>
  <si>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</si>
  <si>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</si>
  <si>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</si>
  <si>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</si>
  <si>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</si>
  <si>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</si>
  <si>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</si>
  <si>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</si>
  <si>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</si>
  <si>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</si>
  <si>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</si>
  <si>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</si>
  <si>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</si>
  <si>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</si>
  <si>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</si>
  <si>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</si>
  <si>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</si>
  <si>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</si>
  <si>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</si>
  <si>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</si>
  <si>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</si>
  <si>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</si>
  <si>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</si>
  <si>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</si>
  <si>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</si>
  <si>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</si>
  <si>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</si>
  <si>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</si>
  <si>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</si>
  <si>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</si>
  <si>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</si>
  <si>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</si>
  <si>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</si>
  <si>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</si>
  <si>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</si>
  <si>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</si>
  <si>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</si>
  <si>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</si>
  <si>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</si>
  <si>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</si>
  <si>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</si>
  <si>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</si>
  <si>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</si>
  <si>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</si>
  <si>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</si>
  <si>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</si>
  <si>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</si>
  <si>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</si>
  <si>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</si>
  <si>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</si>
  <si>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</si>
  <si>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</si>
  <si>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</si>
  <si>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</si>
  <si>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</si>
  <si>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</si>
  <si>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</si>
  <si>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</si>
  <si>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</si>
  <si>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</si>
  <si>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</si>
  <si>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</si>
  <si>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</si>
  <si>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</si>
  <si>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</si>
  <si>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</si>
  <si>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</si>
  <si>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</si>
  <si>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</si>
  <si>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</si>
  <si>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</si>
  <si>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</si>
  <si>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</si>
  <si>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</si>
  <si>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</si>
  <si>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</si>
  <si>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</si>
  <si>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</si>
  <si>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</si>
  <si>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</si>
  <si>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</si>
  <si>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</si>
  <si>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</si>
  <si>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</si>
  <si>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</si>
  <si>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</si>
  <si>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</si>
  <si>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</si>
  <si>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</si>
  <si>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</si>
  <si>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</si>
  <si>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</si>
  <si>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</si>
  <si>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</si>
  <si>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</si>
  <si>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</si>
  <si>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</si>
  <si>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</si>
  <si>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</si>
  <si>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</si>
  <si>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</si>
  <si>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</si>
  <si>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</si>
  <si>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</si>
  <si>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</si>
  <si>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</si>
  <si>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</si>
  <si>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</si>
  <si>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</si>
  <si>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</si>
  <si>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</si>
  <si>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</si>
  <si>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</si>
  <si>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</si>
  <si>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</si>
  <si>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</si>
  <si>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</si>
  <si>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</si>
  <si>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</si>
  <si>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</si>
  <si>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</si>
  <si>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</si>
  <si>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</si>
  <si>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</si>
  <si>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</si>
  <si>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</si>
  <si>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</si>
  <si>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</si>
  <si>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</si>
  <si>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</si>
  <si>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</si>
  <si>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</si>
  <si>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</si>
  <si>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</si>
  <si>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</si>
  <si>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</si>
  <si>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</si>
  <si>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</si>
  <si>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</si>
  <si>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</si>
  <si>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</si>
  <si>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</si>
  <si>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</si>
  <si>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</si>
  <si>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</si>
  <si>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</si>
  <si>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</si>
  <si>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</si>
  <si>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</si>
  <si>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</si>
  <si>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</si>
  <si>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</si>
  <si>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</si>
  <si>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</si>
  <si>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</si>
  <si>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</si>
  <si>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</si>
  <si>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</si>
  <si>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</si>
  <si>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</si>
  <si>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</si>
  <si>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</si>
  <si>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</si>
  <si>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</si>
  <si>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</si>
  <si>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</si>
  <si>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</si>
  <si>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</si>
  <si>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</si>
  <si>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</si>
  <si>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</si>
  <si>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</si>
  <si>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</si>
  <si>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</si>
  <si>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</si>
  <si>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</si>
  <si>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</si>
  <si>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</si>
  <si>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</si>
  <si>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</si>
  <si>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</si>
  <si>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</si>
  <si>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</si>
  <si>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</si>
  <si>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</si>
  <si>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</si>
  <si>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</si>
  <si>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</si>
  <si>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</si>
  <si>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</si>
  <si>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</si>
  <si>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</si>
  <si>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</si>
  <si>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</si>
  <si>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</si>
  <si>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</si>
  <si>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</si>
  <si>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</si>
  <si>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</si>
  <si>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</si>
  <si>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</si>
  <si>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</si>
  <si>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</si>
  <si>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</si>
  <si>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</si>
  <si>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</si>
  <si>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</si>
  <si>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</si>
  <si>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</si>
  <si>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</si>
  <si>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</si>
  <si>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</si>
  <si>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</si>
  <si>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</si>
  <si>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</si>
  <si>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</si>
  <si>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</si>
  <si>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</si>
  <si>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</si>
  <si>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</si>
  <si>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</si>
  <si>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</si>
  <si>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</si>
  <si>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</si>
  <si>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</si>
  <si>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</si>
  <si>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</si>
  <si>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</si>
  <si>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</si>
  <si>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</si>
  <si>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</si>
  <si>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</si>
  <si>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</si>
  <si>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</si>
  <si>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</si>
  <si>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</si>
  <si>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</si>
  <si>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</si>
  <si>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</si>
  <si>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</si>
  <si>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</si>
  <si>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</si>
  <si>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</si>
  <si>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</si>
  <si>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</si>
  <si>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</si>
  <si>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</si>
  <si>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</si>
  <si>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</si>
  <si>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</si>
  <si>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</si>
  <si>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</si>
  <si>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</si>
  <si>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</si>
  <si>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</si>
  <si>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</si>
  <si>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</si>
  <si>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</si>
  <si>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</si>
  <si>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</si>
  <si>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</si>
  <si>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</si>
  <si>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</si>
  <si>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</si>
  <si>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</si>
  <si>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</si>
  <si>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</si>
  <si>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</si>
  <si>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</si>
  <si>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</si>
  <si>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</si>
  <si>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</si>
  <si>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</si>
  <si>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</si>
  <si>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</si>
  <si>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</si>
  <si>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</si>
  <si>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</si>
  <si>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</si>
  <si>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</si>
  <si>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</si>
  <si>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</si>
  <si>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</si>
  <si>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</si>
  <si>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</si>
  <si>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</si>
  <si>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</si>
  <si>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</si>
  <si>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</si>
  <si>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</si>
  <si>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</si>
  <si>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</si>
  <si>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</si>
  <si>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</si>
  <si>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</si>
  <si>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</si>
  <si>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</si>
  <si>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</si>
  <si>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</si>
  <si>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</si>
  <si>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</si>
  <si>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</si>
  <si>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</si>
  <si>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</si>
  <si>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</si>
  <si>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</si>
  <si>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</si>
  <si>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</si>
  <si>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</si>
  <si>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</si>
  <si>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</si>
  <si>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</si>
  <si>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</si>
  <si>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</si>
  <si>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</si>
  <si>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</si>
  <si>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</si>
  <si>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</si>
  <si>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</si>
  <si>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</si>
  <si>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</si>
  <si>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</si>
  <si>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</si>
  <si>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</si>
  <si>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</si>
  <si>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</si>
  <si>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</si>
  <si>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</si>
  <si>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</si>
  <si>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</si>
  <si>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</si>
  <si>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</si>
  <si>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</si>
  <si>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</si>
  <si>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</si>
  <si>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</si>
  <si>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</si>
  <si>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</si>
  <si>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</si>
  <si>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</si>
  <si>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</si>
  <si>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</si>
  <si>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</si>
  <si>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</si>
  <si>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</si>
  <si>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</si>
  <si>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</si>
  <si>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</si>
  <si>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</si>
  <si>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</si>
  <si>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</si>
  <si>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</si>
  <si>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</si>
  <si>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</si>
  <si>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</si>
  <si>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</si>
  <si>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</si>
  <si>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</si>
  <si>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</si>
  <si>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</si>
  <si>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</si>
  <si>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</si>
  <si>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</si>
  <si>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</si>
  <si>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</si>
  <si>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</si>
  <si>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</si>
  <si>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</si>
  <si>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</si>
  <si>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</si>
  <si>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</si>
  <si>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</si>
  <si>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</si>
  <si>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</si>
  <si>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</si>
  <si>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</si>
  <si>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</si>
  <si>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</si>
  <si>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</si>
  <si>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</si>
  <si>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</si>
  <si>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</si>
  <si>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</si>
  <si>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</si>
  <si>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</si>
  <si>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</si>
  <si>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</si>
  <si>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</si>
  <si>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</si>
  <si>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</si>
  <si>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</si>
  <si>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</si>
  <si>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</si>
  <si>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</si>
  <si>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</si>
  <si>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</si>
  <si>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</si>
  <si>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</si>
  <si>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</si>
  <si>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</si>
  <si>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</si>
  <si>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</si>
  <si>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</si>
  <si>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</si>
  <si>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</si>
  <si>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</si>
  <si>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</si>
  <si>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</si>
  <si>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</si>
  <si>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</si>
  <si>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</si>
  <si>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</si>
  <si>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</si>
  <si>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</si>
  <si>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</si>
  <si>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</si>
  <si>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</si>
  <si>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</si>
  <si>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</si>
  <si>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</si>
  <si>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</si>
  <si>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</si>
  <si>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</si>
  <si>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</si>
  <si>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</si>
  <si>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</si>
  <si>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</si>
  <si>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</si>
  <si>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</si>
  <si>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</si>
  <si>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</si>
  <si>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</si>
  <si>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</si>
  <si>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</si>
  <si>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</si>
  <si>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</si>
  <si>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</si>
  <si>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</si>
  <si>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</si>
  <si>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</si>
  <si>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</si>
  <si>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</si>
  <si>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</si>
  <si>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</si>
  <si>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</si>
  <si>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</si>
  <si>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</si>
  <si>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</si>
  <si>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</si>
  <si>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</si>
  <si>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</si>
  <si>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</si>
  <si>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</si>
  <si>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</si>
  <si>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</si>
  <si>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</si>
  <si>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</si>
  <si>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</si>
  <si>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</si>
  <si>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</si>
  <si>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</si>
  <si>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</si>
  <si>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</si>
  <si>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</si>
  <si>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</si>
  <si>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</si>
  <si>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</si>
  <si>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</si>
  <si>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</si>
  <si>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</si>
  <si>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</si>
  <si>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</si>
  <si>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</si>
  <si>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</si>
  <si>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</si>
  <si>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</si>
  <si>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</si>
  <si>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</si>
  <si>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</si>
  <si>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</si>
  <si>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</si>
  <si>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</si>
  <si>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</si>
  <si>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</si>
  <si>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</si>
  <si>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</si>
  <si>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</si>
  <si>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</si>
  <si>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</si>
  <si>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</si>
  <si>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</si>
  <si>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</si>
  <si>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</si>
  <si>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</si>
  <si>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</si>
  <si>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</si>
  <si>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</si>
  <si>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</si>
  <si>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</si>
  <si>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</si>
  <si>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</si>
  <si>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</si>
  <si>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</si>
  <si>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</si>
  <si>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</si>
  <si>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</si>
  <si>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</si>
  <si>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</si>
  <si>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</si>
  <si>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</si>
  <si>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</si>
  <si>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</si>
  <si>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</si>
  <si>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</si>
  <si>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</si>
  <si>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</si>
  <si>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</si>
  <si>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</si>
  <si>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</si>
  <si>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</si>
  <si>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</si>
  <si>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</si>
  <si>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</si>
  <si>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</si>
  <si>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</si>
  <si>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</si>
  <si>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</si>
  <si>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</si>
  <si>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</si>
  <si>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</si>
  <si>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</si>
  <si>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</si>
  <si>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</si>
  <si>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</si>
  <si>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</si>
  <si>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</si>
  <si>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</si>
  <si>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</si>
  <si>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</si>
  <si>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</si>
  <si>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</si>
  <si>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</si>
  <si>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</si>
  <si>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</si>
  <si>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</si>
  <si>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</si>
  <si>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</si>
  <si>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</si>
  <si>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</si>
  <si>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</si>
  <si>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</si>
  <si>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</si>
  <si>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</si>
  <si>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</si>
  <si>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</si>
  <si>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</si>
  <si>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</si>
  <si>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</si>
  <si>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</si>
  <si>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</si>
  <si>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</si>
  <si>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</si>
  <si>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</si>
  <si>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</si>
  <si>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</si>
  <si>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</si>
  <si>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</si>
  <si>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</si>
  <si>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</si>
  <si>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</si>
  <si>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</si>
  <si>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</si>
  <si>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</si>
  <si>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</si>
  <si>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</si>
  <si>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</si>
  <si>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</si>
  <si>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</si>
  <si>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</si>
  <si>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</si>
  <si>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</si>
  <si>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</si>
  <si>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</si>
  <si>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</si>
  <si>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</si>
  <si>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</si>
  <si>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</si>
  <si>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</si>
  <si>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</si>
  <si>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</si>
  <si>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</si>
  <si>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</si>
  <si>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</si>
  <si>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</si>
  <si>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</si>
  <si>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</si>
  <si>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</si>
  <si>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</si>
  <si>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</si>
  <si>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</si>
  <si>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</si>
  <si>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</si>
  <si>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</si>
  <si>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</si>
  <si>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</si>
  <si>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</si>
  <si>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</si>
  <si>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</si>
  <si>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</si>
  <si>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</si>
  <si>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</si>
  <si>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</si>
  <si>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</si>
  <si>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</si>
  <si>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</si>
  <si>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</si>
  <si>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</si>
  <si>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</si>
  <si>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</si>
  <si>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</si>
  <si>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</si>
  <si>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</si>
  <si>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</si>
  <si>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</si>
  <si>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</si>
  <si>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</si>
  <si>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</si>
  <si>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</si>
  <si>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</si>
  <si>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</si>
  <si>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</si>
  <si>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</si>
  <si>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</si>
  <si>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</si>
  <si>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</si>
  <si>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</si>
  <si>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</si>
  <si>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</si>
  <si>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</si>
  <si>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</si>
  <si>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</si>
  <si>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</si>
  <si>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</si>
  <si>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</si>
  <si>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</si>
  <si>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</si>
  <si>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</si>
  <si>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</si>
  <si>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</si>
  <si>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</si>
  <si>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</si>
  <si>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</si>
  <si>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</si>
  <si>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</si>
  <si>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</si>
  <si>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</si>
  <si>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</si>
  <si>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</si>
  <si>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</si>
  <si>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</si>
  <si>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</si>
  <si>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</si>
  <si>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</si>
  <si>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</si>
  <si>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</si>
  <si>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</si>
  <si>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</si>
  <si>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</si>
  <si>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</si>
  <si>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</si>
  <si>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</si>
  <si>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</si>
  <si>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</si>
  <si>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</si>
  <si>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</si>
  <si>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</si>
  <si>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</si>
  <si>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</si>
  <si>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</si>
  <si>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</si>
  <si>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</si>
  <si>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</si>
  <si>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</si>
  <si>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</si>
  <si>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</si>
  <si>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</si>
  <si>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</si>
  <si>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</si>
  <si>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</si>
  <si>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</si>
  <si>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</si>
  <si>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</si>
  <si>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</si>
  <si>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</si>
  <si>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</si>
  <si>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</si>
  <si>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</si>
  <si>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</si>
  <si>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</si>
  <si>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</si>
  <si>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</si>
  <si>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</si>
  <si>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</si>
  <si>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</si>
  <si>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</si>
  <si>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</si>
  <si>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</si>
  <si>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</si>
  <si>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</si>
  <si>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</si>
  <si>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</si>
  <si>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</si>
  <si>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</si>
  <si>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</si>
  <si>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</si>
  <si>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</si>
  <si>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</si>
  <si>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</si>
  <si>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</si>
  <si>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</si>
  <si>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</si>
  <si>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</si>
  <si>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</si>
  <si>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</si>
  <si>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</si>
  <si>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</si>
  <si>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</si>
  <si>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</si>
  <si>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</si>
  <si>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</si>
  <si>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</si>
  <si>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</si>
  <si>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</si>
  <si>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</si>
  <si>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</si>
  <si>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</si>
  <si>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</si>
  <si>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</si>
  <si>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</si>
  <si>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</si>
  <si>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</si>
  <si>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</si>
  <si>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</si>
  <si>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</si>
  <si>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</si>
  <si>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</si>
  <si>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</si>
  <si>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</si>
  <si>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</si>
  <si>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</si>
  <si>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</si>
  <si>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</si>
  <si>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</si>
  <si>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</si>
  <si>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</si>
  <si>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</si>
  <si>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</si>
  <si>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</si>
  <si>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</si>
  <si>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</si>
  <si>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</si>
  <si>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</si>
  <si>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</si>
  <si>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</si>
  <si>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</si>
  <si>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</si>
  <si>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</si>
  <si>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</si>
  <si>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</si>
  <si>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</si>
  <si>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</si>
  <si>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</si>
  <si>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</si>
  <si>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</si>
  <si>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</si>
  <si>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</si>
  <si>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</si>
  <si>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</si>
  <si>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</si>
  <si>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</si>
  <si>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</si>
  <si>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</si>
  <si>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</si>
  <si>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</si>
  <si>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</si>
  <si>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</si>
  <si>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</si>
  <si>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</si>
  <si>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</si>
  <si>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</si>
  <si>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</si>
  <si>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</si>
  <si>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</si>
  <si>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</si>
  <si>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</si>
  <si>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</si>
  <si>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</si>
  <si>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</si>
  <si>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</si>
  <si>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</si>
  <si>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</si>
  <si>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</si>
  <si>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</si>
  <si>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</si>
  <si>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</si>
  <si>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</si>
  <si>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</si>
  <si>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</si>
  <si>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</si>
  <si>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</si>
  <si>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</si>
  <si>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</si>
  <si>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</si>
  <si>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</si>
  <si>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</si>
  <si>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</si>
  <si>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</si>
  <si>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</si>
  <si>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</si>
  <si>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</si>
  <si>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</si>
  <si>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</si>
  <si>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</si>
  <si>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</si>
  <si>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</si>
  <si>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</si>
  <si>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</si>
  <si>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</si>
  <si>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</si>
  <si>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</si>
  <si>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</si>
  <si>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</si>
  <si>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</si>
  <si>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</si>
  <si>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</si>
  <si>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</si>
  <si>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</si>
  <si>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</si>
  <si>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</si>
  <si>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</si>
  <si>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</si>
  <si>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</si>
  <si>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</si>
  <si>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</si>
  <si>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</si>
  <si>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</si>
  <si>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</si>
  <si>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</si>
  <si>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</si>
  <si>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</si>
  <si>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</si>
  <si>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</si>
  <si>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</si>
  <si>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</si>
  <si>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</si>
  <si>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</si>
  <si>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</si>
  <si>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</si>
  <si>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</si>
  <si>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</si>
  <si>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</si>
  <si>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</si>
  <si>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</si>
  <si>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</si>
  <si>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</si>
  <si>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</si>
  <si>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</si>
  <si>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</si>
  <si>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</si>
  <si>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</si>
  <si>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</si>
  <si>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</si>
  <si>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</si>
  <si>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</si>
  <si>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</si>
  <si>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</si>
  <si>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</si>
  <si>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</si>
  <si>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</si>
  <si>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</si>
  <si>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</si>
  <si>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</si>
  <si>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</si>
  <si>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</si>
  <si>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</si>
  <si>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</si>
  <si>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</si>
  <si>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</si>
  <si>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</si>
  <si>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</si>
  <si>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</si>
  <si>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</si>
  <si>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</si>
  <si>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</si>
  <si>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</si>
  <si>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</si>
  <si>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</si>
  <si>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</si>
  <si>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</si>
  <si>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</si>
  <si>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</si>
  <si>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</si>
  <si>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</si>
  <si>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</si>
  <si>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</si>
  <si>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</si>
  <si>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</si>
  <si>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</si>
  <si>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</si>
  <si>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</si>
  <si>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</si>
  <si>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</si>
  <si>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</si>
  <si>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</si>
  <si>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</si>
  <si>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</si>
  <si>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</si>
  <si>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</si>
  <si>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</si>
  <si>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</si>
  <si>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</si>
  <si>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</si>
  <si>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</si>
  <si>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</si>
  <si>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</si>
  <si>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</si>
  <si>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</si>
  <si>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</si>
  <si>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</si>
  <si>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</si>
  <si>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</si>
  <si>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</si>
  <si>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</si>
  <si>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</si>
  <si>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</si>
  <si>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</si>
  <si>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</si>
  <si>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</si>
  <si>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</si>
  <si>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</si>
  <si>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</si>
  <si>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</si>
  <si>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</si>
  <si>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</si>
  <si>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</si>
  <si>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</si>
  <si>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</si>
  <si>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</si>
  <si>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</si>
  <si>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</si>
  <si>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</si>
  <si>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</si>
  <si>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</si>
  <si>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</si>
  <si>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</si>
  <si>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</si>
  <si>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</si>
  <si>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</si>
  <si>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</si>
  <si>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</si>
  <si>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</si>
  <si>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</si>
  <si>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</si>
  <si>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</si>
  <si>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</si>
  <si>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</si>
  <si>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</si>
  <si>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</si>
  <si>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</si>
  <si>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</si>
  <si>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</si>
  <si>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</si>
  <si>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</si>
  <si>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</si>
  <si>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</si>
  <si>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</si>
  <si>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</si>
  <si>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</si>
  <si>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</si>
  <si>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</si>
  <si>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</si>
  <si>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</si>
  <si>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</si>
  <si>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</si>
  <si>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</si>
  <si>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</si>
  <si>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</si>
  <si>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</si>
  <si>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</si>
  <si>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</si>
  <si>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</si>
  <si>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</si>
  <si>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</si>
  <si>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</si>
  <si>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</si>
  <si>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</si>
  <si>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</si>
  <si>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</si>
  <si>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</si>
  <si>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</si>
  <si>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</si>
  <si>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</si>
  <si>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</si>
  <si>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</si>
  <si>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</si>
  <si>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</si>
  <si>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</si>
  <si>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</si>
  <si>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</si>
  <si>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</si>
  <si>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</si>
  <si>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</si>
  <si>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</si>
  <si>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</si>
  <si>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</si>
  <si>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</si>
  <si>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</si>
  <si>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</si>
  <si>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</si>
  <si>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</si>
  <si>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</si>
  <si>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</si>
  <si>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</si>
  <si>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</si>
  <si>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</si>
  <si>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</si>
  <si>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</si>
  <si>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</si>
  <si>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</si>
  <si>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</si>
  <si>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</si>
  <si>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</si>
  <si>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</si>
  <si>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</si>
  <si>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</si>
  <si>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</si>
  <si>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</si>
  <si>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</si>
  <si>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</si>
  <si>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</si>
  <si>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</si>
  <si>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</si>
  <si>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</si>
  <si>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</si>
  <si>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</si>
  <si>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</si>
  <si>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</si>
  <si>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</si>
  <si>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</si>
  <si>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</si>
  <si>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</si>
  <si>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</si>
  <si>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</si>
  <si>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</si>
  <si>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</si>
  <si>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</si>
  <si>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</si>
  <si>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</si>
  <si>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</si>
  <si>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</si>
  <si>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</si>
  <si>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</si>
  <si>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</si>
  <si>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</si>
  <si>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</si>
  <si>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</si>
  <si>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</si>
  <si>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</si>
  <si>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</si>
  <si>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</si>
  <si>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</si>
  <si>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</si>
  <si>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</si>
  <si>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</si>
  <si>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</si>
  <si>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</si>
  <si>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</si>
  <si>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</si>
  <si>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</si>
  <si>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</si>
  <si>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</si>
  <si>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</si>
  <si>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</si>
  <si>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</si>
  <si>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</si>
  <si>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</si>
  <si>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</si>
  <si>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</si>
  <si>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</si>
  <si>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</si>
  <si>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</si>
  <si>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</si>
  <si>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</si>
  <si>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</si>
  <si>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</si>
  <si>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</si>
  <si>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</si>
  <si>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</si>
  <si>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</si>
  <si>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</si>
  <si>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</si>
  <si>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</si>
  <si>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</si>
  <si>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</si>
  <si>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</si>
  <si>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</si>
  <si>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</si>
  <si>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</si>
  <si>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</si>
  <si>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</si>
  <si>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</si>
  <si>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</si>
  <si>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</si>
  <si>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</si>
  <si>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</si>
  <si>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</si>
  <si>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</si>
  <si>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</si>
  <si>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</si>
  <si>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</si>
  <si>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</si>
  <si>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</si>
  <si>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</si>
  <si>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</si>
  <si>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</si>
  <si>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</si>
  <si>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</si>
  <si>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</si>
  <si>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</si>
  <si>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</si>
  <si>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</si>
  <si>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</si>
  <si>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</si>
  <si>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</si>
  <si>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</si>
  <si>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</si>
  <si>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</si>
  <si>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</si>
  <si>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</si>
  <si>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</si>
  <si>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</si>
  <si>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</si>
  <si>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</si>
  <si>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</si>
  <si>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</si>
  <si>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</si>
  <si>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</si>
  <si>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</si>
  <si>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</si>
  <si>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</si>
  <si>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</si>
  <si>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</si>
  <si>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</si>
  <si>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</si>
  <si>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</si>
  <si>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</si>
  <si>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</si>
  <si>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</si>
  <si>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</si>
  <si>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</si>
  <si>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</si>
  <si>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</si>
  <si>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</si>
  <si>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</si>
  <si>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</si>
  <si>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</si>
  <si>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</si>
  <si>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</si>
  <si>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</si>
  <si>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</si>
  <si>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</si>
  <si>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</si>
  <si>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</si>
  <si>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</si>
  <si>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</si>
  <si>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</si>
  <si>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</si>
  <si>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</si>
  <si>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</si>
  <si>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</si>
  <si>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</si>
  <si>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</si>
  <si>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</si>
  <si>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</si>
  <si>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</si>
  <si>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</si>
  <si>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</si>
  <si>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</si>
  <si>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</si>
  <si>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</si>
  <si>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</si>
  <si>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</si>
  <si>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</si>
  <si>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</si>
  <si>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</si>
  <si>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</si>
  <si>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</si>
  <si>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</si>
  <si>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</si>
  <si>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</si>
  <si>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</si>
  <si>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</si>
  <si>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</si>
  <si>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</si>
  <si>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</si>
  <si>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</si>
  <si>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</si>
  <si>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</si>
  <si>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</si>
  <si>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</si>
  <si>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</si>
  <si>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</si>
  <si>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</si>
  <si>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</si>
  <si>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</si>
  <si>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</si>
  <si>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</si>
  <si>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</si>
  <si>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</si>
  <si>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</si>
  <si>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</si>
  <si>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</si>
  <si>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</si>
  <si>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</si>
  <si>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</si>
  <si>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</si>
  <si>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</si>
  <si>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</si>
  <si>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</si>
  <si>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</si>
  <si>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</si>
  <si>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</si>
  <si>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</si>
  <si>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</si>
  <si>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</si>
  <si>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</si>
  <si>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</si>
  <si>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</si>
  <si>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</si>
  <si>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</si>
  <si>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</si>
  <si>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</si>
  <si>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</si>
  <si>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</si>
  <si>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</si>
  <si>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</si>
  <si>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</si>
  <si>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</si>
  <si>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</si>
  <si>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</si>
  <si>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</si>
  <si>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</si>
  <si>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</si>
  <si>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</si>
  <si>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</si>
  <si>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</si>
  <si>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</si>
  <si>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</si>
  <si>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</si>
  <si>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</si>
  <si>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</si>
  <si>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</si>
  <si>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</si>
  <si>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</si>
  <si>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</si>
  <si>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</si>
  <si>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</si>
  <si>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</si>
  <si>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</si>
  <si>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</si>
  <si>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</si>
  <si>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</si>
  <si>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</si>
  <si>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</si>
  <si>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</si>
  <si>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</si>
  <si>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</si>
  <si>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</si>
  <si>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</si>
  <si>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</si>
  <si>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</si>
  <si>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</si>
  <si>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</si>
  <si>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</si>
  <si>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</si>
  <si>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</si>
  <si>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</si>
  <si>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</si>
  <si>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</si>
  <si>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</si>
  <si>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</si>
  <si>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</si>
  <si>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</si>
  <si>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</si>
  <si>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</si>
  <si>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</si>
  <si>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</si>
  <si>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</si>
  <si>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</si>
  <si>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</si>
  <si>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</si>
  <si>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</si>
  <si>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</si>
  <si>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</si>
  <si>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</si>
  <si>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</si>
  <si>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</si>
  <si>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</si>
  <si>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</si>
  <si>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</si>
  <si>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</si>
  <si>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</si>
  <si>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</si>
  <si>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</si>
  <si>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</si>
  <si>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</si>
  <si>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</si>
  <si>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</si>
  <si>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</si>
  <si>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</si>
  <si>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</si>
  <si>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</si>
  <si>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</si>
  <si>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</si>
  <si>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</si>
  <si>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</si>
  <si>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</si>
  <si>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</si>
  <si>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</si>
  <si>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</si>
  <si>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</si>
  <si>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</si>
  <si>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</si>
  <si>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</si>
  <si>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</si>
  <si>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</si>
  <si>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</si>
  <si>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</si>
  <si>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</si>
  <si>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</si>
  <si>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</si>
  <si>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</si>
  <si>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</si>
  <si>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</si>
  <si>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</si>
  <si>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</si>
  <si>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</si>
  <si>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</si>
  <si>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</si>
  <si>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</si>
  <si>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</si>
  <si>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</si>
  <si>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</si>
  <si>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</si>
  <si>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</si>
  <si>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</si>
  <si>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</si>
  <si>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</si>
  <si>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</si>
  <si>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</si>
  <si>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</si>
  <si>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</si>
  <si>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</si>
  <si>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</si>
  <si>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</si>
  <si>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</si>
  <si>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</si>
  <si>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</si>
  <si>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</si>
  <si>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</si>
  <si>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</si>
  <si>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</si>
  <si>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</si>
  <si>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</si>
  <si>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</si>
  <si>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</si>
  <si>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</si>
  <si>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</si>
  <si>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</si>
  <si>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</si>
  <si>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</si>
  <si>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</si>
  <si>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</si>
  <si>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</si>
  <si>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</si>
  <si>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</si>
  <si>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</si>
  <si>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</si>
  <si>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</si>
  <si>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</si>
  <si>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</si>
  <si>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</si>
  <si>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</si>
  <si>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</si>
  <si>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</si>
  <si>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</si>
  <si>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</si>
  <si>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</si>
  <si>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</si>
  <si>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</si>
  <si>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</si>
  <si>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</si>
  <si>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</si>
  <si>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</si>
  <si>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</si>
  <si>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</si>
  <si>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</si>
  <si>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</si>
  <si>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</si>
  <si>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</si>
  <si>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</si>
  <si>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</si>
  <si>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</si>
  <si>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</si>
  <si>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</si>
  <si>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</si>
  <si>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</si>
  <si>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</si>
  <si>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</si>
  <si>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</si>
  <si>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</si>
  <si>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</si>
  <si>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</si>
  <si>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</si>
  <si>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</si>
  <si>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</si>
  <si>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</si>
  <si>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</si>
  <si>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</si>
  <si>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</si>
  <si>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</si>
  <si>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</si>
  <si>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</si>
  <si>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</si>
  <si>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</si>
  <si>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</si>
  <si>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</si>
  <si>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</si>
  <si>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</si>
  <si>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</si>
  <si>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</si>
  <si>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</si>
  <si>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</si>
  <si>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</si>
  <si>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</si>
  <si>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</si>
  <si>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</si>
  <si>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</si>
  <si>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</si>
  <si>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</si>
  <si>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</si>
  <si>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</si>
  <si>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</si>
  <si>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</si>
  <si>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</si>
  <si>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</si>
  <si>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</si>
  <si>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</si>
  <si>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</si>
  <si>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</si>
  <si>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</si>
  <si>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</si>
  <si>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</si>
  <si>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</si>
  <si>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</si>
  <si>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</si>
  <si>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</si>
  <si>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</si>
  <si>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</si>
  <si>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</si>
  <si>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</si>
  <si>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</si>
  <si>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</si>
  <si>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</si>
  <si>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</si>
  <si>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</si>
  <si>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</si>
  <si>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</si>
  <si>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</si>
  <si>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</si>
  <si>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</si>
  <si>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</si>
  <si>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</si>
  <si>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</si>
  <si>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</si>
  <si>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</si>
  <si>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</si>
  <si>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</si>
  <si>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</si>
  <si>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</si>
  <si>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</si>
  <si>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</si>
  <si>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</si>
  <si>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</si>
  <si>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</si>
  <si>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</si>
  <si>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</si>
  <si>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</si>
  <si>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</si>
  <si>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</si>
  <si>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</si>
  <si>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</si>
  <si>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</si>
  <si>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</si>
  <si>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</si>
  <si>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</si>
  <si>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</si>
  <si>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</si>
  <si>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</si>
  <si>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</si>
  <si>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</si>
  <si>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</si>
  <si>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</si>
  <si>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</si>
  <si>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</si>
  <si>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</si>
  <si>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</si>
  <si>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</si>
  <si>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</si>
  <si>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</si>
  <si>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</si>
  <si>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</si>
  <si>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</si>
  <si>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</si>
  <si>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</si>
  <si>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</si>
  <si>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</si>
  <si>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</si>
  <si>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</si>
  <si>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</si>
  <si>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</si>
  <si>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</si>
  <si>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</si>
  <si>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</si>
  <si>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</si>
  <si>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</si>
  <si>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</si>
  <si>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</si>
  <si>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</si>
  <si>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</si>
  <si>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</si>
  <si>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</si>
  <si>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</si>
  <si>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</si>
  <si>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</si>
  <si>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</si>
  <si>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</si>
  <si>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</si>
  <si>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</si>
  <si>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</si>
  <si>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</si>
  <si>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</si>
  <si>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</si>
  <si>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</si>
  <si>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</si>
  <si>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</si>
  <si>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</si>
  <si>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</si>
  <si>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</si>
  <si>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</si>
  <si>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</si>
  <si>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</si>
  <si>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</si>
  <si>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</si>
  <si>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</si>
  <si>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</si>
  <si>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</si>
  <si>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</si>
  <si>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</si>
  <si>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</si>
  <si>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</si>
  <si>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</si>
  <si>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</si>
  <si>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</si>
  <si>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</si>
  <si>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</si>
  <si>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</si>
  <si>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</si>
  <si>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</si>
  <si>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</si>
  <si>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</si>
  <si>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</si>
  <si>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</si>
  <si>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</si>
  <si>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</si>
  <si>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</si>
  <si>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</si>
  <si>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</si>
  <si>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</si>
  <si>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</si>
  <si>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</si>
  <si>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</si>
  <si>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</si>
  <si>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</si>
  <si>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</si>
  <si>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</si>
  <si>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</si>
  <si>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</si>
  <si>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</si>
  <si>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</si>
  <si>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</si>
  <si>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</si>
  <si>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</si>
  <si>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</si>
  <si>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</si>
  <si>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</si>
  <si>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</si>
  <si>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</si>
  <si>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</si>
  <si>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</si>
  <si>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</si>
  <si>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</si>
  <si>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</si>
  <si>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</si>
  <si>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</si>
  <si>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</si>
  <si>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</si>
  <si>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</si>
  <si>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</si>
  <si>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</si>
  <si>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</si>
  <si>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</si>
  <si>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</si>
  <si>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</si>
  <si>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</si>
  <si>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</si>
  <si>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</si>
  <si>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</si>
  <si>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</si>
  <si>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</si>
  <si>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</si>
  <si>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</si>
  <si>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</si>
  <si>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</si>
  <si>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</si>
  <si>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</si>
  <si>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</si>
  <si>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</si>
  <si>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</si>
  <si>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</si>
  <si>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</si>
  <si>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</si>
  <si>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</si>
  <si>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</si>
  <si>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</si>
  <si>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</si>
  <si>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</si>
  <si>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</si>
  <si>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</si>
  <si>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</si>
  <si>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</si>
  <si>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</si>
  <si>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</si>
  <si>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</si>
  <si>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</si>
  <si>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</si>
  <si>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</si>
  <si>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</si>
  <si>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</si>
  <si>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</si>
  <si>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</si>
  <si>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</si>
  <si>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</si>
  <si>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</si>
  <si>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</si>
  <si>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</si>
  <si>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</si>
  <si>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</si>
  <si>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</si>
  <si>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</si>
  <si>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</si>
  <si>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</si>
  <si>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</si>
  <si>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</si>
  <si>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</si>
  <si>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</si>
  <si>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</si>
  <si>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</si>
  <si>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</si>
  <si>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</si>
  <si>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</si>
  <si>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</si>
  <si>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</si>
  <si>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</si>
  <si>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</si>
  <si>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</si>
  <si>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</si>
  <si>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</si>
  <si>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</si>
  <si>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</si>
  <si>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</si>
  <si>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</si>
  <si>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</si>
  <si>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</si>
  <si>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</si>
  <si>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</si>
  <si>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</si>
  <si>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</si>
  <si>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</si>
  <si>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</si>
  <si>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</si>
  <si>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</si>
  <si>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</si>
  <si>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</si>
  <si>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</si>
  <si>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</si>
  <si>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</si>
  <si>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</si>
  <si>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</si>
  <si>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</si>
  <si>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</si>
  <si>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</si>
  <si>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</si>
  <si>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</si>
  <si>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</si>
  <si>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</si>
  <si>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</si>
  <si>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</si>
  <si>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</si>
  <si>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</si>
  <si>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</si>
  <si>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</si>
  <si>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</si>
  <si>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</si>
  <si>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</si>
  <si>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</si>
  <si>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</si>
  <si>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</si>
  <si>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</si>
  <si>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</si>
  <si>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</si>
  <si>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</si>
  <si>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</si>
  <si>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</si>
  <si>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</si>
  <si>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</si>
  <si>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</si>
  <si>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</si>
  <si>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</si>
  <si>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</si>
  <si>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</si>
  <si>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</si>
  <si>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</si>
  <si>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</si>
  <si>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</si>
  <si>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</si>
  <si>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</si>
  <si>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</si>
  <si>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</si>
  <si>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</si>
  <si>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</si>
  <si>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</si>
  <si>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</si>
  <si>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</si>
  <si>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</si>
  <si>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</si>
  <si>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</si>
  <si>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</si>
  <si>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</si>
  <si>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</si>
  <si>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</si>
  <si>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</si>
  <si>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</si>
  <si>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</si>
  <si>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</si>
  <si>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</si>
  <si>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</si>
  <si>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</si>
  <si>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</si>
  <si>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</si>
  <si>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</si>
  <si>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</si>
  <si>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</si>
  <si>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</si>
  <si>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</si>
  <si>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</si>
  <si>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</si>
  <si>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</si>
  <si>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</si>
  <si>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</si>
  <si>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</si>
  <si>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</si>
  <si>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</si>
  <si>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</si>
  <si>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</si>
  <si>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</si>
  <si>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</si>
  <si>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</si>
  <si>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</si>
  <si>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</si>
  <si>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</si>
  <si>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</si>
  <si>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</si>
  <si>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</si>
  <si>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</si>
  <si>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</si>
  <si>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</si>
  <si>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</si>
  <si>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</si>
  <si>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</si>
  <si>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</si>
  <si>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</si>
  <si>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</si>
  <si>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</si>
  <si>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</si>
  <si>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</si>
  <si>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</si>
  <si>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</si>
  <si>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</si>
  <si>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</si>
  <si>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</si>
  <si>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</si>
  <si>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</si>
  <si>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</si>
  <si>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</si>
  <si>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</si>
  <si>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</si>
  <si>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</si>
  <si>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</si>
  <si>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</si>
  <si>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</si>
  <si>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</si>
  <si>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</si>
  <si>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</si>
  <si>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</si>
  <si>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</si>
  <si>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</si>
  <si>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</si>
  <si>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</si>
  <si>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</si>
  <si>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</si>
  <si>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</si>
  <si>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</si>
  <si>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</si>
  <si>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</si>
  <si>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</si>
  <si>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</si>
  <si>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</si>
  <si>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</si>
  <si>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</si>
  <si>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</si>
  <si>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</si>
  <si>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</si>
  <si>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</si>
  <si>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</si>
  <si>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</si>
  <si>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</si>
  <si>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</si>
  <si>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</si>
  <si>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</si>
  <si>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</si>
  <si>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</si>
  <si>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</si>
  <si>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</si>
  <si>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</si>
  <si>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</si>
  <si>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</si>
  <si>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</si>
  <si>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</si>
  <si>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</si>
  <si>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</si>
  <si>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</si>
  <si>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</si>
  <si>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</si>
  <si>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</si>
  <si>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</si>
  <si>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</si>
  <si>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</si>
  <si>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</si>
  <si>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</si>
  <si>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</si>
  <si>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</si>
  <si>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</si>
  <si>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</si>
  <si>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</si>
  <si>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</si>
  <si>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</si>
  <si>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</si>
  <si>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</si>
  <si>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</si>
  <si>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</si>
  <si>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</si>
  <si>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</si>
  <si>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</si>
  <si>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</si>
  <si>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</si>
  <si>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</si>
  <si>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</si>
  <si>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</si>
  <si>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</si>
  <si>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</si>
  <si>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</si>
  <si>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</si>
  <si>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</si>
  <si>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</si>
  <si>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</si>
  <si>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</si>
  <si>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</si>
  <si>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</si>
  <si>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</si>
  <si>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</si>
  <si>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</si>
  <si>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</si>
  <si>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</si>
  <si>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</si>
  <si>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</si>
  <si>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</si>
  <si>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</si>
  <si>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</si>
  <si>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</si>
  <si>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</si>
  <si>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</si>
  <si>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</si>
  <si>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</si>
  <si>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</si>
  <si>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</si>
  <si>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</si>
  <si>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</si>
  <si>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</si>
  <si>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</si>
  <si>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</si>
  <si>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</si>
  <si>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</si>
  <si>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</si>
  <si>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</si>
  <si>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</si>
  <si>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</si>
  <si>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</si>
  <si>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</si>
  <si>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</si>
  <si>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</si>
  <si>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</si>
  <si>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</si>
  <si>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</si>
  <si>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</si>
  <si>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</si>
  <si>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</si>
  <si>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</si>
  <si>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</si>
  <si>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</si>
  <si>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</si>
  <si>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</si>
  <si>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</si>
  <si>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</si>
  <si>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</si>
  <si>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</si>
  <si>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</si>
  <si>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</si>
  <si>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</si>
  <si>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</si>
  <si>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</si>
  <si>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</si>
  <si>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</si>
  <si>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</si>
  <si>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</si>
  <si>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</si>
  <si>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</si>
  <si>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</si>
  <si>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</si>
  <si>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</si>
  <si>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</si>
  <si>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</si>
  <si>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</si>
  <si>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</si>
  <si>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</si>
  <si>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</si>
  <si>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</si>
  <si>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</si>
  <si>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</si>
  <si>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</si>
  <si>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</si>
  <si>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</si>
  <si>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</si>
  <si>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</si>
  <si>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</si>
  <si>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</si>
  <si>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</si>
  <si>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</si>
  <si>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</si>
  <si>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</si>
  <si>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</si>
  <si>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</si>
  <si>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</si>
  <si>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</si>
  <si>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</si>
  <si>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</si>
  <si>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</si>
  <si>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</si>
  <si>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</si>
  <si>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</si>
  <si>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</si>
  <si>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</si>
  <si>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</si>
  <si>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</si>
  <si>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</si>
  <si>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</si>
  <si>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</si>
  <si>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</si>
  <si>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</si>
  <si>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</si>
  <si>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</si>
  <si>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</si>
  <si>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</si>
  <si>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</si>
  <si>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</si>
  <si>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</si>
  <si>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</si>
  <si>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</si>
  <si>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</si>
  <si>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</si>
  <si>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</si>
  <si>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</si>
  <si>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</si>
  <si>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</si>
  <si>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</si>
  <si>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</si>
  <si>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</si>
  <si>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</si>
  <si>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</si>
  <si>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</si>
  <si>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</si>
  <si>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</si>
  <si>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</si>
  <si>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</si>
  <si>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</si>
  <si>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</si>
  <si>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</si>
  <si>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</si>
  <si>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</si>
  <si>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</si>
  <si>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</si>
  <si>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</si>
  <si>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</si>
  <si>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</si>
  <si>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</si>
  <si>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</si>
  <si>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</si>
  <si>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</si>
  <si>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</si>
  <si>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</si>
  <si>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</si>
  <si>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</si>
  <si>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</si>
  <si>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</si>
  <si>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</si>
  <si>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</si>
  <si>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</si>
  <si>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</si>
  <si>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</si>
  <si>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</si>
  <si>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</si>
  <si>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</si>
  <si>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</si>
  <si>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</si>
  <si>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</si>
  <si>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</si>
  <si>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</si>
  <si>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</si>
  <si>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</si>
  <si>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</si>
  <si>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</si>
  <si>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</si>
  <si>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</si>
  <si>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</si>
  <si>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</si>
  <si>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</si>
  <si>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</si>
  <si>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</si>
  <si>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</si>
  <si>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</si>
  <si>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</si>
  <si>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</si>
  <si>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</si>
  <si>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</si>
  <si>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</si>
  <si>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</si>
  <si>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</si>
  <si>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</si>
  <si>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</si>
  <si>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</si>
  <si>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</si>
  <si>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</si>
  <si>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</si>
  <si>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</si>
  <si>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</si>
  <si>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</si>
  <si>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</si>
  <si>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</si>
  <si>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</si>
  <si>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</si>
  <si>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</si>
  <si>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</si>
  <si>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</si>
  <si>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</si>
  <si>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</si>
  <si>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</si>
  <si>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</si>
  <si>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</si>
  <si>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</si>
  <si>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</si>
  <si>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</si>
  <si>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</si>
  <si>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</si>
  <si>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</si>
  <si>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</si>
  <si>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</si>
  <si>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</si>
  <si>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</si>
  <si>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</si>
  <si>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</si>
  <si>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</si>
  <si>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</si>
  <si>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</si>
  <si>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</si>
  <si>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</si>
  <si>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</si>
  <si>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</si>
  <si>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</si>
  <si>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</si>
  <si>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</si>
  <si>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</si>
  <si>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</si>
  <si>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</si>
  <si>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</si>
  <si>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</si>
  <si>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</si>
  <si>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</si>
  <si>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</si>
  <si>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</si>
  <si>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</si>
  <si>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</si>
  <si>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</si>
  <si>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</si>
  <si>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</si>
  <si>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</si>
  <si>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</si>
  <si>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</si>
  <si>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</si>
  <si>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</si>
  <si>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</si>
  <si>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</si>
  <si>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</si>
  <si>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</si>
  <si>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</si>
  <si>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</si>
  <si>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</si>
  <si>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</si>
  <si>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</si>
  <si>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</si>
  <si>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</si>
  <si>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</si>
  <si>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</si>
  <si>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</si>
  <si>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</si>
  <si>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</si>
  <si>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</si>
  <si>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</si>
  <si>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</si>
  <si>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</si>
  <si>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</si>
  <si>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</si>
  <si>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</si>
  <si>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</si>
  <si>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</si>
  <si>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</si>
  <si>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</si>
  <si>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</si>
  <si>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</si>
  <si>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</si>
  <si>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</si>
  <si>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</si>
  <si>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</si>
  <si>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</si>
  <si>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</si>
  <si>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</si>
  <si>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</si>
  <si>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</si>
  <si>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</si>
  <si>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</si>
  <si>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</si>
  <si>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</si>
  <si>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</si>
  <si>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</si>
  <si>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</si>
  <si>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</si>
  <si>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</si>
  <si>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</si>
  <si>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</si>
  <si>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</si>
  <si>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</si>
  <si>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</si>
  <si>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</si>
  <si>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</si>
  <si>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</si>
  <si>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</si>
  <si>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</si>
  <si>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</si>
  <si>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</si>
  <si>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</si>
  <si>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</si>
  <si>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</si>
  <si>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</si>
  <si>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</si>
  <si>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</si>
  <si>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</si>
  <si>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</si>
  <si>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</si>
  <si>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</si>
  <si>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</si>
  <si>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</si>
  <si>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</si>
  <si>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</si>
  <si>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</si>
  <si>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</si>
  <si>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</si>
  <si>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</si>
  <si>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</si>
  <si>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</si>
  <si>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</si>
  <si>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</si>
  <si>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</si>
  <si>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</si>
  <si>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</si>
  <si>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</si>
  <si>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</si>
  <si>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</si>
  <si>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</si>
  <si>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</si>
  <si>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</si>
  <si>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</si>
  <si>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</si>
  <si>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</si>
  <si>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</si>
  <si>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</si>
  <si>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</si>
  <si>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</si>
  <si>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</si>
  <si>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</si>
  <si>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</si>
  <si>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</si>
  <si>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</si>
  <si>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</si>
  <si>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</si>
  <si>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</si>
  <si>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</si>
  <si>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</si>
  <si>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</si>
  <si>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</si>
  <si>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</si>
  <si>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</si>
  <si>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</si>
  <si>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</si>
  <si>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</si>
  <si>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</si>
  <si>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</si>
  <si>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</si>
  <si>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</si>
  <si>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</si>
  <si>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</si>
  <si>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</si>
  <si>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</si>
  <si>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</si>
  <si>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</si>
  <si>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</si>
  <si>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</si>
  <si>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</si>
  <si>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</si>
  <si>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</si>
  <si>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</si>
  <si>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</si>
  <si>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</si>
  <si>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</si>
  <si>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</si>
  <si>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</si>
  <si>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</si>
  <si>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</si>
  <si>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</si>
  <si>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</si>
  <si>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</si>
  <si>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</si>
  <si>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</si>
  <si>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</si>
  <si>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</si>
  <si>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</si>
  <si>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</si>
  <si>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</si>
  <si>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</si>
  <si>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</si>
  <si>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</si>
  <si>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</si>
  <si>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</si>
  <si>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</si>
  <si>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</si>
  <si>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</si>
  <si>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</si>
  <si>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</si>
  <si>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</si>
  <si>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</si>
  <si>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</si>
  <si>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</si>
  <si>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</si>
  <si>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</si>
  <si>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</si>
  <si>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</si>
  <si>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</si>
  <si>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</si>
  <si>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</si>
  <si>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</si>
  <si>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</si>
  <si>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</si>
  <si>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</si>
  <si>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</si>
  <si>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</si>
  <si>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</si>
  <si>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</si>
  <si>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</si>
  <si>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</si>
  <si>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</si>
  <si>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</si>
  <si>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</si>
  <si>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</si>
  <si>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</si>
  <si>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</si>
  <si>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</si>
  <si>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</si>
  <si>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</si>
  <si>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</si>
  <si>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</si>
  <si>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</si>
  <si>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</si>
  <si>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</si>
  <si>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</si>
  <si>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</si>
  <si>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</si>
  <si>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</si>
  <si>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</si>
  <si>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</si>
  <si>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</si>
  <si>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</si>
  <si>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</si>
  <si>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</si>
  <si>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</si>
  <si>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</si>
  <si>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</si>
  <si>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</si>
  <si>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</si>
  <si>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</si>
  <si>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</si>
  <si>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</si>
  <si>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</si>
  <si>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</si>
  <si>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</si>
  <si>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</si>
  <si>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</si>
  <si>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</si>
  <si>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</si>
  <si>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</si>
  <si>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</si>
  <si>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</si>
  <si>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</si>
  <si>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</si>
  <si>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</si>
  <si>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</si>
  <si>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</si>
  <si>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</si>
  <si>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</si>
  <si>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</si>
  <si>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</si>
  <si>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</si>
  <si>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</si>
  <si>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</si>
  <si>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</si>
  <si>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</si>
  <si>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</si>
  <si>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</si>
  <si>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</si>
  <si>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</si>
  <si>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</si>
  <si>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</si>
  <si>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</si>
  <si>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</si>
  <si>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</si>
  <si>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</si>
  <si>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</si>
  <si>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</si>
  <si>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</si>
  <si>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</si>
  <si>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</si>
  <si>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</si>
  <si>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</si>
  <si>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</si>
  <si>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</si>
  <si>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</si>
  <si>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</si>
  <si>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</si>
  <si>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</si>
  <si>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</si>
  <si>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</si>
  <si>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</si>
  <si>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</si>
  <si>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</si>
  <si>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</si>
  <si>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</si>
  <si>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</si>
  <si>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</si>
  <si>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</si>
  <si>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</si>
  <si>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</si>
  <si>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</si>
  <si>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</si>
  <si>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</si>
  <si>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</si>
  <si>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</si>
  <si>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</si>
  <si>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</si>
  <si>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</si>
  <si>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</si>
  <si>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</si>
  <si>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</si>
  <si>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</si>
  <si>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</si>
  <si>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</si>
  <si>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</si>
  <si>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</si>
  <si>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</si>
  <si>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</si>
  <si>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</si>
  <si>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</si>
  <si>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</si>
  <si>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</si>
  <si>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</si>
  <si>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</si>
  <si>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</si>
  <si>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</si>
  <si>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</si>
  <si>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</si>
  <si>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</si>
  <si>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</si>
  <si>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</si>
  <si>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</si>
  <si>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</si>
  <si>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</si>
  <si>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</si>
  <si>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</si>
  <si>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</si>
  <si>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</si>
  <si>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</si>
  <si>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</si>
  <si>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</si>
  <si>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</si>
  <si>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</si>
  <si>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</si>
  <si>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</si>
  <si>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</si>
  <si>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</si>
  <si>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</si>
  <si>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</si>
  <si>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</si>
  <si>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</si>
  <si>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</si>
  <si>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</si>
  <si>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</si>
  <si>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</si>
  <si>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</si>
  <si>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</si>
  <si>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</si>
  <si>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</si>
  <si>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</si>
  <si>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</si>
  <si>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</si>
  <si>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</si>
  <si>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</si>
  <si>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</si>
  <si>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</si>
  <si>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</si>
  <si>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</si>
  <si>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</si>
  <si>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</si>
  <si>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</si>
  <si>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</si>
  <si>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</si>
  <si>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</si>
  <si>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</si>
  <si>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</si>
  <si>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</si>
  <si>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</si>
  <si>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</si>
  <si>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</si>
  <si>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</si>
  <si>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</si>
  <si>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</si>
  <si>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</si>
  <si>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</si>
  <si>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</si>
  <si>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</si>
  <si>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</si>
  <si>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</si>
  <si>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</si>
  <si>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</si>
  <si>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</si>
  <si>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</si>
  <si>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</si>
  <si>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</si>
  <si>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</si>
  <si>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</si>
  <si>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</si>
  <si>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</si>
  <si>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</si>
  <si>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</si>
  <si>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</si>
  <si>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</si>
  <si>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</si>
  <si>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</si>
  <si>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</si>
  <si>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</si>
  <si>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</si>
  <si>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</si>
  <si>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</si>
  <si>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</si>
  <si>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</si>
  <si>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</si>
  <si>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</si>
  <si>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</si>
  <si>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</si>
  <si>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</si>
  <si>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</si>
  <si>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</si>
  <si>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</si>
  <si>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</si>
  <si>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</si>
  <si>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</si>
  <si>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</si>
  <si>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</si>
  <si>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</si>
  <si>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</si>
  <si>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</si>
  <si>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</si>
  <si>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</si>
  <si>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</si>
  <si>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</si>
  <si>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</si>
  <si>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</si>
  <si>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</si>
  <si>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</si>
  <si>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</si>
  <si>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</si>
  <si>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</si>
  <si>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</si>
  <si>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</si>
  <si>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</si>
  <si>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</si>
  <si>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</si>
  <si>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</si>
  <si>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</si>
  <si>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</si>
  <si>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</si>
  <si>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</si>
  <si>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</si>
  <si>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</si>
  <si>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</si>
  <si>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</si>
  <si>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</si>
  <si>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</si>
  <si>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</si>
  <si>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</si>
  <si>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</si>
  <si>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</si>
  <si>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</si>
  <si>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</si>
  <si>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</si>
  <si>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</si>
  <si>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</si>
  <si>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</si>
  <si>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</si>
  <si>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</si>
  <si>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</si>
  <si>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</si>
  <si>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</si>
  <si>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</si>
  <si>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</si>
  <si>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</si>
  <si>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</si>
  <si>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</si>
  <si>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</si>
  <si>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</si>
  <si>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</si>
  <si>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</si>
  <si>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</si>
  <si>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</si>
  <si>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</si>
  <si>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</si>
  <si>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</si>
  <si>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</si>
  <si>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</si>
  <si>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</si>
  <si>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</si>
  <si>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</si>
  <si>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</si>
  <si>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</si>
  <si>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</si>
  <si>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</si>
  <si>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</si>
  <si>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</si>
  <si>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</si>
  <si>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</si>
  <si>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</si>
  <si>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</si>
  <si>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</si>
  <si>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</si>
  <si>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</si>
  <si>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</si>
  <si>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</si>
  <si>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</si>
  <si>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</si>
  <si>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</si>
  <si>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</si>
  <si>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</si>
  <si>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</si>
  <si>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</si>
  <si>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</si>
  <si>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</si>
  <si>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</si>
  <si>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</si>
  <si>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</si>
  <si>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</si>
  <si>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</si>
  <si>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</si>
  <si>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</si>
  <si>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</si>
  <si>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</si>
  <si>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</si>
  <si>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</si>
  <si>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</si>
  <si>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</si>
  <si>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</si>
  <si>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</si>
  <si>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</si>
  <si>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</si>
  <si>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</si>
  <si>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</si>
  <si>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</si>
  <si>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</si>
  <si>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</si>
  <si>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</si>
  <si>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</si>
  <si>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</si>
  <si>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</si>
  <si>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</si>
  <si>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</si>
  <si>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</si>
  <si>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</si>
  <si>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</si>
  <si>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</si>
  <si>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</si>
  <si>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</si>
  <si>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</si>
  <si>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</si>
  <si>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</si>
  <si>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</si>
  <si>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</si>
  <si>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</si>
  <si>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</si>
  <si>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</si>
  <si>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</si>
  <si>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</si>
  <si>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</si>
  <si>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</si>
  <si>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</si>
  <si>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</si>
  <si>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</si>
  <si>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</si>
  <si>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</si>
  <si>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</si>
  <si>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</si>
  <si>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</si>
  <si>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</si>
  <si>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</si>
  <si>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</si>
  <si>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</si>
  <si>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</si>
  <si>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</si>
  <si>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</si>
  <si>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</si>
  <si>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</si>
  <si>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</si>
  <si>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</si>
  <si>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</si>
  <si>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</si>
  <si>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</si>
  <si>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426,614*10 'Přepočtené koeficientem množství</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</si>
  <si>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</si>
  <si>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</si>
  <si>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</si>
  <si>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</si>
  <si>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</si>
  <si>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</si>
  <si>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</si>
  <si>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</si>
  <si>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426,614-8,614</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</si>
  <si>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</si>
  <si>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</si>
  <si>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</si>
  <si>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</si>
  <si>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</si>
  <si>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</si>
  <si>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</si>
  <si>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</si>
  <si>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</si>
  <si>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</si>
  <si>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</si>
  <si>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</si>
  <si>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</si>
  <si>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</si>
  <si>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</si>
  <si>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</si>
  <si>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</si>
  <si>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</si>
  <si>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</si>
  <si>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</si>
  <si>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</si>
  <si>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</si>
  <si>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</si>
  <si>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</si>
  <si>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</si>
  <si>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</si>
  <si>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</si>
  <si>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</si>
  <si>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</si>
  <si>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</si>
  <si>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</si>
  <si>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</si>
  <si>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</si>
  <si>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</si>
  <si>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</si>
  <si>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</si>
  <si>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</si>
  <si>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</si>
  <si>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</si>
  <si>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</si>
  <si>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</si>
  <si>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</si>
  <si>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</si>
  <si>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</si>
  <si>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</si>
  <si>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</si>
  <si>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</si>
  <si>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</si>
  <si>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</si>
  <si>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</si>
  <si>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</si>
  <si>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</si>
  <si>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</si>
  <si>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</si>
  <si>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</si>
  <si>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</si>
  <si>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</si>
  <si>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</si>
  <si>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</si>
  <si>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</si>
  <si>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</si>
  <si>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</si>
  <si>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</si>
  <si>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</si>
  <si>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</si>
  <si>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</si>
  <si>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</si>
  <si>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</si>
  <si>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</si>
  <si>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</si>
  <si>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</si>
  <si>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</si>
  <si>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</si>
  <si>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</si>
  <si>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</si>
  <si>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</si>
  <si>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</si>
  <si>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</si>
  <si>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</si>
  <si>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</si>
  <si>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</si>
  <si>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</si>
  <si>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</si>
  <si>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</si>
  <si>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</si>
  <si>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</si>
  <si>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</si>
  <si>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</si>
  <si>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</si>
  <si>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</si>
  <si>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</si>
  <si>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</si>
  <si>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</si>
  <si>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</si>
  <si>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</si>
  <si>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</si>
  <si>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</si>
  <si>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</si>
  <si>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</si>
  <si>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</si>
  <si>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</si>
  <si>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</si>
  <si>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</si>
  <si>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</si>
  <si>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</si>
  <si>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</si>
  <si>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</si>
  <si>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</si>
  <si>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</si>
  <si>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</si>
  <si>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</si>
  <si>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</si>
  <si>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</si>
  <si>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</si>
  <si>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</si>
  <si>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</si>
  <si>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</si>
  <si>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</si>
  <si>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</si>
  <si>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</si>
  <si>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</si>
  <si>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</si>
  <si>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</si>
  <si>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</si>
  <si>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</si>
  <si>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</si>
  <si>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</si>
  <si>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</si>
  <si>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</si>
  <si>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</si>
  <si>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</si>
  <si>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</si>
  <si>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</si>
  <si>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</si>
  <si>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</si>
  <si>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</si>
  <si>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</si>
  <si>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</si>
  <si>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</si>
  <si>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</si>
  <si>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</si>
  <si>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330,221</t>
  </si>
  <si>
    <t>287,337</t>
  </si>
  <si>
    <t>308,741</t>
  </si>
  <si>
    <t>193</t>
  </si>
  <si>
    <t>763131714</t>
  </si>
  <si>
    <t>SDK podhled základní penetrační nátěr</t>
  </si>
  <si>
    <t>819617661</t>
  </si>
  <si>
    <t>73,576+926,299+126,66</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</si>
  <si>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</si>
  <si>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</si>
  <si>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</si>
  <si>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</si>
  <si>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</si>
  <si>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</si>
  <si>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</si>
  <si>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</si>
  <si>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8,25+13,96</t>
  </si>
  <si>
    <t>48,962+100,206+94,586</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</si>
  <si>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</si>
  <si>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</si>
  <si>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</si>
  <si>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</si>
  <si>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</si>
  <si>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</si>
  <si>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</si>
  <si>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</si>
  <si>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</si>
  <si>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</si>
  <si>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</si>
  <si>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</si>
  <si>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</si>
  <si>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</si>
  <si>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</si>
  <si>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</si>
  <si>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</si>
  <si>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</si>
  <si>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</si>
  <si>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</si>
  <si>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</si>
  <si>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</si>
  <si>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</si>
  <si>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</si>
  <si>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</si>
  <si>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</si>
  <si>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</si>
  <si>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</si>
  <si>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</si>
  <si>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</si>
  <si>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</si>
  <si>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</si>
  <si>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</si>
  <si>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</si>
  <si>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</si>
  <si>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</si>
  <si>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</si>
  <si>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</si>
  <si>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</si>
  <si>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</si>
  <si>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</si>
  <si>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</si>
  <si>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</si>
  <si>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</si>
  <si>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</si>
  <si>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</si>
  <si>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</si>
  <si>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</si>
  <si>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</si>
  <si>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</si>
  <si>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</si>
  <si>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</si>
  <si>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</si>
  <si>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</si>
  <si>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</si>
  <si>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</si>
  <si>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</si>
  <si>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</si>
  <si>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</si>
  <si>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</si>
  <si>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</si>
  <si>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</si>
  <si>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</si>
  <si>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</si>
  <si>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</si>
  <si>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</si>
  <si>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</si>
  <si>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</si>
  <si>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</si>
  <si>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</si>
  <si>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</si>
  <si>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</si>
  <si>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</si>
  <si>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</si>
  <si>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</si>
  <si>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</si>
  <si>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</si>
  <si>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</si>
  <si>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</si>
  <si>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</si>
  <si>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</si>
  <si>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</si>
  <si>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</si>
  <si>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</si>
  <si>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</si>
  <si>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</si>
  <si>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</si>
  <si>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</si>
  <si>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</si>
  <si>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</si>
  <si>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</si>
  <si>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</si>
  <si>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</si>
  <si>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</si>
  <si>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</si>
  <si>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</si>
  <si>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</si>
  <si>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</si>
  <si>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</si>
  <si>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</si>
  <si>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</si>
  <si>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</si>
  <si>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</si>
  <si>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</si>
  <si>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</si>
  <si>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</si>
  <si>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</si>
  <si>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</si>
  <si>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</si>
  <si>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</si>
  <si>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</si>
  <si>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</si>
  <si>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</si>
  <si>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</si>
  <si>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</si>
  <si>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</si>
  <si>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</si>
  <si>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</si>
  <si>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</si>
  <si>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</si>
  <si>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</si>
  <si>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</si>
  <si>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</si>
  <si>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</si>
  <si>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</si>
  <si>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</si>
  <si>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</si>
  <si>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</si>
  <si>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</si>
  <si>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</si>
  <si>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</si>
  <si>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</si>
  <si>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</si>
  <si>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</si>
  <si>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</si>
  <si>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</si>
  <si>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</si>
  <si>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</si>
  <si>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</si>
  <si>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</si>
  <si>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</si>
  <si>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</si>
  <si>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</si>
  <si>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</si>
  <si>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</si>
  <si>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</si>
  <si>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</si>
  <si>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</si>
  <si>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</si>
  <si>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</si>
  <si>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</si>
  <si>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</si>
  <si>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</si>
  <si>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</si>
  <si>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</si>
  <si>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</si>
  <si>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</si>
  <si>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</si>
  <si>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</si>
  <si>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</si>
  <si>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</si>
  <si>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</si>
  <si>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</si>
  <si>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</si>
  <si>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</si>
  <si>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</si>
  <si>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</si>
  <si>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</si>
  <si>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</si>
  <si>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</si>
  <si>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</si>
  <si>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</si>
  <si>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</si>
  <si>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</si>
  <si>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</si>
  <si>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</si>
  <si>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</si>
  <si>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</si>
  <si>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</si>
  <si>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</si>
  <si>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</si>
  <si>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</si>
  <si>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</si>
  <si>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</si>
  <si>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</si>
  <si>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</si>
  <si>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</si>
  <si>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</si>
  <si>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</si>
  <si>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</si>
  <si>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</si>
  <si>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</si>
  <si>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</si>
  <si>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</si>
  <si>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</si>
  <si>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</si>
  <si>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</si>
  <si>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</si>
  <si>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</si>
  <si>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</si>
  <si>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</si>
  <si>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</si>
  <si>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</si>
  <si>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</si>
  <si>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</si>
  <si>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</si>
  <si>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</si>
  <si>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</si>
  <si>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</si>
  <si>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</si>
  <si>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</si>
  <si>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</si>
  <si>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</si>
  <si>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</si>
  <si>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</si>
  <si>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</si>
  <si>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</si>
  <si>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</si>
  <si>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</si>
  <si>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</si>
  <si>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</si>
  <si>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</si>
  <si>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</si>
  <si>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</si>
  <si>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</si>
  <si>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</si>
  <si>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</si>
  <si>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</si>
  <si>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</si>
  <si>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</si>
  <si>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</si>
  <si>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</si>
  <si>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</si>
  <si>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</si>
  <si>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</si>
  <si>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</si>
  <si>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</si>
  <si>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</si>
  <si>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</si>
  <si>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</si>
  <si>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</si>
  <si>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</si>
  <si>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</si>
  <si>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</si>
  <si>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</si>
  <si>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</si>
  <si>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</si>
  <si>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</si>
  <si>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</si>
  <si>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</si>
  <si>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</si>
  <si>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</si>
  <si>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</si>
  <si>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</si>
  <si>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</si>
  <si>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</si>
  <si>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</si>
  <si>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</si>
  <si>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</si>
  <si>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</si>
  <si>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</si>
  <si>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</si>
  <si>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</si>
  <si>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</si>
  <si>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</si>
  <si>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</si>
  <si>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</si>
  <si>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</si>
  <si>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</si>
  <si>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</si>
  <si>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</si>
  <si>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</si>
  <si>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</si>
  <si>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</si>
  <si>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</si>
  <si>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</si>
  <si>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</si>
  <si>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</si>
  <si>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</si>
  <si>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</si>
  <si>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</si>
  <si>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</si>
  <si>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</si>
  <si>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</si>
  <si>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</si>
  <si>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</si>
  <si>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</si>
  <si>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</si>
  <si>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</si>
  <si>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</si>
  <si>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</si>
  <si>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</si>
  <si>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</si>
  <si>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</si>
  <si>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</si>
  <si>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</si>
  <si>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</si>
  <si>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</si>
  <si>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</si>
  <si>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</si>
  <si>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</si>
  <si>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</si>
  <si>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</si>
  <si>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</si>
  <si>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</si>
  <si>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</si>
  <si>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</si>
  <si>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</si>
  <si>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</si>
  <si>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</si>
  <si>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</si>
  <si>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</si>
  <si>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</si>
  <si>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</si>
  <si>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</si>
  <si>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</si>
  <si>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</si>
  <si>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</si>
  <si>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</si>
  <si>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</si>
  <si>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</si>
  <si>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</si>
  <si>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</si>
  <si>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</si>
  <si>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</si>
  <si>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</si>
  <si>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</si>
  <si>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</si>
  <si>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</si>
  <si>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</si>
  <si>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</si>
  <si>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</si>
  <si>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</si>
  <si>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</si>
  <si>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</si>
  <si>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</si>
  <si>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</si>
  <si>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</si>
  <si>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</si>
  <si>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</si>
  <si>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</si>
  <si>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</si>
  <si>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</si>
  <si>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</si>
  <si>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</si>
  <si>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</si>
  <si>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</si>
  <si>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</si>
  <si>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</si>
  <si>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</si>
  <si>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</si>
  <si>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</si>
  <si>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</si>
  <si>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</si>
  <si>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</si>
  <si>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</si>
  <si>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</si>
  <si>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</si>
  <si>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</si>
  <si>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</si>
  <si>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</si>
  <si>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</si>
  <si>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</si>
  <si>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</si>
  <si>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</si>
  <si>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</si>
  <si>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</si>
  <si>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</si>
  <si>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</si>
  <si>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</si>
  <si>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</si>
  <si>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</si>
  <si>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</si>
  <si>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</si>
  <si>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</si>
  <si>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</si>
  <si>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</si>
  <si>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</si>
  <si>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</si>
  <si>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</si>
  <si>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</si>
  <si>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</si>
  <si>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</si>
  <si>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</si>
  <si>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</si>
  <si>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</si>
  <si>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</si>
  <si>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</si>
  <si>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</si>
  <si>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</si>
  <si>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</si>
  <si>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</si>
  <si>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</si>
  <si>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</si>
  <si>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</si>
  <si>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</si>
  <si>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</si>
  <si>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</si>
  <si>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</si>
  <si>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</si>
  <si>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</si>
  <si>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</si>
  <si>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</si>
  <si>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</si>
  <si>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</si>
  <si>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</si>
  <si>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</si>
  <si>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</si>
  <si>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</si>
  <si>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</si>
  <si>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</si>
  <si>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</si>
  <si>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</si>
  <si>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</si>
  <si>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</si>
  <si>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</si>
  <si>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</si>
  <si>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</si>
  <si>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</si>
  <si>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</si>
  <si>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</si>
  <si>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</si>
  <si>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</si>
  <si>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</si>
  <si>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</si>
  <si>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</si>
  <si>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</si>
  <si>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</si>
  <si>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</si>
  <si>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</si>
  <si>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</si>
  <si>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</si>
  <si>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</si>
  <si>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</si>
  <si>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</si>
  <si>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</si>
  <si>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</si>
  <si>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</si>
  <si>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</si>
  <si>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</si>
  <si>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</si>
  <si>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</si>
  <si>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</si>
  <si>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</si>
  <si>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</si>
  <si>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</si>
  <si>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</si>
  <si>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</si>
  <si>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</si>
  <si>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</si>
  <si>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</si>
  <si>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</si>
  <si>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</si>
  <si>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</si>
  <si>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</si>
  <si>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</si>
  <si>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</si>
  <si>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</si>
  <si>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</si>
  <si>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</si>
  <si>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</si>
  <si>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</si>
  <si>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</si>
  <si>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</si>
  <si>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</si>
  <si>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</si>
  <si>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</si>
  <si>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</si>
  <si>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</si>
  <si>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</si>
  <si>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</si>
  <si>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</si>
  <si>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</si>
  <si>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</si>
  <si>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</si>
  <si>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</si>
  <si>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</si>
  <si>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</si>
  <si>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</si>
  <si>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</si>
  <si>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</si>
  <si>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</si>
  <si>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</si>
  <si>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</si>
  <si>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</si>
  <si>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</si>
  <si>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</si>
  <si>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</si>
  <si>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</si>
  <si>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</si>
  <si>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</si>
  <si>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</si>
  <si>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</si>
  <si>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</si>
  <si>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</si>
  <si>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</si>
  <si>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</si>
  <si>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</si>
  <si>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</si>
  <si>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</si>
  <si>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</si>
  <si>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</si>
  <si>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</si>
  <si>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</si>
  <si>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</si>
  <si>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</si>
  <si>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</si>
  <si>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</si>
  <si>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</si>
  <si>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</si>
  <si>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</si>
  <si>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</si>
  <si>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</si>
  <si>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</si>
  <si>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</si>
  <si>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</si>
  <si>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</si>
  <si>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</si>
  <si>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</si>
  <si>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</si>
  <si>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</si>
  <si>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</si>
  <si>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</si>
  <si>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</si>
  <si>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</si>
  <si>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</si>
  <si>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</si>
  <si>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</si>
  <si>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</si>
  <si>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</si>
  <si>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</si>
  <si>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</si>
  <si>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</si>
  <si>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</si>
  <si>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</si>
  <si>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</si>
  <si>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</si>
  <si>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</si>
  <si>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</si>
  <si>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</si>
  <si>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</si>
  <si>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</si>
  <si>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</si>
  <si>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</si>
  <si>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</si>
  <si>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</si>
  <si>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</si>
  <si>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</si>
  <si>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</si>
  <si>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</si>
  <si>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</si>
  <si>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</si>
  <si>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</si>
  <si>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</si>
  <si>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</si>
  <si>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</si>
  <si>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</si>
  <si>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</si>
  <si>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</si>
  <si>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</si>
  <si>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</si>
  <si>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</si>
  <si>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</si>
  <si>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</si>
  <si>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</si>
  <si>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</si>
  <si>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</si>
  <si>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</si>
  <si>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</si>
  <si>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</si>
  <si>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</si>
  <si>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</si>
  <si>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</si>
  <si>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</si>
  <si>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</si>
  <si>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</si>
  <si>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</si>
  <si>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</si>
  <si>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</si>
  <si>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</si>
  <si>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</si>
  <si>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</si>
  <si>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</si>
  <si>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</si>
  <si>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</si>
  <si>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</si>
  <si>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</si>
  <si>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</si>
  <si>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</si>
  <si>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</si>
  <si>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</si>
  <si>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</si>
  <si>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</si>
  <si>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</si>
  <si>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</si>
  <si>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</si>
  <si>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</si>
  <si>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</si>
  <si>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</si>
  <si>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</si>
  <si>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</si>
  <si>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</si>
  <si>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</si>
  <si>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</si>
  <si>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</si>
  <si>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</si>
  <si>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</si>
  <si>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</si>
  <si>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</si>
  <si>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</si>
  <si>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</si>
  <si>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</si>
  <si>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</si>
  <si>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</si>
  <si>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</si>
  <si>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</si>
  <si>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</si>
  <si>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</si>
  <si>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</si>
  <si>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</si>
  <si>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</si>
  <si>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</si>
  <si>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</si>
  <si>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</si>
  <si>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</si>
  <si>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</si>
  <si>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</si>
  <si>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</si>
  <si>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</si>
  <si>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</si>
  <si>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</si>
  <si>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</si>
  <si>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</si>
  <si>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</si>
  <si>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</si>
  <si>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</si>
  <si>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</si>
  <si>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</si>
  <si>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</si>
  <si>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</si>
  <si>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</si>
  <si>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</si>
  <si>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</si>
  <si>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</si>
  <si>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</si>
  <si>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</si>
  <si>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</si>
  <si>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</si>
  <si>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</si>
  <si>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</si>
  <si>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</si>
  <si>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</si>
  <si>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</si>
  <si>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</si>
  <si>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</si>
  <si>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</si>
  <si>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</si>
  <si>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</si>
  <si>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</si>
  <si>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</si>
  <si>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</si>
  <si>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</si>
  <si>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</si>
  <si>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</si>
  <si>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</si>
  <si>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</si>
  <si>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</si>
  <si>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</si>
  <si>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</si>
  <si>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</si>
  <si>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</si>
  <si>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</si>
  <si>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</si>
  <si>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</si>
  <si>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</si>
  <si>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</si>
  <si>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</si>
  <si>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</si>
  <si>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</si>
  <si>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</si>
  <si>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</si>
  <si>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</si>
  <si>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</si>
  <si>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</si>
  <si>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</si>
  <si>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</si>
  <si>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</si>
  <si>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</si>
  <si>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</si>
  <si>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</si>
  <si>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</si>
  <si>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</si>
  <si>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</si>
  <si>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</si>
  <si>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</si>
  <si>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</si>
  <si>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</si>
  <si>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</si>
  <si>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</si>
  <si>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</si>
  <si>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</si>
  <si>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</si>
  <si>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</si>
  <si>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</si>
  <si>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</si>
  <si>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</si>
  <si>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</si>
  <si>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</si>
  <si>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</si>
  <si>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</si>
  <si>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</si>
  <si>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</si>
  <si>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</si>
  <si>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</si>
  <si>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</si>
  <si>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</si>
  <si>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</si>
  <si>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</si>
  <si>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</si>
  <si>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</si>
  <si>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</si>
  <si>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</si>
  <si>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</si>
  <si>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</si>
  <si>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</si>
  <si>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</si>
  <si>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</si>
  <si>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</si>
  <si>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</si>
  <si>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</si>
  <si>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</si>
  <si>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</si>
  <si>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</si>
  <si>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</si>
  <si>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</si>
  <si>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</si>
  <si>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</si>
  <si>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</si>
  <si>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</si>
  <si>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</si>
  <si>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</si>
  <si>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</si>
  <si>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</si>
  <si>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</si>
  <si>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</si>
  <si>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</si>
  <si>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</si>
  <si>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</si>
  <si>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</si>
  <si>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</si>
  <si>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</si>
  <si>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</si>
  <si>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</si>
  <si>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</si>
  <si>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</si>
  <si>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</si>
  <si>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</si>
  <si>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</si>
  <si>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</si>
  <si>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</si>
  <si>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</si>
  <si>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</si>
  <si>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</si>
  <si>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</si>
  <si>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</si>
  <si>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</si>
  <si>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</si>
  <si>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</si>
  <si>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</si>
  <si>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</si>
  <si>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</si>
  <si>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</si>
  <si>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</si>
  <si>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</si>
  <si>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</si>
  <si>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</si>
  <si>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</si>
  <si>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</si>
  <si>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</si>
  <si>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</si>
  <si>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</si>
  <si>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</si>
  <si>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</si>
  <si>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</si>
  <si>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</si>
  <si>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</si>
  <si>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</si>
  <si>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</si>
  <si>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</si>
  <si>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</si>
  <si>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</si>
  <si>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</si>
  <si>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</si>
  <si>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</si>
  <si>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</si>
  <si>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</si>
  <si>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</si>
  <si>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</si>
  <si>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</si>
  <si>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</si>
  <si>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</si>
  <si>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</si>
  <si>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</si>
  <si>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</si>
  <si>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</si>
  <si>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</si>
  <si>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</si>
  <si>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</si>
  <si>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</si>
  <si>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</si>
  <si>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</si>
  <si>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</si>
  <si>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</si>
  <si>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</si>
  <si>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</si>
  <si>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</si>
  <si>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</si>
  <si>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</si>
  <si>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</si>
  <si>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</si>
  <si>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</si>
  <si>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</si>
  <si>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</si>
  <si>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</si>
  <si>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</si>
  <si>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</si>
  <si>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</si>
  <si>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</si>
  <si>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</si>
  <si>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</si>
  <si>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</si>
  <si>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</si>
  <si>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</si>
  <si>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</si>
  <si>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</si>
  <si>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</si>
  <si>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</si>
  <si>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</si>
  <si>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</si>
  <si>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</si>
  <si>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</si>
  <si>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</si>
  <si>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</si>
  <si>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</si>
  <si>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</si>
  <si>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</si>
  <si>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</si>
  <si>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</si>
  <si>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</si>
  <si>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</si>
  <si>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</si>
  <si>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</si>
  <si>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</si>
  <si>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</si>
  <si>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</si>
  <si>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</si>
  <si>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</si>
  <si>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</si>
  <si>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</si>
  <si>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</si>
  <si>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</si>
  <si>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</si>
  <si>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</si>
  <si>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</si>
  <si>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</si>
  <si>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</si>
  <si>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</si>
  <si>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</si>
  <si>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</si>
  <si>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</si>
  <si>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</si>
  <si>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</si>
  <si>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</si>
  <si>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</si>
  <si>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</si>
  <si>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</si>
  <si>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</si>
  <si>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</si>
  <si>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</si>
  <si>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</si>
  <si>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</si>
  <si>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</si>
  <si>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</si>
  <si>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</si>
  <si>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</si>
  <si>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</si>
  <si>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</si>
  <si>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</si>
  <si>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</si>
  <si>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</si>
  <si>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</si>
  <si>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</si>
  <si>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</si>
  <si>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</si>
  <si>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</si>
  <si>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</si>
  <si>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</si>
  <si>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</si>
  <si>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</si>
  <si>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</si>
  <si>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</si>
  <si>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</si>
  <si>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</si>
  <si>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</si>
  <si>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</si>
  <si>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</si>
  <si>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</si>
  <si>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</si>
  <si>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</si>
  <si>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</si>
  <si>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</si>
  <si>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</si>
  <si>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</si>
  <si>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</si>
  <si>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</si>
  <si>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</si>
  <si>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</si>
  <si>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</si>
  <si>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</si>
  <si>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</si>
  <si>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</si>
  <si>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</si>
  <si>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</si>
  <si>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</si>
  <si>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</si>
  <si>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</si>
  <si>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</si>
  <si>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</si>
  <si>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</si>
  <si>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</si>
  <si>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</si>
  <si>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</si>
  <si>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</si>
  <si>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</si>
  <si>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</si>
  <si>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</si>
  <si>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</si>
  <si>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</si>
  <si>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</si>
  <si>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</si>
  <si>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</si>
  <si>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</si>
  <si>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</si>
  <si>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</si>
  <si>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</si>
  <si>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</si>
  <si>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</si>
  <si>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</si>
  <si>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</si>
  <si>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</si>
  <si>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</si>
  <si>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</si>
  <si>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</si>
  <si>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</si>
  <si>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</si>
  <si>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</si>
  <si>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</si>
  <si>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</si>
  <si>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</si>
  <si>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</si>
  <si>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</si>
  <si>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</si>
  <si>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</si>
  <si>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</si>
  <si>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</si>
  <si>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</si>
  <si>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</si>
  <si>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</si>
  <si>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</si>
  <si>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</si>
  <si>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</si>
  <si>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</si>
  <si>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</si>
  <si>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</si>
  <si>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</si>
  <si>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</si>
  <si>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</si>
  <si>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</si>
  <si>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</si>
  <si>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</si>
  <si>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</si>
  <si>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</si>
  <si>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</si>
  <si>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</si>
  <si>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</si>
  <si>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</si>
  <si>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</si>
  <si>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</si>
  <si>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</si>
  <si>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</si>
  <si>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</si>
  <si>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</si>
  <si>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</si>
  <si>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</si>
  <si>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</si>
  <si>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</si>
  <si>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</si>
  <si>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</si>
  <si>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</si>
  <si>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</si>
  <si>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</si>
  <si>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</si>
  <si>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</si>
  <si>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</si>
  <si>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</si>
  <si>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</si>
  <si>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</si>
  <si>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</si>
  <si>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</si>
  <si>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</si>
  <si>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</si>
  <si>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</si>
  <si>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</si>
  <si>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</si>
  <si>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</si>
  <si>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</si>
  <si>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</si>
  <si>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</si>
  <si>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</si>
  <si>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</si>
  <si>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</si>
  <si>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</si>
  <si>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</si>
  <si>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</si>
  <si>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</si>
  <si>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</si>
  <si>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</si>
  <si>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</si>
  <si>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</si>
  <si>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</si>
  <si>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</si>
  <si>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</si>
  <si>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</si>
  <si>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</si>
  <si>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</si>
  <si>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</si>
  <si>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</si>
  <si>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</si>
  <si>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</si>
  <si>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</si>
  <si>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</si>
  <si>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</si>
  <si>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</si>
  <si>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</si>
  <si>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</si>
  <si>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</si>
  <si>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</si>
  <si>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</si>
  <si>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</si>
  <si>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</si>
  <si>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</si>
  <si>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</si>
  <si>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</si>
  <si>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</si>
  <si>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</si>
  <si>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</si>
  <si>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</si>
  <si>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</si>
  <si>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</si>
  <si>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</si>
  <si>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</si>
  <si>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</si>
  <si>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</si>
  <si>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</si>
  <si>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</si>
  <si>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</si>
  <si>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</si>
  <si>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</si>
  <si>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</si>
  <si>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</si>
  <si>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</si>
  <si>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</si>
  <si>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</si>
  <si>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</si>
  <si>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</si>
  <si>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</si>
  <si>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</si>
  <si>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</si>
  <si>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</si>
  <si>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</si>
  <si>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</si>
  <si>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</si>
  <si>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</si>
  <si>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</si>
  <si>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</si>
  <si>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</si>
  <si>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</si>
  <si>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</si>
  <si>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</si>
  <si>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</si>
  <si>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</si>
  <si>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</si>
  <si>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</si>
  <si>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</si>
  <si>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</si>
  <si>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</si>
  <si>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</si>
  <si>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</si>
  <si>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</si>
  <si>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</si>
  <si>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</si>
  <si>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</si>
  <si>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</si>
  <si>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</si>
  <si>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</si>
  <si>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</si>
  <si>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</si>
  <si>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</si>
  <si>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</si>
  <si>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</si>
  <si>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</si>
  <si>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</si>
  <si>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</si>
  <si>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</si>
  <si>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</si>
  <si>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</si>
  <si>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</si>
  <si>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</si>
  <si>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</si>
  <si>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</si>
  <si>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</si>
  <si>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</si>
  <si>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</si>
  <si>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</si>
  <si>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</si>
  <si>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</si>
  <si>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</si>
  <si>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</si>
  <si>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</si>
  <si>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</si>
  <si>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</si>
  <si>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</si>
  <si>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</si>
  <si>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</si>
  <si>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</si>
  <si>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</si>
  <si>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</si>
  <si>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</si>
  <si>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</si>
  <si>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</si>
  <si>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</si>
  <si>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</si>
  <si>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</si>
  <si>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</si>
  <si>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</si>
  <si>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</si>
  <si>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</si>
  <si>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</si>
  <si>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</si>
  <si>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</si>
  <si>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</si>
  <si>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</si>
  <si>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</si>
  <si>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</si>
  <si>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</si>
  <si>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</si>
  <si>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</si>
  <si>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</si>
  <si>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</si>
  <si>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</si>
  <si>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</si>
  <si>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</si>
  <si>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</si>
  <si>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</si>
  <si>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</si>
  <si>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</si>
  <si>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</si>
  <si>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</si>
  <si>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</si>
  <si>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</si>
  <si>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</si>
  <si>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</si>
  <si>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</si>
  <si>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</si>
  <si>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</si>
  <si>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</si>
  <si>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</si>
  <si>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</si>
  <si>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</si>
  <si>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</si>
  <si>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</si>
  <si>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</si>
  <si>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</si>
  <si>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</si>
  <si>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</si>
  <si>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</si>
  <si>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</si>
  <si>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</si>
  <si>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</si>
  <si>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</si>
  <si>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</si>
  <si>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</si>
  <si>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</si>
  <si>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</si>
  <si>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</si>
  <si>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</si>
  <si>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</si>
  <si>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</si>
  <si>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</si>
  <si>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</si>
  <si>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</si>
  <si>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</si>
  <si>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</si>
  <si>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</si>
  <si>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</si>
  <si>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</si>
  <si>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</si>
  <si>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</si>
  <si>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</si>
  <si>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</si>
  <si>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</si>
  <si>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</si>
  <si>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</si>
  <si>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</si>
  <si>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</si>
  <si>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</si>
  <si>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</si>
  <si>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</si>
  <si>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</si>
  <si>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</si>
  <si>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</si>
  <si>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</si>
  <si>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</si>
  <si>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</si>
  <si>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</si>
  <si>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</si>
  <si>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</si>
  <si>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</si>
  <si>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</si>
  <si>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</si>
  <si>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</si>
  <si>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</si>
  <si>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</si>
  <si>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</si>
  <si>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</si>
  <si>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</si>
  <si>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</si>
  <si>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</si>
  <si>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</si>
  <si>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</si>
  <si>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</si>
  <si>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</si>
  <si>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</si>
  <si>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</si>
  <si>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</si>
  <si>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</si>
  <si>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</si>
  <si>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</si>
  <si>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</si>
  <si>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</si>
  <si>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</si>
  <si>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</si>
  <si>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</si>
  <si>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</si>
  <si>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</si>
  <si>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</si>
  <si>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</si>
  <si>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</si>
  <si>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</si>
  <si>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</si>
  <si>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</si>
  <si>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</si>
  <si>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</si>
  <si>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</si>
  <si>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</si>
  <si>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</si>
  <si>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</si>
  <si>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</si>
  <si>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</si>
  <si>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</si>
  <si>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</si>
  <si>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</si>
  <si>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</si>
  <si>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</si>
  <si>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</si>
  <si>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</si>
  <si>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</si>
  <si>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</si>
  <si>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</si>
  <si>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</si>
  <si>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</si>
  <si>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</si>
  <si>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</si>
  <si>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</si>
  <si>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</si>
  <si>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</si>
  <si>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</si>
  <si>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</si>
  <si>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</si>
  <si>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</si>
  <si>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</si>
  <si>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</si>
  <si>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</si>
  <si>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</si>
  <si>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</si>
  <si>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</si>
  <si>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</si>
  <si>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</si>
  <si>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</si>
  <si>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</si>
  <si>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</si>
  <si>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</si>
  <si>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</si>
  <si>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</si>
  <si>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</si>
  <si>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</si>
  <si>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</si>
  <si>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</si>
  <si>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</si>
  <si>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</si>
  <si>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</si>
  <si>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</si>
  <si>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</si>
  <si>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</si>
  <si>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</si>
  <si>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</si>
  <si>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</si>
  <si>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</si>
  <si>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</si>
  <si>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</si>
  <si>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</si>
  <si>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</si>
  <si>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</si>
  <si>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</si>
  <si>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</si>
  <si>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</si>
  <si>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</si>
  <si>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</si>
  <si>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</si>
  <si>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</si>
  <si>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</si>
  <si>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</si>
  <si>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</si>
  <si>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</si>
  <si>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</si>
  <si>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</si>
  <si>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</si>
  <si>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</si>
  <si>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</si>
  <si>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</si>
  <si>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</si>
  <si>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</si>
  <si>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</si>
  <si>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</si>
  <si>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</si>
  <si>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</si>
  <si>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</si>
  <si>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</si>
  <si>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</si>
  <si>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</si>
  <si>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</si>
  <si>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</si>
  <si>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</si>
  <si>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</si>
  <si>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</si>
  <si>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</si>
  <si>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</si>
  <si>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</si>
  <si>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</si>
  <si>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</si>
  <si>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</si>
  <si>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</si>
  <si>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</si>
  <si>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</si>
  <si>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</si>
  <si>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</si>
  <si>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</si>
  <si>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</si>
  <si>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</si>
  <si>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</si>
  <si>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</si>
  <si>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</si>
  <si>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</si>
  <si>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</si>
  <si>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</si>
  <si>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</si>
  <si>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</si>
  <si>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</si>
  <si>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</si>
  <si>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</si>
  <si>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</si>
  <si>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</si>
  <si>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</si>
  <si>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</si>
  <si>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</si>
  <si>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</si>
  <si>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</si>
  <si>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</si>
  <si>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</si>
  <si>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</si>
  <si>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</si>
  <si>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1*1*2</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</si>
  <si>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</si>
  <si>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</si>
  <si>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</si>
  <si>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</si>
  <si>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</si>
  <si>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</si>
  <si>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</si>
  <si>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</si>
  <si>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</si>
  <si>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</si>
  <si>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</si>
  <si>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</si>
  <si>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</si>
  <si>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</si>
  <si>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</si>
  <si>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</si>
  <si>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</si>
  <si>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</si>
  <si>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</si>
  <si>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</si>
  <si>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</si>
  <si>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</si>
  <si>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</si>
  <si>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</si>
  <si>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</si>
  <si>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</si>
  <si>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</si>
  <si>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</si>
  <si>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</si>
  <si>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</si>
  <si>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</si>
  <si>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</si>
  <si>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</si>
  <si>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</si>
  <si>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</si>
  <si>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</si>
  <si>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</si>
  <si>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</si>
  <si>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</si>
  <si>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</si>
  <si>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</si>
  <si>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</si>
  <si>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</si>
  <si>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</si>
  <si>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</si>
  <si>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</si>
  <si>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</si>
  <si>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</si>
  <si>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</si>
  <si>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</si>
  <si>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</si>
  <si>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</si>
  <si>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</si>
  <si>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</si>
  <si>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</si>
  <si>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</si>
  <si>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</si>
  <si>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</si>
  <si>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</si>
  <si>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</si>
  <si>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</si>
  <si>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</si>
  <si>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</si>
  <si>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</si>
  <si>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</si>
  <si>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</si>
  <si>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</si>
  <si>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</si>
  <si>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</si>
  <si>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</si>
  <si>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</si>
  <si>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</si>
  <si>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</si>
  <si>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</si>
  <si>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</si>
  <si>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</si>
  <si>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</si>
  <si>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</si>
  <si>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</si>
  <si>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</si>
  <si>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</si>
  <si>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</si>
  <si>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</si>
  <si>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</si>
  <si>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</si>
  <si>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</si>
  <si>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</si>
  <si>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</si>
  <si>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</si>
  <si>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</si>
  <si>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</si>
  <si>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</si>
  <si>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</si>
  <si>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</si>
  <si>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</si>
  <si>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</si>
  <si>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</si>
  <si>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</si>
  <si>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</si>
  <si>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</si>
  <si>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</si>
  <si>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</si>
  <si>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</si>
  <si>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</si>
  <si>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</si>
  <si>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</si>
  <si>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</si>
  <si>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</si>
  <si>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</si>
  <si>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</si>
  <si>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</si>
  <si>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</si>
  <si>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</si>
  <si>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</si>
  <si>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</si>
  <si>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</si>
  <si>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</si>
  <si>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</si>
  <si>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</si>
  <si>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</si>
  <si>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</si>
  <si>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</si>
  <si>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</si>
  <si>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</si>
  <si>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</si>
  <si>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</si>
  <si>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</si>
  <si>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</si>
  <si>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</si>
  <si>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</si>
  <si>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</si>
  <si>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</si>
  <si>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</si>
  <si>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</si>
  <si>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</si>
  <si>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</si>
  <si>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</si>
  <si>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</si>
  <si>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</si>
  <si>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</si>
  <si>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</si>
  <si>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</si>
  <si>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</si>
  <si>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</si>
  <si>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</si>
  <si>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</si>
  <si>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</si>
  <si>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</si>
  <si>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</si>
  <si>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</si>
  <si>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</si>
  <si>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</si>
  <si>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</si>
  <si>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</si>
  <si>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</si>
  <si>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</si>
  <si>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</si>
  <si>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</si>
  <si>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</si>
  <si>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</si>
  <si>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</si>
  <si>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</si>
  <si>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</si>
  <si>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</si>
  <si>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</si>
  <si>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</si>
  <si>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</si>
  <si>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</si>
  <si>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</si>
  <si>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</si>
  <si>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</si>
  <si>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</si>
  <si>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</si>
  <si>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</si>
  <si>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</si>
  <si>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</si>
  <si>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</si>
  <si>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</si>
  <si>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</si>
  <si>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</si>
  <si>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</si>
  <si>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</si>
  <si>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</si>
  <si>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</si>
  <si>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</si>
  <si>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</si>
  <si>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</si>
  <si>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</si>
  <si>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</si>
  <si>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</si>
  <si>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</si>
  <si>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</si>
  <si>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</si>
  <si>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</si>
  <si>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</si>
  <si>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</si>
  <si>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</si>
  <si>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</si>
  <si>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</si>
  <si>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</si>
  <si>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</si>
  <si>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</si>
  <si>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</si>
  <si>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</si>
  <si>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</si>
  <si>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</si>
  <si>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</si>
  <si>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</si>
  <si>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</si>
  <si>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</si>
  <si>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</si>
  <si>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</si>
  <si>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</si>
  <si>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</si>
  <si>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</si>
  <si>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</si>
  <si>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</si>
  <si>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</si>
  <si>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</si>
  <si>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</si>
  <si>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</si>
  <si>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</si>
  <si>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</si>
  <si>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</si>
  <si>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</si>
  <si>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</si>
  <si>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</si>
  <si>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</si>
  <si>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</si>
  <si>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</si>
  <si>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</si>
  <si>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</si>
  <si>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</si>
  <si>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</si>
  <si>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</si>
  <si>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</si>
  <si>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</si>
  <si>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</si>
  <si>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</si>
  <si>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</si>
  <si>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</si>
  <si>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</si>
  <si>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</si>
  <si>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</si>
  <si>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</si>
  <si>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</si>
  <si>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</si>
  <si>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</si>
  <si>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</si>
  <si>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</si>
  <si>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</si>
  <si>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</si>
  <si>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</si>
  <si>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</si>
  <si>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</si>
  <si>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</si>
  <si>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</si>
  <si>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</si>
  <si>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</si>
  <si>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</si>
  <si>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</si>
  <si>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</si>
  <si>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</si>
  <si>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</si>
  <si>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</si>
  <si>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</si>
  <si>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</si>
  <si>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</si>
  <si>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</si>
  <si>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</si>
  <si>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</si>
  <si>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</si>
  <si>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</si>
  <si>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</si>
  <si>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</si>
  <si>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</si>
  <si>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</si>
  <si>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</si>
  <si>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</si>
  <si>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</si>
  <si>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</si>
  <si>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</si>
  <si>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</si>
  <si>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</si>
  <si>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</si>
  <si>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</si>
  <si>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</si>
  <si>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</si>
  <si>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</si>
  <si>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</si>
  <si>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</si>
  <si>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</si>
  <si>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</si>
  <si>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</si>
  <si>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</si>
  <si>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</si>
  <si>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</si>
  <si>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</si>
  <si>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</si>
  <si>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</si>
  <si>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</si>
  <si>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</si>
  <si>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</si>
  <si>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</si>
  <si>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</si>
  <si>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</si>
  <si>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</si>
  <si>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</si>
  <si>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</si>
  <si>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</si>
  <si>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</si>
  <si>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</si>
  <si>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</si>
  <si>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</si>
  <si>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</si>
  <si>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</si>
  <si>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</si>
  <si>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</si>
  <si>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</si>
  <si>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</si>
  <si>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</si>
  <si>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</si>
  <si>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</si>
  <si>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</si>
  <si>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</si>
  <si>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</si>
  <si>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</si>
  <si>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</si>
  <si>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</si>
  <si>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</si>
  <si>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</si>
  <si>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</si>
  <si>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</si>
  <si>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</si>
  <si>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</si>
  <si>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</si>
  <si>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</si>
  <si>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</si>
  <si>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</si>
  <si>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</si>
  <si>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</si>
  <si>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</si>
  <si>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</si>
  <si>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</si>
  <si>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</si>
  <si>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</si>
  <si>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</si>
  <si>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</si>
  <si>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</si>
  <si>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</si>
  <si>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</si>
  <si>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</si>
  <si>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</si>
  <si>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</si>
  <si>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</si>
  <si>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</si>
  <si>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</si>
  <si>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</si>
  <si>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</si>
  <si>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</si>
  <si>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</si>
  <si>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</si>
  <si>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</si>
  <si>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</si>
  <si>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</si>
  <si>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</si>
  <si>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</si>
  <si>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</si>
  <si>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</si>
  <si>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</si>
  <si>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</si>
  <si>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</si>
  <si>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</si>
  <si>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</si>
  <si>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</si>
  <si>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</si>
  <si>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</si>
  <si>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</si>
  <si>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</si>
  <si>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</si>
  <si>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</si>
  <si>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</si>
  <si>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</si>
  <si>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</si>
  <si>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</si>
  <si>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</si>
  <si>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</si>
  <si>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</si>
  <si>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</si>
  <si>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</si>
  <si>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</si>
  <si>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</si>
  <si>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</si>
  <si>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</si>
  <si>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</si>
  <si>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</si>
  <si>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</si>
  <si>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</si>
  <si>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</si>
  <si>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</si>
  <si>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</si>
  <si>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</si>
  <si>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</si>
  <si>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</si>
  <si>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</si>
  <si>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</si>
  <si>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</si>
  <si>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</si>
  <si>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</si>
  <si>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</si>
  <si>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</si>
  <si>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</si>
  <si>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</si>
  <si>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</si>
  <si>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</si>
  <si>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</si>
  <si>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</si>
  <si>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</si>
  <si>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</si>
  <si>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</si>
  <si>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</si>
  <si>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</si>
  <si>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</si>
  <si>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</si>
  <si>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</si>
  <si>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</si>
  <si>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</si>
  <si>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</si>
  <si>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</si>
  <si>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</si>
  <si>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</si>
  <si>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</si>
  <si>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</si>
  <si>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</si>
  <si>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</si>
  <si>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</si>
  <si>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</si>
  <si>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</si>
  <si>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</si>
  <si>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</si>
  <si>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</si>
  <si>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</si>
  <si>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</si>
  <si>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</si>
  <si>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</si>
  <si>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</si>
  <si>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</si>
  <si>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</si>
  <si>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</si>
  <si>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</si>
  <si>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</si>
  <si>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</si>
  <si>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</si>
  <si>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</si>
  <si>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</si>
  <si>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</si>
  <si>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</si>
  <si>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</si>
  <si>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</si>
  <si>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</si>
  <si>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</si>
  <si>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</si>
  <si>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</si>
  <si>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</si>
  <si>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</si>
  <si>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</si>
  <si>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</si>
  <si>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</si>
  <si>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</si>
  <si>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</si>
  <si>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</si>
  <si>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</si>
  <si>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</si>
  <si>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</si>
  <si>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</si>
  <si>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</si>
  <si>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</si>
  <si>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</si>
  <si>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</si>
  <si>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</si>
  <si>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</si>
  <si>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</si>
  <si>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</si>
  <si>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</si>
  <si>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</si>
  <si>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</si>
  <si>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</si>
  <si>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</si>
  <si>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</si>
  <si>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</si>
  <si>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</si>
  <si>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</si>
  <si>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</si>
  <si>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</si>
  <si>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</si>
  <si>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</si>
  <si>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</si>
  <si>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</si>
  <si>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</si>
  <si>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</si>
  <si>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</si>
  <si>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</si>
  <si>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</si>
  <si>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</si>
  <si>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</si>
  <si>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</si>
  <si>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</si>
  <si>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</si>
  <si>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</si>
  <si>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</si>
  <si>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</si>
  <si>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</si>
  <si>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</si>
  <si>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</si>
  <si>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</si>
  <si>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</si>
  <si>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</si>
  <si>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</si>
  <si>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</si>
  <si>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</si>
  <si>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</si>
  <si>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</si>
  <si>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</si>
  <si>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</si>
  <si>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</si>
  <si>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</si>
  <si>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</si>
  <si>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</si>
  <si>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</si>
  <si>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</si>
  <si>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</si>
  <si>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</si>
  <si>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</si>
  <si>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</si>
  <si>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</si>
  <si>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</si>
  <si>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</si>
  <si>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</si>
  <si>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</si>
  <si>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</si>
  <si>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</si>
  <si>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</si>
  <si>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</si>
  <si>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</si>
  <si>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</si>
  <si>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</si>
  <si>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</si>
  <si>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</si>
  <si>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</si>
  <si>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</si>
  <si>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</si>
  <si>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</si>
  <si>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</si>
  <si>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</si>
  <si>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</si>
  <si>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</si>
  <si>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</si>
  <si>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</si>
  <si>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</si>
  <si>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</si>
  <si>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</si>
  <si>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</si>
  <si>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</si>
  <si>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</si>
  <si>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</si>
  <si>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</si>
  <si>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</si>
  <si>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</si>
  <si>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</si>
  <si>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</si>
  <si>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</si>
  <si>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</si>
  <si>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</si>
  <si>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</si>
  <si>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</si>
  <si>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</si>
  <si>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</si>
  <si>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</si>
  <si>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</si>
  <si>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</si>
  <si>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</si>
  <si>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</si>
  <si>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</si>
  <si>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</si>
  <si>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</si>
  <si>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</si>
  <si>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</si>
  <si>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</si>
  <si>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</si>
  <si>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</si>
  <si>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</si>
  <si>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</si>
  <si>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</si>
  <si>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</si>
  <si>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</si>
  <si>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</si>
  <si>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</si>
  <si>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</si>
  <si>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</si>
  <si>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</si>
  <si>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</si>
  <si>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</si>
  <si>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</si>
  <si>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</si>
  <si>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</si>
  <si>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</si>
  <si>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</si>
  <si>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</si>
  <si>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</si>
  <si>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</si>
  <si>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</si>
  <si>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</si>
  <si>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</si>
  <si>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</si>
  <si>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</si>
  <si>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</si>
  <si>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</si>
  <si>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</si>
  <si>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</si>
  <si>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</si>
  <si>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</si>
  <si>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</si>
  <si>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</si>
  <si>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</si>
  <si>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</si>
  <si>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</si>
  <si>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</si>
  <si>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</si>
  <si>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</si>
  <si>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</si>
  <si>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</si>
  <si>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</si>
  <si>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</si>
  <si>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</si>
  <si>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</si>
  <si>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</si>
  <si>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</si>
  <si>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</si>
  <si>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</si>
  <si>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</si>
  <si>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</si>
  <si>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</si>
  <si>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</si>
  <si>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</si>
  <si>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</si>
  <si>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</si>
  <si>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</si>
  <si>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</si>
  <si>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</si>
  <si>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</si>
  <si>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</si>
  <si>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</si>
  <si>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</si>
  <si>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</si>
  <si>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</si>
  <si>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</si>
  <si>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</si>
  <si>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</si>
  <si>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</si>
  <si>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</si>
  <si>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</si>
  <si>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</si>
  <si>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</si>
  <si>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</si>
  <si>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</si>
  <si>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</si>
  <si>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</si>
  <si>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</si>
  <si>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</si>
  <si>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</si>
  <si>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</si>
  <si>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</si>
  <si>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</si>
  <si>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</si>
  <si>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</si>
  <si>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</si>
  <si>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</si>
  <si>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</si>
  <si>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</si>
  <si>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</si>
  <si>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</si>
  <si>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</si>
  <si>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</si>
  <si>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</si>
  <si>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</si>
  <si>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</si>
  <si>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</si>
  <si>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</si>
  <si>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</si>
  <si>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</si>
  <si>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</si>
  <si>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</si>
  <si>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</si>
  <si>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</si>
  <si>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</si>
  <si>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</si>
  <si>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</si>
  <si>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</si>
  <si>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</si>
  <si>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</si>
  <si>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</si>
  <si>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</si>
  <si>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</si>
  <si>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</si>
  <si>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</si>
  <si>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</si>
  <si>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</si>
  <si>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</si>
  <si>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</si>
  <si>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</si>
  <si>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</si>
  <si>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</si>
  <si>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</si>
  <si>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</si>
  <si>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</si>
  <si>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</si>
  <si>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</si>
  <si>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</si>
  <si>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</si>
  <si>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</si>
  <si>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</si>
  <si>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</si>
  <si>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</si>
  <si>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</si>
  <si>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</si>
  <si>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</si>
  <si>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</si>
  <si>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</si>
  <si>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</si>
  <si>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</si>
  <si>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</si>
  <si>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</si>
  <si>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</si>
  <si>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</si>
  <si>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</si>
  <si>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</si>
  <si>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</si>
  <si>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</si>
  <si>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</si>
  <si>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</si>
  <si>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</si>
  <si>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</si>
  <si>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</si>
  <si>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</si>
  <si>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</si>
  <si>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</si>
  <si>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</si>
  <si>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</si>
  <si>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</si>
  <si>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</si>
  <si>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</si>
  <si>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</si>
  <si>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</si>
  <si>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</si>
  <si>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</si>
  <si>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</si>
  <si>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</si>
  <si>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</si>
  <si>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</si>
  <si>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</si>
  <si>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</si>
  <si>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</si>
  <si>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</si>
  <si>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</si>
  <si>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</si>
  <si>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</si>
  <si>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</si>
  <si>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</si>
  <si>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</si>
  <si>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</si>
  <si>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</si>
  <si>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</si>
  <si>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</si>
  <si>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</si>
  <si>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</si>
  <si>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</si>
  <si>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</si>
  <si>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</si>
  <si>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</si>
  <si>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</si>
  <si>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</si>
  <si>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</si>
  <si>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</si>
  <si>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</si>
  <si>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</si>
  <si>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</si>
  <si>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</si>
  <si>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</si>
  <si>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</si>
  <si>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</si>
  <si>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</si>
  <si>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</si>
  <si>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</si>
  <si>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</si>
  <si>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</si>
  <si>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</si>
  <si>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</si>
  <si>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</si>
  <si>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</si>
  <si>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</si>
  <si>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</si>
  <si>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</si>
  <si>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</si>
  <si>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</si>
  <si>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</si>
  <si>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</si>
  <si>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</si>
  <si>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</si>
  <si>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</si>
  <si>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</si>
  <si>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</si>
  <si>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</si>
  <si>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</si>
  <si>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</si>
  <si>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</si>
  <si>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</si>
  <si>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</si>
  <si>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</si>
  <si>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</si>
  <si>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</si>
  <si>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</si>
  <si>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</si>
  <si>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</si>
  <si>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</si>
  <si>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</si>
  <si>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</si>
  <si>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</si>
  <si>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</si>
  <si>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</si>
  <si>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</si>
  <si>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</si>
  <si>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</si>
  <si>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</si>
  <si>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</si>
  <si>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</si>
  <si>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</si>
  <si>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</si>
  <si>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</si>
  <si>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</si>
  <si>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</si>
  <si>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</si>
  <si>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</si>
  <si>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</si>
  <si>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</si>
  <si>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</si>
  <si>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</si>
  <si>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</si>
  <si>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</si>
  <si>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</si>
  <si>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</si>
  <si>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</si>
  <si>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</si>
  <si>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</si>
  <si>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</si>
  <si>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</si>
  <si>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</si>
  <si>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</si>
  <si>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</si>
  <si>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</si>
  <si>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</si>
  <si>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</si>
  <si>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</si>
  <si>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</si>
  <si>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</si>
  <si>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</si>
  <si>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</si>
  <si>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</si>
  <si>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</si>
  <si>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</si>
  <si>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</si>
  <si>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</si>
  <si>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</si>
  <si>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</si>
  <si>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</si>
  <si>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</si>
  <si>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</si>
  <si>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</si>
  <si>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</si>
  <si>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</si>
  <si>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</si>
  <si>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</si>
  <si>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</si>
  <si>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</si>
  <si>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</si>
  <si>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</si>
  <si>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</si>
  <si>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</si>
  <si>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</si>
  <si>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</si>
  <si>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</si>
  <si>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</si>
  <si>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</si>
  <si>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</si>
  <si>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</si>
  <si>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</si>
  <si>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</si>
  <si>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</si>
  <si>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</si>
  <si>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</si>
  <si>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</si>
  <si>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</si>
  <si>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</si>
  <si>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</si>
  <si>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</si>
  <si>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</si>
  <si>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</si>
  <si>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</si>
  <si>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</si>
  <si>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</si>
  <si>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</si>
  <si>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</si>
  <si>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</si>
  <si>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</si>
  <si>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</si>
  <si>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</si>
  <si>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</si>
  <si>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</si>
  <si>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</si>
  <si>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</si>
  <si>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</si>
  <si>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</si>
  <si>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</si>
  <si>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</si>
  <si>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</si>
  <si>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</si>
  <si>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</si>
  <si>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</si>
  <si>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</si>
  <si>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</si>
  <si>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</si>
  <si>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</si>
  <si>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</si>
  <si>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</si>
  <si>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</si>
  <si>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</si>
  <si>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</si>
  <si>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</si>
  <si>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</si>
  <si>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</si>
  <si>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</si>
  <si>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</si>
  <si>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</si>
  <si>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</si>
  <si>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</si>
  <si>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</si>
  <si>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</si>
  <si>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</si>
  <si>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</si>
  <si>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</si>
  <si>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</si>
  <si>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</si>
  <si>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</si>
  <si>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</si>
  <si>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</si>
  <si>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</si>
  <si>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</si>
  <si>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</si>
  <si>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</si>
  <si>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</si>
  <si>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</si>
  <si>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</si>
  <si>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</si>
  <si>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</si>
  <si>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</si>
  <si>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</si>
  <si>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</si>
  <si>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</si>
  <si>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</si>
  <si>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</si>
  <si>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</si>
  <si>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</si>
  <si>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</si>
  <si>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</si>
  <si>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</si>
  <si>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</si>
  <si>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</si>
  <si>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</si>
  <si>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</si>
  <si>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</si>
  <si>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</si>
  <si>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</si>
  <si>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</si>
  <si>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</si>
  <si>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</si>
  <si>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</si>
  <si>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</si>
  <si>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</si>
  <si>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</si>
  <si>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</si>
  <si>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</si>
  <si>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</si>
  <si>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</si>
  <si>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</si>
  <si>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</si>
  <si>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</si>
  <si>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</si>
  <si>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</si>
  <si>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</si>
  <si>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</si>
  <si>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</si>
  <si>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</si>
  <si>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</si>
  <si>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</si>
  <si>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</si>
  <si>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</si>
  <si>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</si>
  <si>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</si>
  <si>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</si>
  <si>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</si>
  <si>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</si>
  <si>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</si>
  <si>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</si>
  <si>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</si>
  <si>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</si>
  <si>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</si>
  <si>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</si>
  <si>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</si>
  <si>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</si>
  <si>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</si>
  <si>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</si>
  <si>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</si>
  <si>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</si>
  <si>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</si>
  <si>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</si>
  <si>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</si>
  <si>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</si>
  <si>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</si>
  <si>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</si>
  <si>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</si>
  <si>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</si>
  <si>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</si>
  <si>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</si>
  <si>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</si>
  <si>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</si>
  <si>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</si>
  <si>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</si>
  <si>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</si>
  <si>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</si>
  <si>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</si>
  <si>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</si>
  <si>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</si>
  <si>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</si>
  <si>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</si>
  <si>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</si>
  <si>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</si>
  <si>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</si>
  <si>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</si>
  <si>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</si>
  <si>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</si>
  <si>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</si>
  <si>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</si>
  <si>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</si>
  <si>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</si>
  <si>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</si>
  <si>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</si>
  <si>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</si>
  <si>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</si>
  <si>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</si>
  <si>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</si>
  <si>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</si>
  <si>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</si>
  <si>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</si>
  <si>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</si>
  <si>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</si>
  <si>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</si>
  <si>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</si>
  <si>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</si>
  <si>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</si>
  <si>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</si>
  <si>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</si>
  <si>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</si>
  <si>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</si>
  <si>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</si>
  <si>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</si>
  <si>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</si>
  <si>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</si>
  <si>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</si>
  <si>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</si>
  <si>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</si>
  <si>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</si>
  <si>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</si>
  <si>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</si>
  <si>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</si>
  <si>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</si>
  <si>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</si>
  <si>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</si>
  <si>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</si>
  <si>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</si>
  <si>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</si>
  <si>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</si>
  <si>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</si>
  <si>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</si>
  <si>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</si>
  <si>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</si>
  <si>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</si>
  <si>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</si>
  <si>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</si>
  <si>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</si>
  <si>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</si>
  <si>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</si>
  <si>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</si>
  <si>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</si>
  <si>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</si>
  <si>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</si>
  <si>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</si>
  <si>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</si>
  <si>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</si>
  <si>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</si>
  <si>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</si>
  <si>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</si>
  <si>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</si>
  <si>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</si>
  <si>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</si>
  <si>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</si>
  <si>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</si>
  <si>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</si>
  <si>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</si>
  <si>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</si>
  <si>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</si>
  <si>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</si>
  <si>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</si>
  <si>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</si>
  <si>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</si>
  <si>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</si>
  <si>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</si>
  <si>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</si>
  <si>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</si>
  <si>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</si>
  <si>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</si>
  <si>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</si>
  <si>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</si>
  <si>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</si>
  <si>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</si>
  <si>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</si>
  <si>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</si>
  <si>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</si>
  <si>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</si>
  <si>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</si>
  <si>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</si>
  <si>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</si>
  <si>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</si>
  <si>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</si>
  <si>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</si>
  <si>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</si>
  <si>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</si>
  <si>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</si>
  <si>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</si>
  <si>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</si>
  <si>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</si>
  <si>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</si>
  <si>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</si>
  <si>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</si>
  <si>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</si>
  <si>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</si>
  <si>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</si>
  <si>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</si>
  <si>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</si>
  <si>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</si>
  <si>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</si>
  <si>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</si>
  <si>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</si>
  <si>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</si>
  <si>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</si>
  <si>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</si>
  <si>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</si>
  <si>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</si>
  <si>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</si>
  <si>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</si>
  <si>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</si>
  <si>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</si>
  <si>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</si>
  <si>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</si>
  <si>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</si>
  <si>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</si>
  <si>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</si>
  <si>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</si>
  <si>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</si>
  <si>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</si>
  <si>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</si>
  <si>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</si>
  <si>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</si>
  <si>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</si>
  <si>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</si>
  <si>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</si>
  <si>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</si>
  <si>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</si>
  <si>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</si>
  <si>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</si>
  <si>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</si>
  <si>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</si>
  <si>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</si>
  <si>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</si>
  <si>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</si>
  <si>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</si>
  <si>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</si>
  <si>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</si>
  <si>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</si>
  <si>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</si>
  <si>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</si>
  <si>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</si>
  <si>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</si>
  <si>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</si>
  <si>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</si>
  <si>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</si>
  <si>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</si>
  <si>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</si>
  <si>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</si>
  <si>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</si>
  <si>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</si>
  <si>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</si>
  <si>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</si>
  <si>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</si>
  <si>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</si>
  <si>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</si>
  <si>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</si>
  <si>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</si>
  <si>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</si>
  <si>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</si>
  <si>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</si>
  <si>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</si>
  <si>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</si>
  <si>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</si>
  <si>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</si>
  <si>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</si>
  <si>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</si>
  <si>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</si>
  <si>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</si>
  <si>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</si>
  <si>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</si>
  <si>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</si>
  <si>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</si>
  <si>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</si>
  <si>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</si>
  <si>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</si>
  <si>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</si>
  <si>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</si>
  <si>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</si>
  <si>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</si>
  <si>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</si>
  <si>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</si>
  <si>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</si>
  <si>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</si>
  <si>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</si>
  <si>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</si>
  <si>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</si>
  <si>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</si>
  <si>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</si>
  <si>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</si>
  <si>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</si>
  <si>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</si>
  <si>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</si>
  <si>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</si>
  <si>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</si>
  <si>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</si>
  <si>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</si>
  <si>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</si>
  <si>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</si>
  <si>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</si>
  <si>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</si>
  <si>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</si>
  <si>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</si>
  <si>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</si>
  <si>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</si>
  <si>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</si>
  <si>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</si>
  <si>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</si>
  <si>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</si>
  <si>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</si>
  <si>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</si>
  <si>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</si>
  <si>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</si>
  <si>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</si>
  <si>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</si>
  <si>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</si>
  <si>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</si>
  <si>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</si>
  <si>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</si>
  <si>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</si>
  <si>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</si>
  <si>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</si>
  <si>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</si>
  <si>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</si>
  <si>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</si>
  <si>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</si>
  <si>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</si>
  <si>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</si>
  <si>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</si>
  <si>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</si>
  <si>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</si>
  <si>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</si>
  <si>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</si>
  <si>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</si>
  <si>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</si>
  <si>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</si>
  <si>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</si>
  <si>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</si>
  <si>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</si>
  <si>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</si>
  <si>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</si>
  <si>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</si>
  <si>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</si>
  <si>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</si>
  <si>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</si>
  <si>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</si>
  <si>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</si>
  <si>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</si>
  <si>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</si>
  <si>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</si>
  <si>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</si>
  <si>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</si>
  <si>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</si>
  <si>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</si>
  <si>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</si>
  <si>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</si>
  <si>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</si>
  <si>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</si>
  <si>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</si>
  <si>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</si>
  <si>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</si>
  <si>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</si>
  <si>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</si>
  <si>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</si>
  <si>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</si>
  <si>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</si>
  <si>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</si>
  <si>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</si>
  <si>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</si>
  <si>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</si>
  <si>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</si>
  <si>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</si>
  <si>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</si>
  <si>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</si>
  <si>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</si>
  <si>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</si>
  <si>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</si>
  <si>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</si>
  <si>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</si>
  <si>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</si>
  <si>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</si>
  <si>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</si>
  <si>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</si>
  <si>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</si>
  <si>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</si>
  <si>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</si>
  <si>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</si>
  <si>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</si>
  <si>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</si>
  <si>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</si>
  <si>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</si>
  <si>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</si>
  <si>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</si>
  <si>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</si>
  <si>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</si>
  <si>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</si>
  <si>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</si>
  <si>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</si>
  <si>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</si>
  <si>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</si>
  <si>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</si>
  <si>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</si>
  <si>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</si>
  <si>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</si>
  <si>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</si>
  <si>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</si>
  <si>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</si>
  <si>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</si>
  <si>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</si>
  <si>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</si>
  <si>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</si>
  <si>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</si>
  <si>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</si>
  <si>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</si>
  <si>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</si>
  <si>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</si>
  <si>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</si>
  <si>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</si>
  <si>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</si>
  <si>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</si>
  <si>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</si>
  <si>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</si>
  <si>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</si>
  <si>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</si>
  <si>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</si>
  <si>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</si>
  <si>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</si>
  <si>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</si>
  <si>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</si>
  <si>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</si>
  <si>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</si>
  <si>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</si>
  <si>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</si>
  <si>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</si>
  <si>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</si>
  <si>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</si>
  <si>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</si>
  <si>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</si>
  <si>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</si>
  <si>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</si>
  <si>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</si>
  <si>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</si>
  <si>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</si>
  <si>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</si>
  <si>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</si>
  <si>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</si>
  <si>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</si>
  <si>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</si>
  <si>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</si>
  <si>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</si>
  <si>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</si>
  <si>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</si>
  <si>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</si>
  <si>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</si>
  <si>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</si>
  <si>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</si>
  <si>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</si>
  <si>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</si>
  <si>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</si>
  <si>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</si>
  <si>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</si>
  <si>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</si>
  <si>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</si>
  <si>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</si>
  <si>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</si>
  <si>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</si>
  <si>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</si>
  <si>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</si>
  <si>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</si>
  <si>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</si>
  <si>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</si>
  <si>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</si>
  <si>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</si>
  <si>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</si>
  <si>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</si>
  <si>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</si>
  <si>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</si>
  <si>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</si>
  <si>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</si>
  <si>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</si>
  <si>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</si>
  <si>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</si>
  <si>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</si>
  <si>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</si>
  <si>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</si>
  <si>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</si>
  <si>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</si>
  <si>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</si>
  <si>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</si>
  <si>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</si>
  <si>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</si>
  <si>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</si>
  <si>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</si>
  <si>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</si>
  <si>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</si>
  <si>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</si>
  <si>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</si>
  <si>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</si>
  <si>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</si>
  <si>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</si>
  <si>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</si>
  <si>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</si>
  <si>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</si>
  <si>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</si>
  <si>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</si>
  <si>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</si>
  <si>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</si>
  <si>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</si>
  <si>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</si>
  <si>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</si>
  <si>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</si>
  <si>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</si>
  <si>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</si>
  <si>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</si>
  <si>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</si>
  <si>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</si>
  <si>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</si>
  <si>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</si>
  <si>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</si>
  <si>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</si>
  <si>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</si>
  <si>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</si>
  <si>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</si>
  <si>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</si>
  <si>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</si>
  <si>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</si>
  <si>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</si>
  <si>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</si>
  <si>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</si>
  <si>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</si>
  <si>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</si>
  <si>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</si>
  <si>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</si>
  <si>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</si>
  <si>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</si>
  <si>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</si>
  <si>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</si>
  <si>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</si>
  <si>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</si>
  <si>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</si>
  <si>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</si>
  <si>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</si>
  <si>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</si>
  <si>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</si>
  <si>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</si>
  <si>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</si>
  <si>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</si>
  <si>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</si>
  <si>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</si>
  <si>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</si>
  <si>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</si>
  <si>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</si>
  <si>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</si>
  <si>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</si>
  <si>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</si>
  <si>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</si>
  <si>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</si>
  <si>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</si>
  <si>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</si>
  <si>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</si>
  <si>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</si>
  <si>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</si>
  <si>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</si>
  <si>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</si>
  <si>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</si>
  <si>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</si>
  <si>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</si>
  <si>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</si>
  <si>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</si>
  <si>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</si>
  <si>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</si>
  <si>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</si>
  <si>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</si>
  <si>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</si>
  <si>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</si>
  <si>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</si>
  <si>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</si>
  <si>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</si>
  <si>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</si>
  <si>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</si>
  <si>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</si>
  <si>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</si>
  <si>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</si>
  <si>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</si>
  <si>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</si>
  <si>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</si>
  <si>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</si>
  <si>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</si>
  <si>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</si>
  <si>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</si>
  <si>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</si>
  <si>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</si>
  <si>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</si>
  <si>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</si>
  <si>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</si>
  <si>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</si>
  <si>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</si>
  <si>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</si>
  <si>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</si>
  <si>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</si>
  <si>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</si>
  <si>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</si>
  <si>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</si>
  <si>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</si>
  <si>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</si>
  <si>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</si>
  <si>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</si>
  <si>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</si>
  <si>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</si>
  <si>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</si>
  <si>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</si>
  <si>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</si>
  <si>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</si>
  <si>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</si>
  <si>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</si>
  <si>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</si>
  <si>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</si>
  <si>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</si>
  <si>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</si>
  <si>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</si>
  <si>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</si>
  <si>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</si>
  <si>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</si>
  <si>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</si>
  <si>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</si>
  <si>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</si>
  <si>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</si>
  <si>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</si>
  <si>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</si>
  <si>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</si>
  <si>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</si>
  <si>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</si>
  <si>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</si>
  <si>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</si>
  <si>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</si>
  <si>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</si>
  <si>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</si>
  <si>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</si>
  <si>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</si>
  <si>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</si>
  <si>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</si>
  <si>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</si>
  <si>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</si>
  <si>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</si>
  <si>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</si>
  <si>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</si>
  <si>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</si>
  <si>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</si>
  <si>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</si>
  <si>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</si>
  <si>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</si>
  <si>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</si>
  <si>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</si>
  <si>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</si>
  <si>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</si>
  <si>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</si>
  <si>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</si>
  <si>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</si>
  <si>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</si>
  <si>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</si>
  <si>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</si>
  <si>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</si>
  <si>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</si>
  <si>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</si>
  <si>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</si>
  <si>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</si>
  <si>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</si>
  <si>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</si>
  <si>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</si>
  <si>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</si>
  <si>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</si>
  <si>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</si>
  <si>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</si>
  <si>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</si>
  <si>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</si>
  <si>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</si>
  <si>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</si>
  <si>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</si>
  <si>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</si>
  <si>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</si>
  <si>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</si>
  <si>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</si>
  <si>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</si>
  <si>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</si>
  <si>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</si>
  <si>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</si>
  <si>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</si>
  <si>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</si>
  <si>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</si>
  <si>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</si>
  <si>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</si>
  <si>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</si>
  <si>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</si>
  <si>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</si>
  <si>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</si>
  <si>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</si>
  <si>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</si>
  <si>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</si>
  <si>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</si>
  <si>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</si>
  <si>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</si>
  <si>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</si>
  <si>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</si>
  <si>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</si>
  <si>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</si>
  <si>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</si>
  <si>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</si>
  <si>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</si>
  <si>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</si>
  <si>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</si>
  <si>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</si>
  <si>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</si>
  <si>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</si>
  <si>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</si>
  <si>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</si>
  <si>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</si>
  <si>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</si>
  <si>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</si>
  <si>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</si>
  <si>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</si>
  <si>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</si>
  <si>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</si>
  <si>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</si>
  <si>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</si>
  <si>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</si>
  <si>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</si>
  <si>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</si>
  <si>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</si>
  <si>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</si>
  <si>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</si>
  <si>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</si>
  <si>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</si>
  <si>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</si>
  <si>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</si>
  <si>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</si>
  <si>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</si>
  <si>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</si>
  <si>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</si>
  <si>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</si>
  <si>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</si>
  <si>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</si>
  <si>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</si>
  <si>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</si>
  <si>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</si>
  <si>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</si>
  <si>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</si>
  <si>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</si>
  <si>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</si>
  <si>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</si>
  <si>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</si>
  <si>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</si>
  <si>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</si>
  <si>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</si>
  <si>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</si>
  <si>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</si>
  <si>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</si>
  <si>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</si>
  <si>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</si>
  <si>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</si>
  <si>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</si>
  <si>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</si>
  <si>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</si>
  <si>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</si>
  <si>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</si>
  <si>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</si>
  <si>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</si>
  <si>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</si>
  <si>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</si>
  <si>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</si>
  <si>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</si>
  <si>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</si>
  <si>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</si>
  <si>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</si>
  <si>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</si>
  <si>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</si>
  <si>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</si>
  <si>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</si>
  <si>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</si>
  <si>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</si>
  <si>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</si>
  <si>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</si>
  <si>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</si>
  <si>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</si>
  <si>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</si>
  <si>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</si>
  <si>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</si>
  <si>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</si>
  <si>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</si>
  <si>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</si>
  <si>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</si>
  <si>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</si>
  <si>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</si>
  <si>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</si>
  <si>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</si>
  <si>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</si>
  <si>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</si>
  <si>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</si>
  <si>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</si>
  <si>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</si>
  <si>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</si>
  <si>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</si>
  <si>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</si>
  <si>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</si>
  <si>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</si>
  <si>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</si>
  <si>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</si>
  <si>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</si>
  <si>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</si>
  <si>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</si>
  <si>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</si>
  <si>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</si>
  <si>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</si>
  <si>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</si>
  <si>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</si>
  <si>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</si>
  <si>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</si>
  <si>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</si>
  <si>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</si>
  <si>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</si>
  <si>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</si>
  <si>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</si>
  <si>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</si>
  <si>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</si>
  <si>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</si>
  <si>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</si>
  <si>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</si>
  <si>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</si>
  <si>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</si>
  <si>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</si>
  <si>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</si>
  <si>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</si>
  <si>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</si>
  <si>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</si>
  <si>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</si>
  <si>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</si>
  <si>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</si>
  <si>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</si>
  <si>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</si>
  <si>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</si>
  <si>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</si>
  <si>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</si>
  <si>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</si>
  <si>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</si>
  <si>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</si>
  <si>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</si>
  <si>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</si>
  <si>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</si>
  <si>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</si>
  <si>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</si>
  <si>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</si>
  <si>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</si>
  <si>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</si>
  <si>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</si>
  <si>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</si>
  <si>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</si>
  <si>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</si>
  <si>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</si>
  <si>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</si>
  <si>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</si>
  <si>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</si>
  <si>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</si>
  <si>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</si>
  <si>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</si>
  <si>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</si>
  <si>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</si>
  <si>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</si>
  <si>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</si>
  <si>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</si>
  <si>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</si>
  <si>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</si>
  <si>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</si>
  <si>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</si>
  <si>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</si>
  <si>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</si>
  <si>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</si>
  <si>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</si>
  <si>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</si>
  <si>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</si>
  <si>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</si>
  <si>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</si>
  <si>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</si>
  <si>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</si>
  <si>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</si>
  <si>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</si>
  <si>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</si>
  <si>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</si>
  <si>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</si>
  <si>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</si>
  <si>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</si>
  <si>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</si>
  <si>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</si>
  <si>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</si>
  <si>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</si>
  <si>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</si>
  <si>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</si>
  <si>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</si>
  <si>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</si>
  <si>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</si>
  <si>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</si>
  <si>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</si>
  <si>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</si>
  <si>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</si>
  <si>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</si>
  <si>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</si>
  <si>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</si>
  <si>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</si>
  <si>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</si>
  <si>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</si>
  <si>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</si>
  <si>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</si>
  <si>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</si>
  <si>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</si>
  <si>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</si>
  <si>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</si>
  <si>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</si>
  <si>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</si>
  <si>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</si>
  <si>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</si>
  <si>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</si>
  <si>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</si>
  <si>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</si>
  <si>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</si>
  <si>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</si>
  <si>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</si>
  <si>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</si>
  <si>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</si>
  <si>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</si>
  <si>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</si>
  <si>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</si>
  <si>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</si>
  <si>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</si>
  <si>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</si>
  <si>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</si>
  <si>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</si>
  <si>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</si>
  <si>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</si>
  <si>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</si>
  <si>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</si>
  <si>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</si>
  <si>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</si>
  <si>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</si>
  <si>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</si>
  <si>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</si>
  <si>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</si>
  <si>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</si>
  <si>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</si>
  <si>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</si>
  <si>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</si>
  <si>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</si>
  <si>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</si>
  <si>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</si>
  <si>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</si>
  <si>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</si>
  <si>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</si>
  <si>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</si>
  <si>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</si>
  <si>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</si>
  <si>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</si>
  <si>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</si>
  <si>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</si>
  <si>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</si>
  <si>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</si>
  <si>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</si>
  <si>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</si>
  <si>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</si>
  <si>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</si>
  <si>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</si>
  <si>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</si>
  <si>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</si>
  <si>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</si>
  <si>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</si>
  <si>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</si>
  <si>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</si>
  <si>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</si>
  <si>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</si>
  <si>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</si>
  <si>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</si>
  <si>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</si>
  <si>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</si>
  <si>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</si>
  <si>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</si>
  <si>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</si>
  <si>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</si>
  <si>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</si>
  <si>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</si>
  <si>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</si>
  <si>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</si>
  <si>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</si>
  <si>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</si>
  <si>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</si>
  <si>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</si>
  <si>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</si>
  <si>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</si>
  <si>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</si>
  <si>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</si>
  <si>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</si>
  <si>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</si>
  <si>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</si>
  <si>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</si>
  <si>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</si>
  <si>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</si>
  <si>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</si>
  <si>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</si>
  <si>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</si>
  <si>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</si>
  <si>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</si>
  <si>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</si>
  <si>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</si>
  <si>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</si>
  <si>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</si>
  <si>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</si>
  <si>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</si>
  <si>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</si>
  <si>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</si>
  <si>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</si>
  <si>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</si>
  <si>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</si>
  <si>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</si>
  <si>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</si>
  <si>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</si>
  <si>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</si>
  <si>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</si>
  <si>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</si>
  <si>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</si>
  <si>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</si>
  <si>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</si>
  <si>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</si>
  <si>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</si>
  <si>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</si>
  <si>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</si>
  <si>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</si>
  <si>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</si>
  <si>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</si>
  <si>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</si>
  <si>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</si>
  <si>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</si>
  <si>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</si>
  <si>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</si>
  <si>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</si>
  <si>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</si>
  <si>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</si>
  <si>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</si>
  <si>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</si>
  <si>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</si>
  <si>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</si>
  <si>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</si>
  <si>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</si>
  <si>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</si>
  <si>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</si>
  <si>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</si>
  <si>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</si>
  <si>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</si>
  <si>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</si>
  <si>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</si>
  <si>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</si>
  <si>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</si>
  <si>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</si>
  <si>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</si>
  <si>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</si>
  <si>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</si>
  <si>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</si>
  <si>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</si>
  <si>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</si>
  <si>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</si>
  <si>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</si>
  <si>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</si>
  <si>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</si>
  <si>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</si>
  <si>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</si>
  <si>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</si>
  <si>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</si>
  <si>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</si>
  <si>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</si>
  <si>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</si>
  <si>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</si>
  <si>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</si>
  <si>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</si>
  <si>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</si>
  <si>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</si>
  <si>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</si>
  <si>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</si>
  <si>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</si>
  <si>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</si>
  <si>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</si>
  <si>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</si>
  <si>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</si>
  <si>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</si>
  <si>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</si>
  <si>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</si>
  <si>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</si>
  <si>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</si>
  <si>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</si>
  <si>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</si>
  <si>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</si>
  <si>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</si>
  <si>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</si>
  <si>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</si>
  <si>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</si>
  <si>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</si>
  <si>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</si>
  <si>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</si>
  <si>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</si>
  <si>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</si>
  <si>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</si>
  <si>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</si>
  <si>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</si>
  <si>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</si>
  <si>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</si>
  <si>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</si>
  <si>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</si>
  <si>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</si>
  <si>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</si>
  <si>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</si>
  <si>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</si>
  <si>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</si>
  <si>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</si>
  <si>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</si>
  <si>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</si>
  <si>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</si>
  <si>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</si>
  <si>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</si>
  <si>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</si>
  <si>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</si>
  <si>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</si>
  <si>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</si>
  <si>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</si>
  <si>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</si>
  <si>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</si>
  <si>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</si>
  <si>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</si>
  <si>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</si>
  <si>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</si>
  <si>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</si>
  <si>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</si>
  <si>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</si>
  <si>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</si>
  <si>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</si>
  <si>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</si>
  <si>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</si>
  <si>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</si>
  <si>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</si>
  <si>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</si>
  <si>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</si>
  <si>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</si>
  <si>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</si>
  <si>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</si>
  <si>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</si>
  <si>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</si>
  <si>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</si>
  <si>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</si>
  <si>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</si>
  <si>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</si>
  <si>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</si>
  <si>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</si>
  <si>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</si>
  <si>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</si>
  <si>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</si>
  <si>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</si>
  <si>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</si>
  <si>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</si>
  <si>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</si>
  <si>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</si>
  <si>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</si>
  <si>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</si>
  <si>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</si>
  <si>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</si>
  <si>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</si>
  <si>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</si>
  <si>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</si>
  <si>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</si>
  <si>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</si>
  <si>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</si>
  <si>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</si>
  <si>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</si>
  <si>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</si>
  <si>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</si>
  <si>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</si>
  <si>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</si>
  <si>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</si>
  <si>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</si>
  <si>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</si>
  <si>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</si>
  <si>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</si>
  <si>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</si>
  <si>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</si>
  <si>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</si>
  <si>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</si>
  <si>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</si>
  <si>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</si>
  <si>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</si>
  <si>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</si>
  <si>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</si>
  <si>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</si>
  <si>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</si>
  <si>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</si>
  <si>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</si>
  <si>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</si>
  <si>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</si>
  <si>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</si>
  <si>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</si>
  <si>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</si>
  <si>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</si>
  <si>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</si>
  <si>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</si>
  <si>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</si>
  <si>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</si>
  <si>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</si>
  <si>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</si>
  <si>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</si>
  <si>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</si>
  <si>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</si>
  <si>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</si>
  <si>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</si>
  <si>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</si>
  <si>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</si>
  <si>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</si>
  <si>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</si>
  <si>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</si>
  <si>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</si>
  <si>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</si>
  <si>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</si>
  <si>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</si>
  <si>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</si>
  <si>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</si>
  <si>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</si>
  <si>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</si>
  <si>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</si>
  <si>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</si>
  <si>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</si>
  <si>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</si>
  <si>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</si>
  <si>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</si>
  <si>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</si>
  <si>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</si>
  <si>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</si>
  <si>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</si>
  <si>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</si>
  <si>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</si>
  <si>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</si>
  <si>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</si>
  <si>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</si>
  <si>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</si>
  <si>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</si>
  <si>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</si>
  <si>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</si>
  <si>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</si>
  <si>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</si>
  <si>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</si>
  <si>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</si>
  <si>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</si>
  <si>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</si>
  <si>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</si>
  <si>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</si>
  <si>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</si>
  <si>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</si>
  <si>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</si>
  <si>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</si>
  <si>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</si>
  <si>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</si>
  <si>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</si>
  <si>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</si>
  <si>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</si>
  <si>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</si>
  <si>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</si>
  <si>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</si>
  <si>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</si>
  <si>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</si>
  <si>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</si>
  <si>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</si>
  <si>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</si>
  <si>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</si>
  <si>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</si>
  <si>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</si>
  <si>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</si>
  <si>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</si>
  <si>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</si>
  <si>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</si>
  <si>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</si>
  <si>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</si>
  <si>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</si>
  <si>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</si>
  <si>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</si>
  <si>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</si>
  <si>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</si>
  <si>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</si>
  <si>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</si>
  <si>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</si>
  <si>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</si>
  <si>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</si>
  <si>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</si>
  <si>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</si>
  <si>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</si>
  <si>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</si>
  <si>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</si>
  <si>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</si>
  <si>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</si>
  <si>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</si>
  <si>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</si>
  <si>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</si>
  <si>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</si>
  <si>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</si>
  <si>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</si>
  <si>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</si>
  <si>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</si>
  <si>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</si>
  <si>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</si>
  <si>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</si>
  <si>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</si>
  <si>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</si>
  <si>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</si>
  <si>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</si>
  <si>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</si>
  <si>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</si>
  <si>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</si>
  <si>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</si>
  <si>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</si>
  <si>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</si>
  <si>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</si>
  <si>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</si>
  <si>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</si>
  <si>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</si>
  <si>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</si>
  <si>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</si>
  <si>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</si>
  <si>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</si>
  <si>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</si>
  <si>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</si>
  <si>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</si>
  <si>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</si>
  <si>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</si>
  <si>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</si>
  <si>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</si>
  <si>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</si>
  <si>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</si>
  <si>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</si>
  <si>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</si>
  <si>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</si>
  <si>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</si>
  <si>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</si>
  <si>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</si>
  <si>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</si>
  <si>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</si>
  <si>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</si>
  <si>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</si>
  <si>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</si>
  <si>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</si>
  <si>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</si>
  <si>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</si>
  <si>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</si>
  <si>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</si>
  <si>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</si>
  <si>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</si>
  <si>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</si>
  <si>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</si>
  <si>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</si>
  <si>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</si>
  <si>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</si>
  <si>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</si>
  <si>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</si>
  <si>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</si>
  <si>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</si>
  <si>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</si>
  <si>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</si>
  <si>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</si>
  <si>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</si>
  <si>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</si>
  <si>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</si>
  <si>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</si>
  <si>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</si>
  <si>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</si>
  <si>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</si>
  <si>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</si>
  <si>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</si>
  <si>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</si>
  <si>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</si>
  <si>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</si>
  <si>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</si>
  <si>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</si>
  <si>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</si>
  <si>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</si>
  <si>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</si>
  <si>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</si>
  <si>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</si>
  <si>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</si>
  <si>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</si>
  <si>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</si>
  <si>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</si>
  <si>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</si>
  <si>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</si>
  <si>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</si>
  <si>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</si>
  <si>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</si>
  <si>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</si>
  <si>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</si>
  <si>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</si>
  <si>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</si>
  <si>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</si>
  <si>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</si>
  <si>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</si>
  <si>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</si>
  <si>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</si>
  <si>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</si>
  <si>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</si>
  <si>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</si>
  <si>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</si>
  <si>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</si>
  <si>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</si>
  <si>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</si>
  <si>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</si>
  <si>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</si>
  <si>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</si>
  <si>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</si>
  <si>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</si>
  <si>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</si>
  <si>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</si>
  <si>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</si>
  <si>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</si>
  <si>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</si>
  <si>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</si>
  <si>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</si>
  <si>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</si>
  <si>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</si>
  <si>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</si>
  <si>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</si>
  <si>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</si>
  <si>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</si>
  <si>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</si>
  <si>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</si>
  <si>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</si>
  <si>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</si>
  <si>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</si>
  <si>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</si>
  <si>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</si>
  <si>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</si>
  <si>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</si>
  <si>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</si>
  <si>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</si>
  <si>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</si>
  <si>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</si>
  <si>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</si>
  <si>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</si>
  <si>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</si>
  <si>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</si>
  <si>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</si>
  <si>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</si>
  <si>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</si>
  <si>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</si>
  <si>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</si>
  <si>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</si>
  <si>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</si>
  <si>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</si>
  <si>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</si>
  <si>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</si>
  <si>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</si>
  <si>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</si>
  <si>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</si>
  <si>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</si>
  <si>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</si>
  <si>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</si>
  <si>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</si>
  <si>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</si>
  <si>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</si>
  <si>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</si>
  <si>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</si>
  <si>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</si>
  <si>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</si>
  <si>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</si>
  <si>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</si>
  <si>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</si>
  <si>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</si>
  <si>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</si>
  <si>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</si>
  <si>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</si>
  <si>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</si>
  <si>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</si>
  <si>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</si>
  <si>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</si>
  <si>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</si>
  <si>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</si>
  <si>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</si>
  <si>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</si>
  <si>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</si>
  <si>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</si>
  <si>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</si>
  <si>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</si>
  <si>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</si>
  <si>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</si>
  <si>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</si>
  <si>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</si>
  <si>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</si>
  <si>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</si>
  <si>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</si>
  <si>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</si>
  <si>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</si>
  <si>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</si>
  <si>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</si>
  <si>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</si>
  <si>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</si>
  <si>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</si>
  <si>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</si>
  <si>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</si>
  <si>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</si>
  <si>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</si>
  <si>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</si>
  <si>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</si>
  <si>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</si>
  <si>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</si>
  <si>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</si>
  <si>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</si>
  <si>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</si>
  <si>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</si>
  <si>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</si>
  <si>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</si>
  <si>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</si>
  <si>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</si>
  <si>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</si>
  <si>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</si>
  <si>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</si>
  <si>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</si>
  <si>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</si>
  <si>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</si>
  <si>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</si>
  <si>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</si>
  <si>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</si>
  <si>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</si>
  <si>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</si>
  <si>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</si>
  <si>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</si>
  <si>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</si>
  <si>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</si>
  <si>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</si>
  <si>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</si>
  <si>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</si>
  <si>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</si>
  <si>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</si>
  <si>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</si>
  <si>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</si>
  <si>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</si>
  <si>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</si>
  <si>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</si>
  <si>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</si>
  <si>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</si>
  <si>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</si>
  <si>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</si>
  <si>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</si>
  <si>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</si>
  <si>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</si>
  <si>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</si>
  <si>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</si>
  <si>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</si>
  <si>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</si>
  <si>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</si>
  <si>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</si>
  <si>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</si>
  <si>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</si>
  <si>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</si>
  <si>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</si>
  <si>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</si>
  <si>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</si>
  <si>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</si>
  <si>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</si>
  <si>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</si>
  <si>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</si>
  <si>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</si>
  <si>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</si>
  <si>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</si>
  <si>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</si>
  <si>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</si>
  <si>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</si>
  <si>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</si>
  <si>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</si>
  <si>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</si>
  <si>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</si>
  <si>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</si>
  <si>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</si>
  <si>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</si>
  <si>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</si>
  <si>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</si>
  <si>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</si>
  <si>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</si>
  <si>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</si>
  <si>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</si>
  <si>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</si>
  <si>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</si>
  <si>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</si>
  <si>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</si>
  <si>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</si>
  <si>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</si>
  <si>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</si>
  <si>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</si>
  <si>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</si>
  <si>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</si>
  <si>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</si>
  <si>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</si>
  <si>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</si>
  <si>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</si>
  <si>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</si>
  <si>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</si>
  <si>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</si>
  <si>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</si>
  <si>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</si>
  <si>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</si>
  <si>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</si>
  <si>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</si>
  <si>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</si>
  <si>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</si>
  <si>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</si>
  <si>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</si>
  <si>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</si>
  <si>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</si>
  <si>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</si>
  <si>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</si>
  <si>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</si>
  <si>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</si>
  <si>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</si>
  <si>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</si>
  <si>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</si>
  <si>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</si>
  <si>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</si>
  <si>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</si>
  <si>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</si>
  <si>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</si>
  <si>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</si>
  <si>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</si>
  <si>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</si>
  <si>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</si>
  <si>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</si>
  <si>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</si>
  <si>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</si>
  <si>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</si>
  <si>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</si>
  <si>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</si>
  <si>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</si>
  <si>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</si>
  <si>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</si>
  <si>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</si>
  <si>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</si>
  <si>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</si>
  <si>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</si>
  <si>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</si>
  <si>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</si>
  <si>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</si>
  <si>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</si>
  <si>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</si>
  <si>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</si>
  <si>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</si>
  <si>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</si>
  <si>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</si>
  <si>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</si>
  <si>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</si>
  <si>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</si>
  <si>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</si>
  <si>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</si>
  <si>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</si>
  <si>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</si>
  <si>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</si>
  <si>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</si>
  <si>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</si>
  <si>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</si>
  <si>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</si>
  <si>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</si>
  <si>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</si>
  <si>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</si>
  <si>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</si>
  <si>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</si>
  <si>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</si>
  <si>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</si>
  <si>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</si>
  <si>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</si>
  <si>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</si>
  <si>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</si>
  <si>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</si>
  <si>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</si>
  <si>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</si>
  <si>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</si>
  <si>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</si>
  <si>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</si>
  <si>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</si>
  <si>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</si>
  <si>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</si>
  <si>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</si>
  <si>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</si>
  <si>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</si>
  <si>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</si>
  <si>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</si>
  <si>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</si>
  <si>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</si>
  <si>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</si>
  <si>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</si>
  <si>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</si>
  <si>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</si>
  <si>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</si>
  <si>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</si>
  <si>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</si>
  <si>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</si>
  <si>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</si>
  <si>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</si>
  <si>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</si>
  <si>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</si>
  <si>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</si>
  <si>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</si>
  <si>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</si>
  <si>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</si>
  <si>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</si>
  <si>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</si>
  <si>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</si>
  <si>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</si>
  <si>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</si>
  <si>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</si>
  <si>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</si>
  <si>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</si>
  <si>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</si>
  <si>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</si>
  <si>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</si>
  <si>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</si>
  <si>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</si>
  <si>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</si>
  <si>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</si>
  <si>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</si>
  <si>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</si>
  <si>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</si>
  <si>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</si>
  <si>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</si>
  <si>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</si>
  <si>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</si>
  <si>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</si>
  <si>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</si>
  <si>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</si>
  <si>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</si>
  <si>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</si>
  <si>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</si>
  <si>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</si>
  <si>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</si>
  <si>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</si>
  <si>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</si>
  <si>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</si>
  <si>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</si>
  <si>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</si>
  <si>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</si>
  <si>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</si>
  <si>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</si>
  <si>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</si>
  <si>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</si>
  <si>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</si>
  <si>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</si>
  <si>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</si>
  <si>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</si>
  <si>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</si>
  <si>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</si>
  <si>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</si>
  <si>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</si>
  <si>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</si>
  <si>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</si>
  <si>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</si>
  <si>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</si>
  <si>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</si>
  <si>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</si>
  <si>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</si>
  <si>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</si>
  <si>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</si>
  <si>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</si>
  <si>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</si>
  <si>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</si>
  <si>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</si>
  <si>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</si>
  <si>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</si>
  <si>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</si>
  <si>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</si>
  <si>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</si>
  <si>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</si>
  <si>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</si>
  <si>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</si>
  <si>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</si>
  <si>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</si>
  <si>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</si>
  <si>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</si>
  <si>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</si>
  <si>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</si>
  <si>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</si>
  <si>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</si>
  <si>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</si>
  <si>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</si>
  <si>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</si>
  <si>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</si>
  <si>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</si>
  <si>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</si>
  <si>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</si>
  <si>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</si>
  <si>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</si>
  <si>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</si>
  <si>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</si>
  <si>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</si>
  <si>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</si>
  <si>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</si>
  <si>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</si>
  <si>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</si>
  <si>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</si>
  <si>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</si>
  <si>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</si>
  <si>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</si>
  <si>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</si>
  <si>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</si>
  <si>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</si>
  <si>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</si>
  <si>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</si>
  <si>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</si>
  <si>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</si>
  <si>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</si>
  <si>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</si>
  <si>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</si>
  <si>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</si>
  <si>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</si>
  <si>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</si>
  <si>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</si>
  <si>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</si>
  <si>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</si>
  <si>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</si>
  <si>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</si>
  <si>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</si>
  <si>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</si>
  <si>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</si>
  <si>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</si>
  <si>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</si>
  <si>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</si>
  <si>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</si>
  <si>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</si>
  <si>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</si>
  <si>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</si>
  <si>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</si>
  <si>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</si>
  <si>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</si>
  <si>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</si>
  <si>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</si>
  <si>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</si>
  <si>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</si>
  <si>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</si>
  <si>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</si>
  <si>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</si>
  <si>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</si>
  <si>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</si>
  <si>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</si>
  <si>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</si>
  <si>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</si>
  <si>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</si>
  <si>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</si>
  <si>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</si>
  <si>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</si>
  <si>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</si>
  <si>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</si>
  <si>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</si>
  <si>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</si>
  <si>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</si>
  <si>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</si>
  <si>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</si>
  <si>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</si>
  <si>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</si>
  <si>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</si>
  <si>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</si>
  <si>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</si>
  <si>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</si>
  <si>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</si>
  <si>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</si>
  <si>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</si>
  <si>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</si>
  <si>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</si>
  <si>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</si>
  <si>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</si>
  <si>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</si>
  <si>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</si>
  <si>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</si>
  <si>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</si>
  <si>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</si>
  <si>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</si>
  <si>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</si>
  <si>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</si>
  <si>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</si>
  <si>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</si>
  <si>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</si>
  <si>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</si>
  <si>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</si>
  <si>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</si>
  <si>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</si>
  <si>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</si>
  <si>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</si>
  <si>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</si>
  <si>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</si>
  <si>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</si>
  <si>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</si>
  <si>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</si>
  <si>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</si>
  <si>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</si>
  <si>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</si>
  <si>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</si>
  <si>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</si>
  <si>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</si>
  <si>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</si>
  <si>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</si>
  <si>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</si>
  <si>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</si>
  <si>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</si>
  <si>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</si>
  <si>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</si>
  <si>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</si>
  <si>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</si>
  <si>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</si>
  <si>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</si>
  <si>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</si>
  <si>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</si>
  <si>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</si>
  <si>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</si>
  <si>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</si>
  <si>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</si>
  <si>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</si>
  <si>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</si>
  <si>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</si>
  <si>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</si>
  <si>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</si>
  <si>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</si>
  <si>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</si>
  <si>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</si>
  <si>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</si>
  <si>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</si>
  <si>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</si>
  <si>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</si>
  <si>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</si>
  <si>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</si>
  <si>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</si>
  <si>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</si>
  <si>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</si>
  <si>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</si>
  <si>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</si>
  <si>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</si>
  <si>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</si>
  <si>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</si>
  <si>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</si>
  <si>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</si>
  <si>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</si>
  <si>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</si>
  <si>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</si>
  <si>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</si>
  <si>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</si>
  <si>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</si>
  <si>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</si>
  <si>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</si>
  <si>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</si>
  <si>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</si>
  <si>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</si>
  <si>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</si>
  <si>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</si>
  <si>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</si>
  <si>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</si>
  <si>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</si>
  <si>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</si>
  <si>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</si>
  <si>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</si>
  <si>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</si>
  <si>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</si>
  <si>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</si>
  <si>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</si>
  <si>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</si>
  <si>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</si>
  <si>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</si>
  <si>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</si>
  <si>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</si>
  <si>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</si>
  <si>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</si>
  <si>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</si>
  <si>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</si>
  <si>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</si>
  <si>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</si>
  <si>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</si>
  <si>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</si>
  <si>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</si>
  <si>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</si>
  <si>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</si>
  <si>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</si>
  <si>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</si>
  <si>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</si>
  <si>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</si>
  <si>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</si>
  <si>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</si>
  <si>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</si>
  <si>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</si>
  <si>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</si>
  <si>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</si>
  <si>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</si>
  <si>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</si>
  <si>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</si>
  <si>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</si>
  <si>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</si>
  <si>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</si>
  <si>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</si>
  <si>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</si>
  <si>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</si>
  <si>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</si>
  <si>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</si>
  <si>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</si>
  <si>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</si>
  <si>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</si>
  <si>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</si>
  <si>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</si>
  <si>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</si>
  <si>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</si>
  <si>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</si>
  <si>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</si>
  <si>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</si>
  <si>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</si>
  <si>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</si>
  <si>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</si>
  <si>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</si>
  <si>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</si>
  <si>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</si>
  <si>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</si>
  <si>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</si>
  <si>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</si>
  <si>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</si>
  <si>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</si>
  <si>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</si>
  <si>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</si>
  <si>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</si>
  <si>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</si>
  <si>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</si>
  <si>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</si>
  <si>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</si>
  <si>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</si>
  <si>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</si>
  <si>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</si>
  <si>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</si>
  <si>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</si>
  <si>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</si>
  <si>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</si>
  <si>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</si>
  <si>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</si>
  <si>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</si>
  <si>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</si>
  <si>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</si>
  <si>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</si>
  <si>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</si>
  <si>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</si>
  <si>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</si>
  <si>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</si>
  <si>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</si>
  <si>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</si>
  <si>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</si>
  <si>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</si>
  <si>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</si>
  <si>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</si>
  <si>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</si>
  <si>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</si>
  <si>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</si>
  <si>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</si>
  <si>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</si>
  <si>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</si>
  <si>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</si>
  <si>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</si>
  <si>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</si>
  <si>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</si>
  <si>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</si>
  <si>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</si>
  <si>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</si>
  <si>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</si>
  <si>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</si>
  <si>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</si>
  <si>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</si>
  <si>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</si>
  <si>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</si>
  <si>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</si>
  <si>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</si>
  <si>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</si>
  <si>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</si>
  <si>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</si>
  <si>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</si>
  <si>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</si>
  <si>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</si>
  <si>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</si>
  <si>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</si>
  <si>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</si>
  <si>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</si>
  <si>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</si>
  <si>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</si>
  <si>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</si>
  <si>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</si>
  <si>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</si>
  <si>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</si>
  <si>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</si>
  <si>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</si>
  <si>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</si>
  <si>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</si>
  <si>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</si>
  <si>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</si>
  <si>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</si>
  <si>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</si>
  <si>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</si>
  <si>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</si>
  <si>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</si>
  <si>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</si>
  <si>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</si>
  <si>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</si>
  <si>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</si>
  <si>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</si>
  <si>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</si>
  <si>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</si>
  <si>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</si>
  <si>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</si>
  <si>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</si>
  <si>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</si>
  <si>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</si>
  <si>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</si>
  <si>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</si>
  <si>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</si>
  <si>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</si>
  <si>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</si>
  <si>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</si>
  <si>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</si>
  <si>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</si>
  <si>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</si>
  <si>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</si>
  <si>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</si>
  <si>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</si>
  <si>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</si>
  <si>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</si>
  <si>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</si>
  <si>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</si>
  <si>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</si>
  <si>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</si>
  <si>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</si>
  <si>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</si>
  <si>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</si>
  <si>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</si>
  <si>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</si>
  <si>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</si>
  <si>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</si>
  <si>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</si>
  <si>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</si>
  <si>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</si>
  <si>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</si>
  <si>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</si>
  <si>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</si>
  <si>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</si>
  <si>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</si>
  <si>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</si>
  <si>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</si>
  <si>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</si>
  <si>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</si>
  <si>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</si>
  <si>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</si>
  <si>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</si>
  <si>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</si>
  <si>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</si>
  <si>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</si>
  <si>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</si>
  <si>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</si>
  <si>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</si>
  <si>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</si>
  <si>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</si>
  <si>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</si>
  <si>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</si>
  <si>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</si>
  <si>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</si>
  <si>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</si>
  <si>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</si>
  <si>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</si>
  <si>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</si>
  <si>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</si>
  <si>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</si>
  <si>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</si>
  <si>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</si>
  <si>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</si>
  <si>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</si>
  <si>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</si>
  <si>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</si>
  <si>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</si>
  <si>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</si>
  <si>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</si>
  <si>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</si>
  <si>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</si>
  <si>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</si>
  <si>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</si>
  <si>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</si>
  <si>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</si>
  <si>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</si>
  <si>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</si>
  <si>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</si>
  <si>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</si>
  <si>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</si>
  <si>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</si>
  <si>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</si>
  <si>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</si>
  <si>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</si>
  <si>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</si>
  <si>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</si>
  <si>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</si>
  <si>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</si>
  <si>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</si>
  <si>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</si>
  <si>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</si>
  <si>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</si>
  <si>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</si>
  <si>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</si>
  <si>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</si>
  <si>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</si>
  <si>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</si>
  <si>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</si>
  <si>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</si>
  <si>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</si>
  <si>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</si>
  <si>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</si>
  <si>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</si>
  <si>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</si>
  <si>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</si>
  <si>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</si>
  <si>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</si>
  <si>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</si>
  <si>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</si>
  <si>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</si>
  <si>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</si>
  <si>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</si>
  <si>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</si>
  <si>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</si>
  <si>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</si>
  <si>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</si>
  <si>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</si>
  <si>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</si>
  <si>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</si>
  <si>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</si>
  <si>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</si>
  <si>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</si>
  <si>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</si>
  <si>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</si>
  <si>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</si>
  <si>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</si>
  <si>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</si>
  <si>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</si>
  <si>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</si>
  <si>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</si>
  <si>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</si>
  <si>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</si>
  <si>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</si>
  <si>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</si>
  <si>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</si>
  <si>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</si>
  <si>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</si>
  <si>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</si>
  <si>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</si>
  <si>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</si>
  <si>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</si>
  <si>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</si>
  <si>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</si>
  <si>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</si>
  <si>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</si>
  <si>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</si>
  <si>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</si>
  <si>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</si>
  <si>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</si>
  <si>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</si>
  <si>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</si>
  <si>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</si>
  <si>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</si>
  <si>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</si>
  <si>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</si>
  <si>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</si>
  <si>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</si>
  <si>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</si>
  <si>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</si>
  <si>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</si>
  <si>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</si>
  <si>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</si>
  <si>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</si>
  <si>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</si>
  <si>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</si>
  <si>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</si>
  <si>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</si>
  <si>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</si>
  <si>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</si>
  <si>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</si>
  <si>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</si>
  <si>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</si>
  <si>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</si>
  <si>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</si>
  <si>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</si>
  <si>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</si>
  <si>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</si>
  <si>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</si>
  <si>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</si>
  <si>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</si>
  <si>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</si>
  <si>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</si>
  <si>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</si>
  <si>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</si>
  <si>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</si>
  <si>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</si>
  <si>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</si>
  <si>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</si>
  <si>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</si>
  <si>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</si>
  <si>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</si>
  <si>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</si>
  <si>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</si>
  <si>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</si>
  <si>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</si>
  <si>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</si>
  <si>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</si>
  <si>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</si>
  <si>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</si>
  <si>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</si>
  <si>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</si>
  <si>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</si>
  <si>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</si>
  <si>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</si>
  <si>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</si>
  <si>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</si>
  <si>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</si>
  <si>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</si>
  <si>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</si>
  <si>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</si>
  <si>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</si>
  <si>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</si>
  <si>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</si>
  <si>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</si>
  <si>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</si>
  <si>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</si>
  <si>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</si>
  <si>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</si>
  <si>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</si>
  <si>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</si>
  <si>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</si>
  <si>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</si>
  <si>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</si>
  <si>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</si>
  <si>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</si>
  <si>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</si>
  <si>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</si>
  <si>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</si>
  <si>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</si>
  <si>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</si>
  <si>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</si>
  <si>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</si>
  <si>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</si>
  <si>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</si>
  <si>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</si>
  <si>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</si>
  <si>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</si>
  <si>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</si>
  <si>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</si>
  <si>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</si>
  <si>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</si>
  <si>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</si>
  <si>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</si>
  <si>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</si>
  <si>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</si>
  <si>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</si>
  <si>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</si>
  <si>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</si>
  <si>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</si>
  <si>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</si>
  <si>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</si>
  <si>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</si>
  <si>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</si>
  <si>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</si>
  <si>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</si>
  <si>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</si>
  <si>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</si>
  <si>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</si>
  <si>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</si>
  <si>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</si>
  <si>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</si>
  <si>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</si>
  <si>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</si>
  <si>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</si>
  <si>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</si>
  <si>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</si>
  <si>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</si>
  <si>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</si>
  <si>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</si>
  <si>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</si>
  <si>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</si>
  <si>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</si>
  <si>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</si>
  <si>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</si>
  <si>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</si>
  <si>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</si>
  <si>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</si>
  <si>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</si>
  <si>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</si>
  <si>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</si>
  <si>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</si>
  <si>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</si>
  <si>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</si>
  <si>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</si>
  <si>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</si>
  <si>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</si>
  <si>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</si>
  <si>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</si>
  <si>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</si>
  <si>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</si>
  <si>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</si>
  <si>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</si>
  <si>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</si>
  <si>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</si>
  <si>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</si>
  <si>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</si>
  <si>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</si>
  <si>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</si>
  <si>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</si>
  <si>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</si>
  <si>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</si>
  <si>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</si>
  <si>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</si>
  <si>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</si>
  <si>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</si>
  <si>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</si>
  <si>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</si>
  <si>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</si>
  <si>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</si>
  <si>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</si>
  <si>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</si>
  <si>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</si>
  <si>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</si>
  <si>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</si>
  <si>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</si>
  <si>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</si>
  <si>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</si>
  <si>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</si>
  <si>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</si>
  <si>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</si>
  <si>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</si>
  <si>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</si>
  <si>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</si>
  <si>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</si>
  <si>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</si>
  <si>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</si>
  <si>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</si>
  <si>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</si>
  <si>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</si>
  <si>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</si>
  <si>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</si>
  <si>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</si>
  <si>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</si>
  <si>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</si>
  <si>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</si>
  <si>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</si>
  <si>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</si>
  <si>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</si>
  <si>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</si>
  <si>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</si>
  <si>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</si>
  <si>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</si>
  <si>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</si>
  <si>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</si>
  <si>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</si>
  <si>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</si>
  <si>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</si>
  <si>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</si>
  <si>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</si>
  <si>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</si>
  <si>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</si>
  <si>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</si>
  <si>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</si>
  <si>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</si>
  <si>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</si>
  <si>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</si>
  <si>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</si>
  <si>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</si>
  <si>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</si>
  <si>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</si>
  <si>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</si>
  <si>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</si>
  <si>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</si>
  <si>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</si>
  <si>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</si>
  <si>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</si>
  <si>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</si>
  <si>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</si>
  <si>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</si>
  <si>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</si>
  <si>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</si>
  <si>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</si>
  <si>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</si>
  <si>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</si>
  <si>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</si>
  <si>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</si>
  <si>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</si>
  <si>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</si>
  <si>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</si>
  <si>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</si>
  <si>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</si>
  <si>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</si>
  <si>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</si>
  <si>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</si>
  <si>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</si>
  <si>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</si>
  <si>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</si>
  <si>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</si>
  <si>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</si>
  <si>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</si>
  <si>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</si>
  <si>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</si>
  <si>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</si>
  <si>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</si>
  <si>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</si>
  <si>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</si>
  <si>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</si>
  <si>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</si>
  <si>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</si>
  <si>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</si>
  <si>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</si>
  <si>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</si>
  <si>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</si>
  <si>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</si>
  <si>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</si>
  <si>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</si>
  <si>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</si>
  <si>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</si>
  <si>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</si>
  <si>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</si>
  <si>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</si>
  <si>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</si>
  <si>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</si>
  <si>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</si>
  <si>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</si>
  <si>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</si>
  <si>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</si>
  <si>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</si>
  <si>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</si>
  <si>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</si>
  <si>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</si>
  <si>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</si>
  <si>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</si>
  <si>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</si>
  <si>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</si>
  <si>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</si>
  <si>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</si>
  <si>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</si>
  <si>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</si>
  <si>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</si>
  <si>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</si>
  <si>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</si>
  <si>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</si>
  <si>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</si>
  <si>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</si>
  <si>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</si>
  <si>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</si>
  <si>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</si>
  <si>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</si>
  <si>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</si>
  <si>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</si>
  <si>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</si>
  <si>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</si>
  <si>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</si>
  <si>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</si>
  <si>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</si>
  <si>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</si>
  <si>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</si>
  <si>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</si>
  <si>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</si>
  <si>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</si>
  <si>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</si>
  <si>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</si>
  <si>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</si>
  <si>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</si>
  <si>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</si>
  <si>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</si>
  <si>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</si>
  <si>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</si>
  <si>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</si>
  <si>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</si>
  <si>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</si>
  <si>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</si>
  <si>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</si>
  <si>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 Včetně kotvících prvků, zprovoznění, odzkoušení, čidel, prokabelování a veškeré příslušenství dle PD.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</si>
  <si>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</si>
  <si>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</si>
  <si>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</si>
  <si>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</si>
  <si>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</si>
  <si>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</si>
  <si>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</si>
  <si>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</si>
  <si>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</si>
  <si>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</si>
  <si>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</si>
  <si>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</si>
  <si>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</si>
  <si>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</si>
  <si>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</si>
  <si>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</si>
  <si>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</si>
  <si>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</si>
  <si>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</si>
  <si>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</si>
  <si>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</si>
  <si>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</si>
  <si>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</si>
  <si>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</si>
  <si>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</si>
  <si>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</si>
  <si>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</si>
  <si>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</si>
  <si>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</si>
  <si>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</si>
  <si>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</si>
  <si>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</si>
  <si>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</si>
  <si>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</si>
  <si>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</si>
  <si>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</si>
  <si>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</si>
  <si>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</si>
  <si>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</si>
  <si>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</si>
  <si>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</si>
  <si>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</si>
  <si>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</si>
  <si>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</si>
  <si>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</si>
  <si>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</si>
  <si>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</si>
  <si>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</si>
  <si>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</si>
  <si>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</si>
  <si>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</si>
  <si>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</si>
  <si>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</si>
  <si>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</si>
  <si>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</si>
  <si>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</si>
  <si>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</si>
  <si>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</si>
  <si>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</si>
  <si>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</si>
  <si>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</si>
  <si>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</si>
  <si>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</si>
  <si>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</si>
  <si>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</si>
  <si>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</si>
  <si>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</si>
  <si>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</si>
  <si>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</si>
  <si>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</si>
  <si>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</si>
  <si>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</si>
  <si>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</si>
  <si>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</si>
  <si>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</si>
  <si>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</si>
  <si>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</si>
  <si>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</si>
  <si>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</si>
  <si>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</si>
  <si>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</si>
  <si>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</si>
  <si>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</si>
  <si>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</si>
  <si>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</si>
  <si>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</si>
  <si>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</si>
  <si>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</si>
  <si>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</si>
  <si>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</si>
  <si>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</si>
  <si>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</si>
  <si>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</si>
  <si>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</si>
  <si>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</si>
  <si>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</si>
  <si>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</si>
  <si>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</si>
  <si>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</si>
  <si>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</si>
  <si>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</si>
  <si>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</si>
  <si>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</si>
  <si>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</si>
  <si>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</si>
  <si>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</si>
  <si>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</si>
  <si>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</si>
  <si>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</si>
  <si>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</si>
  <si>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</si>
  <si>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</si>
  <si>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</si>
  <si>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</si>
  <si>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</si>
  <si>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</si>
  <si>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</si>
  <si>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</si>
  <si>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</si>
  <si>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</si>
  <si>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</si>
  <si>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</si>
  <si>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</si>
  <si>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</si>
  <si>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</si>
  <si>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</si>
  <si>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</si>
  <si>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</si>
  <si>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</si>
  <si>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</si>
  <si>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</si>
  <si>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</si>
  <si>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</si>
  <si>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</si>
  <si>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</si>
  <si>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</si>
  <si>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</si>
  <si>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</si>
  <si>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</si>
  <si>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</si>
  <si>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</si>
  <si>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</si>
  <si>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</si>
  <si>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</si>
  <si>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</si>
  <si>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</si>
  <si>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</si>
  <si>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</si>
  <si>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</si>
  <si>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</si>
  <si>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</si>
  <si>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</si>
  <si>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</si>
  <si>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</si>
  <si>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</si>
  <si>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</si>
  <si>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</si>
  <si>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</si>
  <si>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</si>
  <si>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</si>
  <si>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</si>
  <si>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</si>
  <si>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</si>
  <si>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</si>
  <si>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</si>
  <si>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</si>
  <si>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</si>
  <si>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</si>
  <si>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</si>
  <si>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</si>
  <si>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</si>
  <si>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</si>
  <si>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</si>
  <si>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</si>
  <si>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</si>
  <si>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</si>
  <si>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</si>
  <si>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</si>
  <si>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</si>
  <si>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</si>
  <si>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</si>
  <si>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</si>
  <si>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</si>
  <si>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</si>
  <si>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</si>
  <si>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</si>
  <si>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</si>
  <si>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</si>
  <si>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</si>
  <si>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</si>
  <si>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</si>
  <si>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</si>
  <si>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</si>
  <si>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</si>
  <si>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</si>
  <si>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</si>
  <si>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</si>
  <si>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</si>
  <si>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</si>
  <si>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</si>
  <si>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</si>
  <si>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</si>
  <si>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</si>
  <si>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</si>
  <si>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</si>
  <si>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</si>
  <si>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</si>
  <si>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</si>
  <si>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</si>
  <si>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</si>
  <si>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</si>
  <si>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</si>
  <si>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</si>
  <si>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</si>
  <si>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</si>
  <si>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</si>
  <si>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</si>
  <si>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</si>
  <si>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</si>
  <si>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</si>
  <si>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</si>
  <si>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</si>
  <si>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</si>
  <si>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</si>
  <si>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</si>
  <si>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</si>
  <si>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</si>
  <si>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</si>
  <si>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</si>
  <si>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</si>
  <si>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</si>
  <si>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</si>
  <si>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</si>
  <si>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</si>
  <si>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</si>
  <si>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</si>
  <si>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</si>
  <si>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</si>
  <si>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</si>
  <si>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</si>
  <si>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</si>
  <si>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</si>
  <si>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</si>
  <si>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</si>
  <si>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</si>
  <si>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</si>
  <si>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</si>
  <si>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</si>
  <si>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</si>
  <si>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</si>
  <si>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</si>
  <si>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</si>
  <si>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</si>
  <si>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</si>
  <si>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</si>
  <si>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</si>
  <si>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</si>
  <si>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</si>
  <si>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</si>
  <si>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</si>
  <si>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</si>
  <si>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</si>
  <si>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</si>
  <si>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</si>
  <si>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</si>
  <si>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</si>
  <si>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</si>
  <si>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</si>
  <si>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</si>
  <si>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</si>
  <si>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</si>
  <si>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</si>
  <si>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</si>
  <si>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</si>
  <si>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</si>
  <si>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</si>
  <si>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</si>
  <si>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</si>
  <si>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</si>
  <si>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</si>
  <si>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</si>
  <si>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</si>
  <si>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</si>
  <si>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</si>
  <si>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</si>
  <si>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</si>
  <si>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</si>
  <si>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</si>
  <si>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</si>
  <si>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</si>
  <si>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</si>
  <si>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</si>
  <si>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</si>
  <si>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</si>
  <si>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</si>
  <si>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</si>
  <si>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</si>
  <si>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</si>
  <si>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</si>
  <si>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</si>
  <si>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</si>
  <si>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</si>
  <si>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</si>
  <si>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</si>
  <si>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</si>
  <si>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</si>
  <si>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</si>
  <si>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</si>
  <si>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</si>
  <si>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</si>
  <si>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</si>
  <si>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</si>
  <si>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</si>
  <si>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</si>
  <si>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</si>
  <si>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</si>
  <si>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</si>
  <si>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</si>
  <si>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</si>
  <si>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</si>
  <si>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</si>
  <si>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</si>
  <si>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</si>
  <si>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</si>
  <si>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</si>
  <si>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</si>
  <si>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</si>
  <si>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</si>
  <si>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</si>
  <si>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</si>
  <si>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</si>
  <si>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</si>
  <si>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</si>
  <si>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</si>
  <si>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</si>
  <si>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</si>
  <si>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</si>
  <si>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</si>
  <si>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</si>
  <si>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</si>
  <si>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</si>
  <si>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</si>
  <si>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</si>
  <si>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</si>
  <si>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</si>
  <si>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</si>
  <si>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</si>
  <si>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</si>
  <si>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</si>
  <si>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</si>
  <si>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</si>
  <si>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</si>
  <si>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</si>
  <si>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</si>
  <si>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</si>
  <si>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</si>
  <si>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</si>
  <si>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</si>
  <si>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</si>
  <si>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</si>
  <si>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</si>
  <si>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</si>
  <si>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</si>
  <si>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</si>
  <si>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</si>
  <si>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</si>
  <si>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</si>
  <si>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</si>
  <si>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</si>
  <si>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</si>
  <si>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</si>
  <si>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</si>
  <si>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</si>
  <si>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</si>
  <si>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</si>
  <si>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</si>
  <si>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</si>
  <si>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</si>
  <si>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</si>
  <si>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</si>
  <si>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</si>
  <si>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</si>
  <si>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</si>
  <si>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</si>
  <si>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</si>
  <si>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</si>
  <si>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</si>
  <si>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</si>
  <si>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</si>
  <si>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</si>
  <si>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</si>
  <si>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</si>
  <si>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</si>
  <si>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</si>
  <si>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</si>
  <si>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</si>
  <si>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</si>
  <si>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</si>
  <si>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</si>
  <si>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</si>
  <si>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</si>
  <si>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</si>
  <si>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</si>
  <si>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</si>
  <si>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</si>
  <si>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</si>
  <si>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</si>
  <si>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</si>
  <si>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</si>
  <si>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</si>
  <si>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</si>
  <si>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</si>
  <si>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</si>
  <si>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</si>
  <si>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</si>
  <si>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</si>
  <si>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</si>
  <si>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</si>
  <si>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</si>
  <si>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</si>
  <si>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</si>
  <si>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</si>
  <si>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</si>
  <si>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</si>
  <si>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</si>
  <si>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</si>
  <si>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</si>
  <si>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</si>
  <si>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</si>
  <si>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</si>
  <si>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</si>
  <si>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</si>
  <si>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</si>
  <si>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</si>
  <si>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</si>
  <si>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</si>
  <si>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</si>
  <si>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</si>
  <si>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</si>
  <si>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</si>
  <si>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</si>
  <si>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</si>
  <si>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</si>
  <si>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</si>
  <si>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</si>
  <si>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</si>
  <si>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</si>
  <si>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</si>
  <si>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</si>
  <si>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</si>
  <si>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</si>
  <si>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</si>
  <si>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</si>
  <si>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</si>
  <si>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</si>
  <si>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</si>
  <si>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</si>
  <si>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</si>
  <si>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</si>
  <si>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</si>
  <si>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</si>
  <si>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</si>
  <si>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</si>
  <si>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</si>
  <si>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</si>
  <si>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</si>
  <si>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</si>
  <si>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</si>
  <si>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</si>
  <si>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</si>
  <si>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</si>
  <si>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</si>
  <si>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</si>
  <si>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</si>
  <si>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</si>
  <si>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</si>
  <si>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</si>
  <si>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</si>
  <si>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</si>
  <si>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</si>
  <si>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</si>
  <si>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</si>
  <si>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</si>
  <si>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</si>
  <si>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</si>
  <si>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</si>
  <si>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</si>
  <si>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</si>
  <si>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</si>
  <si>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</si>
  <si>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</si>
  <si>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</si>
  <si>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</si>
  <si>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</si>
  <si>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</si>
  <si>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</si>
  <si>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</si>
  <si>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</si>
  <si>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</si>
  <si>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</si>
  <si>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</si>
  <si>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</si>
  <si>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</si>
  <si>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</si>
  <si>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</si>
  <si>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</si>
  <si>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</si>
  <si>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</si>
  <si>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</si>
  <si>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</si>
  <si>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</si>
  <si>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</si>
  <si>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</si>
  <si>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</si>
  <si>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</si>
  <si>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</si>
  <si>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</si>
  <si>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</si>
  <si>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</si>
  <si>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</si>
  <si>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</si>
  <si>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</si>
  <si>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</si>
  <si>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</si>
  <si>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</si>
  <si>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</si>
  <si>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</si>
  <si>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</si>
  <si>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</si>
  <si>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</si>
  <si>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</si>
  <si>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</si>
  <si>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</si>
  <si>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</si>
  <si>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</si>
  <si>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</si>
  <si>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</si>
  <si>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</si>
  <si>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</si>
  <si>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</si>
  <si>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</si>
  <si>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</si>
  <si>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</si>
  <si>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</si>
  <si>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</si>
  <si>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</si>
  <si>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</si>
  <si>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</si>
  <si>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</si>
  <si>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</si>
  <si>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</si>
  <si>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</si>
  <si>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</si>
  <si>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</si>
  <si>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</si>
  <si>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</si>
  <si>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</si>
  <si>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</si>
  <si>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</si>
  <si>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</si>
  <si>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</si>
  <si>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</si>
  <si>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</si>
  <si>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</si>
  <si>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</si>
  <si>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</si>
  <si>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</si>
  <si>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</si>
  <si>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</si>
  <si>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</si>
  <si>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</si>
  <si>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</si>
  <si>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</si>
  <si>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</si>
  <si>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</si>
  <si>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</si>
  <si>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</si>
  <si>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</si>
  <si>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</si>
  <si>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</si>
  <si>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</si>
  <si>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</si>
  <si>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</si>
  <si>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</si>
  <si>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</si>
  <si>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</si>
  <si>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</si>
  <si>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</si>
  <si>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</si>
  <si>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</si>
  <si>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</si>
  <si>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</si>
  <si>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</si>
  <si>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</si>
  <si>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</si>
  <si>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</si>
  <si>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</si>
  <si>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</si>
  <si>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</si>
  <si>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</si>
  <si>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</si>
  <si>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</si>
  <si>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</si>
  <si>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</si>
  <si>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</si>
  <si>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</si>
  <si>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</si>
  <si>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</si>
  <si>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</si>
  <si>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</si>
  <si>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</si>
  <si>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</si>
  <si>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</si>
  <si>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</si>
  <si>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</si>
  <si>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</si>
  <si>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</si>
  <si>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</si>
  <si>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</si>
  <si>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</si>
  <si>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</si>
  <si>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</si>
  <si>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</si>
  <si>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</si>
  <si>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</si>
  <si>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</si>
  <si>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</si>
  <si>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</si>
  <si>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</si>
  <si>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</si>
  <si>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</si>
  <si>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</si>
  <si>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</si>
  <si>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</si>
  <si>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</si>
  <si>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</si>
  <si>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</si>
  <si>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</si>
  <si>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</si>
  <si>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</si>
  <si>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</si>
  <si>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</si>
  <si>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</si>
  <si>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</si>
  <si>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</si>
  <si>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</si>
  <si>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</si>
  <si>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</si>
  <si>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</si>
  <si>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</si>
  <si>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</si>
  <si>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</si>
  <si>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</si>
  <si>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</si>
  <si>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</si>
  <si>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</si>
  <si>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</si>
  <si>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</si>
  <si>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</si>
  <si>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</si>
  <si>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</si>
  <si>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</si>
  <si>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</si>
  <si>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</si>
  <si>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</si>
  <si>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</si>
  <si>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</si>
  <si>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</si>
  <si>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</si>
  <si>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</si>
  <si>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</si>
  <si>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</si>
  <si>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</si>
  <si>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</si>
  <si>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</si>
  <si>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</si>
  <si>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</si>
  <si>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</si>
  <si>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</si>
  <si>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</si>
  <si>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</si>
  <si>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</si>
  <si>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</si>
  <si>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</si>
  <si>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</si>
  <si>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</si>
  <si>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</si>
  <si>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</si>
  <si>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</si>
  <si>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</si>
  <si>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</si>
  <si>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</si>
  <si>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</si>
  <si>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</si>
  <si>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</si>
  <si>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</si>
  <si>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</si>
  <si>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</si>
  <si>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</si>
  <si>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</si>
  <si>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</si>
  <si>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</si>
  <si>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</si>
  <si>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</si>
  <si>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</si>
  <si>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</si>
  <si>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</si>
  <si>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</si>
  <si>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</si>
  <si>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</si>
  <si>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</si>
  <si>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</si>
  <si>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</si>
  <si>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</si>
  <si>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</si>
  <si>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</si>
  <si>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</si>
  <si>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</si>
  <si>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</si>
  <si>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</si>
  <si>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</si>
  <si>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</si>
  <si>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</si>
  <si>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</si>
  <si>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</si>
  <si>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</si>
  <si>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</si>
  <si>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</si>
  <si>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</si>
  <si>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</si>
  <si>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</si>
  <si>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</si>
  <si>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</si>
  <si>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</si>
  <si>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</si>
  <si>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</si>
  <si>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</si>
  <si>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</si>
  <si>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</si>
  <si>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</si>
  <si>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</si>
  <si>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</si>
  <si>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</si>
  <si>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</si>
  <si>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</si>
  <si>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</si>
  <si>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</si>
  <si>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</si>
  <si>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</si>
  <si>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</si>
  <si>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</si>
  <si>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</si>
  <si>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</si>
  <si>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</si>
  <si>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</si>
  <si>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</si>
  <si>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</si>
  <si>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</si>
  <si>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</si>
  <si>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</si>
  <si>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</si>
  <si>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</si>
  <si>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</si>
  <si>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</si>
  <si>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</si>
  <si>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</si>
  <si>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</si>
  <si>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</si>
  <si>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</si>
  <si>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</si>
  <si>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</si>
  <si>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</si>
  <si>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</si>
  <si>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</si>
  <si>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</si>
  <si>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</si>
  <si>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</si>
  <si>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</si>
  <si>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</si>
  <si>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</si>
  <si>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</si>
  <si>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</si>
  <si>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</si>
  <si>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</si>
  <si>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</si>
  <si>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</si>
  <si>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</si>
  <si>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</si>
  <si>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</si>
  <si>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</si>
  <si>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</si>
  <si>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</si>
  <si>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</si>
  <si>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</si>
  <si>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</si>
  <si>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</si>
  <si>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</si>
  <si>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</si>
  <si>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</si>
  <si>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</si>
  <si>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</si>
  <si>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</si>
  <si>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</si>
  <si>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</si>
  <si>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</si>
  <si>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</si>
  <si>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</si>
  <si>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</si>
  <si>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</si>
  <si>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</si>
  <si>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</si>
  <si>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</si>
  <si>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</si>
  <si>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</si>
  <si>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</si>
  <si>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</si>
  <si>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</si>
  <si>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</si>
  <si>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</si>
  <si>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</si>
  <si>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</si>
  <si>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</si>
  <si>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</si>
  <si>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</si>
  <si>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</si>
  <si>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</si>
  <si>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</si>
  <si>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</si>
  <si>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</si>
  <si>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</si>
  <si>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</si>
  <si>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</si>
  <si>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</si>
  <si>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</si>
  <si>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</si>
  <si>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</si>
  <si>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</si>
  <si>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</si>
  <si>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</si>
  <si>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</si>
  <si>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</si>
  <si>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</si>
  <si>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</si>
  <si>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</si>
  <si>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</si>
  <si>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</si>
  <si>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</si>
  <si>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</si>
  <si>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</si>
  <si>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</si>
  <si>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</si>
  <si>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</si>
  <si>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</si>
  <si>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</si>
  <si>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</si>
  <si>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</si>
  <si>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</si>
  <si>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</si>
  <si>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</si>
  <si>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</si>
  <si>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</si>
  <si>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</si>
  <si>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</si>
  <si>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</si>
  <si>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</si>
  <si>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</si>
  <si>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</si>
  <si>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</si>
  <si>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</si>
  <si>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</si>
  <si>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</si>
  <si>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</si>
  <si>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</si>
  <si>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</si>
  <si>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</si>
  <si>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</si>
  <si>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</si>
  <si>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</si>
  <si>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</si>
  <si>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</si>
  <si>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</si>
  <si>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</si>
  <si>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</si>
  <si>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</si>
  <si>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</si>
  <si>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</si>
  <si>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</si>
  <si>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</si>
  <si>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</si>
  <si>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</si>
  <si>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</si>
  <si>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</si>
  <si>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</si>
  <si>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</si>
  <si>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</si>
  <si>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</si>
  <si>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</si>
  <si>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</si>
  <si>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</si>
  <si>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</si>
  <si>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</si>
  <si>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</si>
  <si>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</si>
  <si>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</si>
  <si>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</si>
  <si>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</si>
  <si>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</si>
  <si>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</si>
  <si>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</si>
  <si>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</si>
  <si>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</si>
  <si>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</si>
  <si>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</si>
  <si>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</si>
  <si>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</si>
  <si>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</si>
  <si>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</si>
  <si>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</si>
  <si>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</si>
  <si>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</si>
  <si>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</si>
  <si>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</si>
  <si>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</si>
  <si>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</si>
  <si>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</si>
  <si>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</si>
  <si>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</si>
  <si>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</si>
  <si>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</si>
  <si>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</si>
  <si>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</si>
  <si>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</si>
  <si>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</si>
  <si>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</si>
  <si>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</si>
  <si>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</si>
  <si>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</si>
  <si>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</si>
  <si>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</si>
  <si>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</si>
  <si>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</si>
  <si>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</si>
  <si>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</si>
  <si>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</si>
  <si>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</si>
  <si>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</si>
  <si>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</si>
  <si>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</si>
  <si>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</si>
  <si>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</si>
  <si>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</si>
  <si>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</si>
  <si>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</si>
  <si>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</si>
  <si>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</si>
  <si>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</si>
  <si>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</si>
  <si>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</si>
  <si>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</si>
  <si>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</si>
  <si>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</si>
  <si>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</si>
  <si>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</si>
  <si>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</si>
  <si>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</si>
  <si>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</si>
  <si>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</si>
  <si>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</si>
  <si>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</si>
  <si>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</si>
  <si>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</si>
  <si>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</si>
  <si>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</si>
  <si>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</si>
  <si>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</si>
  <si>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</si>
  <si>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</si>
  <si>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</si>
  <si>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</si>
  <si>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</si>
  <si>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</si>
  <si>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</si>
  <si>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</si>
  <si>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</si>
  <si>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</si>
  <si>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</si>
  <si>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</si>
  <si>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</si>
  <si>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</si>
  <si>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</si>
  <si>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</si>
  <si>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</si>
  <si>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</si>
  <si>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</si>
  <si>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</si>
  <si>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</si>
  <si>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</si>
  <si>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</si>
  <si>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</si>
  <si>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</si>
  <si>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</si>
  <si>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</si>
  <si>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</si>
  <si>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</si>
  <si>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</si>
  <si>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</si>
  <si>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</si>
  <si>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</si>
  <si>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</si>
  <si>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</si>
  <si>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</si>
  <si>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</si>
  <si>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</si>
  <si>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</si>
  <si>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</si>
  <si>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</si>
  <si>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</si>
  <si>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</si>
  <si>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</si>
  <si>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</si>
  <si>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</si>
  <si>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</si>
  <si>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</si>
  <si>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</si>
  <si>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</si>
  <si>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</si>
  <si>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</si>
  <si>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</si>
  <si>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</si>
  <si>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</si>
  <si>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</si>
  <si>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</si>
  <si>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</si>
  <si>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</si>
  <si>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</si>
  <si>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</si>
  <si>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</si>
  <si>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</si>
  <si>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</si>
  <si>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</si>
  <si>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</si>
  <si>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</si>
  <si>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</si>
  <si>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</si>
  <si>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</si>
  <si>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</si>
  <si>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</si>
  <si>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</si>
  <si>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</si>
  <si>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</si>
  <si>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</si>
  <si>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</si>
  <si>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</si>
  <si>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</si>
  <si>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</si>
  <si>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</si>
  <si>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</si>
  <si>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</si>
  <si>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</si>
  <si>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</si>
  <si>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</si>
  <si>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</si>
  <si>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</si>
  <si>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</si>
  <si>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</si>
  <si>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</si>
  <si>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</si>
  <si>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</si>
  <si>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</si>
  <si>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</si>
  <si>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</si>
  <si>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</si>
  <si>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</si>
  <si>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</si>
  <si>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</si>
  <si>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</si>
  <si>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</si>
  <si>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</si>
  <si>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</si>
  <si>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</si>
  <si>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</si>
  <si>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</si>
  <si>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</si>
  <si>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</si>
  <si>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</si>
  <si>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</si>
  <si>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</si>
  <si>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</si>
  <si>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</si>
  <si>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</si>
  <si>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</si>
  <si>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</si>
  <si>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</si>
  <si>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</si>
  <si>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</si>
  <si>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</si>
  <si>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</si>
  <si>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</si>
  <si>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</si>
  <si>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</si>
  <si>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</si>
  <si>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</si>
  <si>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</si>
  <si>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</si>
  <si>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</si>
  <si>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</si>
  <si>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</si>
  <si>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</si>
  <si>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</si>
  <si>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</si>
  <si>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</si>
  <si>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</si>
  <si>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</si>
  <si>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</si>
  <si>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</si>
  <si>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</si>
  <si>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</si>
  <si>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</si>
  <si>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</si>
  <si>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</si>
  <si>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</si>
  <si>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</si>
  <si>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</si>
  <si>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</si>
  <si>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</si>
  <si>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</si>
  <si>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</si>
  <si>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</si>
  <si>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</si>
  <si>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</si>
  <si>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</si>
  <si>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</si>
  <si>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</si>
  <si>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</si>
  <si>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</si>
  <si>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</si>
  <si>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</si>
  <si>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</si>
  <si>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</si>
  <si>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</si>
  <si>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</si>
  <si>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</si>
  <si>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</si>
  <si>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</si>
  <si>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</si>
  <si>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</si>
  <si>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</si>
  <si>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</si>
  <si>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</si>
  <si>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</si>
  <si>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</si>
  <si>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</si>
  <si>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</si>
  <si>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</si>
  <si>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</si>
  <si>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</si>
  <si>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</si>
  <si>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</si>
  <si>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</si>
  <si>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</si>
  <si>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</si>
  <si>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</si>
  <si>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</si>
  <si>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</si>
  <si>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</si>
  <si>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</si>
  <si>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</si>
  <si>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</si>
  <si>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</si>
  <si>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</si>
  <si>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</si>
  <si>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</si>
  <si>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</si>
  <si>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</si>
  <si>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</si>
  <si>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</si>
  <si>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</si>
  <si>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</si>
  <si>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</si>
  <si>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</si>
  <si>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</si>
  <si>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</si>
  <si>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</si>
  <si>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</si>
  <si>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</si>
  <si>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</si>
  <si>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</si>
  <si>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</si>
  <si>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</si>
  <si>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</si>
  <si>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</si>
  <si>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</si>
  <si>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</si>
  <si>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</si>
  <si>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</si>
  <si>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</si>
  <si>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</si>
  <si>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</si>
  <si>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</si>
  <si>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</si>
  <si>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</si>
  <si>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</si>
  <si>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</si>
  <si>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</si>
  <si>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</si>
  <si>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</si>
  <si>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</si>
  <si>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</si>
  <si>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</si>
  <si>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</si>
  <si>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</si>
  <si>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</si>
  <si>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</si>
  <si>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</si>
  <si>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</si>
  <si>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</si>
  <si>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</si>
  <si>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</si>
  <si>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</si>
  <si>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</si>
  <si>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</si>
  <si>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</si>
  <si>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</si>
  <si>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</si>
  <si>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</si>
  <si>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</si>
  <si>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</si>
  <si>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</si>
  <si>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</si>
  <si>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</si>
  <si>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</si>
  <si>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</si>
  <si>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</si>
  <si>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</si>
  <si>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</si>
  <si>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</si>
  <si>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</si>
  <si>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</si>
  <si>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</si>
  <si>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</si>
  <si>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</si>
  <si>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</si>
  <si>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</si>
  <si>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</si>
  <si>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</si>
  <si>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</si>
  <si>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</si>
  <si>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</si>
  <si>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</si>
  <si>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</si>
  <si>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</si>
  <si>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</si>
  <si>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</si>
  <si>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</si>
  <si>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</si>
  <si>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</si>
  <si>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</si>
  <si>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</si>
  <si>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</si>
  <si>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</si>
  <si>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</si>
  <si>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</si>
  <si>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</si>
  <si>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</si>
  <si>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</si>
  <si>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</si>
  <si>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</si>
  <si>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</si>
  <si>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</si>
  <si>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</si>
  <si>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</si>
  <si>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</si>
  <si>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</si>
  <si>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</si>
  <si>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</si>
  <si>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</si>
  <si>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</si>
  <si>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</si>
  <si>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</si>
  <si>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</si>
  <si>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</si>
  <si>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</si>
  <si>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</si>
  <si>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</si>
  <si>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</si>
  <si>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</si>
  <si>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</si>
  <si>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</si>
  <si>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</si>
  <si>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</si>
  <si>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</si>
  <si>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</si>
  <si>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</si>
  <si>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</si>
  <si>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</si>
  <si>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</si>
  <si>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</si>
  <si>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</si>
  <si>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</si>
  <si>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</si>
  <si>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</si>
  <si>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</si>
  <si>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</si>
  <si>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</si>
  <si>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</si>
  <si>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</si>
  <si>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</si>
  <si>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</si>
  <si>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</si>
  <si>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</si>
  <si>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</si>
  <si>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</si>
  <si>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</si>
  <si>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</si>
  <si>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</si>
  <si>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</si>
  <si>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</si>
  <si>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</si>
  <si>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</si>
  <si>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</si>
  <si>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</si>
  <si>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</si>
  <si>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</si>
  <si>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</si>
  <si>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</si>
  <si>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</si>
  <si>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</si>
  <si>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</si>
  <si>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</si>
  <si>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</si>
  <si>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</si>
  <si>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</si>
  <si>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</si>
  <si>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</si>
  <si>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</si>
  <si>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</si>
  <si>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</si>
  <si>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</si>
  <si>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</si>
  <si>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</si>
  <si>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</si>
  <si>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</si>
  <si>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</si>
  <si>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</si>
  <si>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</si>
  <si>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</si>
  <si>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</si>
  <si>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</si>
  <si>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</si>
  <si>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</si>
  <si>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</si>
  <si>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</si>
  <si>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</si>
  <si>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</si>
  <si>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</si>
  <si>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</si>
  <si>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</si>
  <si>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</si>
  <si>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</si>
  <si>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</si>
  <si>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</si>
  <si>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</si>
  <si>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</si>
  <si>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</si>
  <si>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</si>
  <si>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</si>
  <si>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</si>
  <si>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</si>
  <si>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</si>
  <si>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</si>
  <si>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</si>
  <si>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</si>
  <si>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</si>
  <si>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</si>
  <si>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</si>
  <si>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</si>
  <si>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</si>
  <si>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</si>
  <si>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</si>
  <si>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</si>
  <si>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</si>
  <si>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</si>
  <si>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</si>
  <si>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</si>
  <si>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</si>
  <si>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</si>
  <si>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</si>
  <si>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</si>
  <si>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</si>
  <si>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</si>
  <si>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</si>
  <si>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</si>
  <si>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</si>
  <si>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</si>
  <si>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</si>
  <si>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</si>
  <si>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</si>
  <si>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</si>
  <si>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</si>
  <si>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</si>
  <si>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</si>
  <si>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</si>
  <si>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</si>
  <si>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</si>
  <si>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</si>
  <si>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</si>
  <si>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</si>
  <si>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</si>
  <si>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</si>
  <si>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</si>
  <si>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</si>
  <si>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</si>
  <si>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</si>
  <si>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</si>
  <si>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</si>
  <si>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</si>
  <si>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</si>
  <si>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</si>
  <si>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</si>
  <si>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</si>
  <si>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</si>
  <si>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</si>
  <si>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</si>
  <si>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</si>
  <si>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</si>
  <si>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</si>
  <si>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</si>
  <si>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</si>
  <si>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</si>
  <si>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</si>
  <si>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</si>
  <si>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</si>
  <si>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</si>
  <si>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</si>
  <si>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</si>
  <si>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</si>
  <si>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</si>
  <si>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</si>
  <si>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</si>
  <si>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</si>
  <si>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</si>
  <si>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</si>
  <si>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</si>
  <si>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</si>
  <si>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</si>
  <si>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</si>
  <si>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</si>
  <si>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</si>
  <si>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</si>
  <si>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</si>
  <si>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</si>
  <si>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</si>
  <si>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</si>
  <si>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</si>
  <si>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</si>
  <si>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</si>
  <si>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</si>
  <si>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</si>
  <si>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</si>
  <si>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</si>
  <si>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</si>
  <si>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</si>
  <si>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</si>
  <si>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</si>
  <si>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</si>
  <si>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</si>
  <si>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</si>
  <si>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</si>
  <si>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</si>
  <si>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</si>
  <si>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</si>
  <si>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</si>
  <si>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</si>
  <si>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</si>
  <si>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</si>
  <si>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</si>
  <si>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</si>
  <si>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</si>
  <si>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</si>
  <si>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</si>
  <si>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</si>
  <si>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</si>
  <si>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</si>
  <si>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</si>
  <si>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</si>
  <si>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</si>
  <si>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</si>
  <si>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</si>
  <si>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</si>
  <si>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</si>
  <si>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</si>
  <si>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</si>
  <si>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</si>
  <si>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</si>
  <si>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</si>
  <si>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</si>
  <si>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</si>
  <si>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</si>
  <si>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</si>
  <si>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</si>
  <si>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</si>
  <si>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</si>
  <si>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</si>
  <si>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</si>
  <si>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</si>
  <si>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</si>
  <si>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</si>
  <si>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</si>
  <si>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</si>
  <si>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</si>
  <si>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</si>
  <si>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</si>
  <si>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</si>
  <si>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</si>
  <si>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</si>
  <si>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</si>
  <si>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</si>
  <si>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</si>
  <si>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</si>
  <si>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</si>
  <si>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</si>
  <si>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</si>
  <si>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</si>
  <si>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</si>
  <si>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</si>
  <si>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</si>
  <si>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</si>
  <si>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</si>
  <si>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</si>
  <si>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</si>
  <si>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</si>
  <si>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</si>
  <si>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</si>
  <si>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</si>
  <si>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</si>
  <si>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</si>
  <si>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</si>
  <si>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</si>
  <si>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</si>
  <si>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</si>
  <si>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</si>
  <si>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</si>
  <si>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</si>
  <si>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</si>
  <si>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</si>
  <si>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</si>
  <si>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</si>
  <si>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</si>
  <si>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</si>
  <si>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</si>
  <si>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</si>
  <si>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</si>
  <si>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</si>
  <si>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</si>
  <si>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</si>
  <si>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</si>
  <si>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</si>
  <si>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</si>
  <si>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</si>
  <si>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</si>
  <si>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</si>
  <si>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</si>
  <si>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</si>
  <si>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</si>
  <si>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</si>
  <si>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</si>
  <si>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</si>
  <si>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</si>
  <si>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</si>
  <si>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</si>
  <si>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</si>
  <si>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</si>
  <si>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</si>
  <si>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</si>
  <si>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</si>
  <si>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</si>
  <si>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</si>
  <si>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</si>
  <si>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</si>
  <si>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</si>
  <si>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</si>
  <si>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</si>
  <si>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</si>
  <si>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</si>
  <si>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</si>
  <si>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</si>
  <si>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</si>
  <si>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</si>
  <si>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</si>
  <si>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</si>
  <si>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</si>
  <si>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</si>
  <si>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</si>
  <si>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</si>
  <si>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</si>
  <si>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</si>
  <si>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</si>
  <si>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</si>
  <si>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</si>
  <si>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</si>
  <si>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</si>
  <si>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</si>
  <si>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</si>
  <si>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</si>
  <si>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</si>
  <si>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</si>
  <si>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</si>
  <si>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</si>
  <si>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</si>
  <si>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</si>
  <si>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</si>
  <si>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</si>
  <si>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</si>
  <si>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</si>
  <si>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</si>
  <si>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</si>
  <si>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</si>
  <si>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</si>
  <si>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</si>
  <si>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</si>
  <si>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</si>
  <si>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</si>
  <si>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</si>
  <si>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</si>
  <si>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</si>
  <si>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</si>
  <si>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</si>
  <si>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</si>
  <si>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</si>
  <si>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</si>
  <si>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</si>
  <si>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</si>
  <si>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</si>
  <si>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</si>
  <si>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</si>
  <si>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</si>
  <si>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</si>
  <si>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</si>
  <si>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</si>
  <si>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</si>
  <si>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</si>
  <si>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</si>
  <si>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</si>
  <si>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</si>
  <si>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</si>
  <si>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</si>
  <si>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</si>
  <si>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</si>
  <si>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</si>
  <si>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</si>
  <si>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</si>
  <si>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</si>
  <si>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</si>
  <si>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</si>
  <si>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</si>
  <si>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</si>
  <si>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</si>
  <si>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</si>
  <si>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</si>
  <si>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</si>
  <si>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</si>
  <si>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</si>
  <si>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</si>
  <si>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</si>
  <si>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</si>
  <si>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</si>
  <si>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</si>
  <si>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</si>
  <si>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</si>
  <si>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</si>
  <si>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</si>
  <si>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</si>
  <si>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</si>
  <si>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</si>
  <si>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</si>
  <si>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</si>
  <si>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</si>
  <si>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</si>
  <si>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</si>
  <si>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</si>
  <si>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</si>
  <si>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</si>
  <si>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</si>
  <si>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</si>
  <si>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</si>
  <si>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</si>
  <si>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</si>
  <si>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</si>
  <si>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</si>
  <si>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</si>
  <si>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</si>
  <si>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</si>
  <si>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</si>
  <si>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</si>
  <si>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</si>
  <si>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</si>
  <si>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</si>
  <si>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</si>
  <si>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</si>
  <si>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</si>
  <si>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</si>
  <si>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</si>
  <si>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</si>
  <si>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</si>
  <si>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</si>
  <si>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</si>
  <si>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</si>
  <si>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</si>
  <si>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</si>
  <si>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</si>
  <si>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</si>
  <si>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</si>
  <si>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</si>
  <si>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</si>
  <si>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</si>
  <si>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</si>
  <si>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</si>
  <si>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</si>
  <si>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</si>
  <si>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</si>
  <si>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</si>
  <si>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</si>
  <si>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</si>
  <si>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</si>
  <si>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</si>
  <si>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</si>
  <si>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</si>
  <si>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</si>
  <si>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</si>
  <si>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</si>
  <si>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</si>
  <si>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</si>
  <si>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</si>
  <si>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</si>
  <si>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</si>
  <si>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</si>
  <si>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</si>
  <si>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</si>
  <si>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</si>
  <si>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</si>
  <si>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</si>
  <si>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</si>
  <si>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</si>
  <si>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</si>
  <si>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</si>
  <si>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</si>
  <si>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</si>
  <si>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</si>
  <si>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</si>
  <si>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</si>
  <si>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</si>
  <si>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</si>
  <si>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</si>
  <si>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</si>
  <si>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</si>
  <si>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</si>
  <si>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</si>
  <si>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</si>
  <si>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</si>
  <si>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 Beton mezipodesty - z 1. NP do 2. NP " ((1,425*1,625*0,23)*2)*1,05</t>
  </si>
  <si>
    <t>" Beton mezipodesty - z 2. NP do 3. NP " ((1,425*1,625*0,23)*2)*1,05</t>
  </si>
  <si>
    <t>430361821</t>
  </si>
  <si>
    <t>Výztuž schodišťové konstrukce a rampy betonářskou ocelí 10 505</t>
  </si>
  <si>
    <t>1900703163</t>
  </si>
  <si>
    <t>7,101*120*0,001</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</si>
  <si>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</si>
  <si>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</si>
  <si>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</si>
  <si>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</si>
  <si>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</si>
  <si>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</si>
  <si>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</si>
  <si>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</si>
  <si>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</si>
  <si>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</si>
  <si>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</si>
  <si>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 Z 1. NP do 2. NP " ((1,425*2+1,625*2)*0,23)*2</t>
  </si>
  <si>
    <t>" Z 2. NP do 3. NP " ((1,425*2+1,625*2)*0,23)*2</t>
  </si>
  <si>
    <t>" Z 1. NP do 2. NP " (1,425*1,625)*2</t>
  </si>
  <si>
    <t>" Z 2. NP do 3. NP " (1,425*1,625)*2</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</si>
  <si>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</si>
  <si>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</si>
  <si>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</si>
  <si>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</si>
  <si>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</si>
  <si>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</si>
  <si>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</si>
  <si>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</si>
  <si>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</si>
  <si>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</si>
  <si>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</si>
  <si>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</si>
  <si>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</si>
  <si>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</si>
  <si>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</si>
  <si>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</si>
  <si>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</si>
  <si>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</si>
  <si>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</si>
  <si>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</si>
  <si>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</si>
  <si>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</si>
  <si>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</si>
  <si>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</si>
  <si>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</si>
  <si>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</si>
  <si>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</si>
  <si>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</si>
  <si>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</si>
  <si>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</si>
  <si>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</si>
  <si>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</si>
  <si>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</si>
  <si>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</si>
  <si>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</si>
  <si>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</si>
  <si>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</si>
  <si>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</si>
  <si>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</si>
  <si>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</si>
  <si>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</si>
  <si>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</si>
  <si>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</si>
  <si>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</si>
  <si>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</si>
  <si>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</si>
  <si>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</si>
  <si>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</si>
  <si>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</si>
  <si>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</si>
  <si>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</si>
  <si>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</si>
  <si>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</si>
  <si>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</si>
  <si>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</si>
  <si>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</si>
  <si>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</si>
  <si>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</si>
  <si>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</si>
  <si>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</si>
  <si>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</si>
  <si>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</si>
  <si>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</si>
  <si>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</si>
  <si>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</si>
  <si>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</si>
  <si>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</si>
  <si>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</si>
  <si>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</si>
  <si>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</si>
  <si>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</si>
  <si>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</si>
  <si>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</si>
  <si>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</si>
  <si>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</si>
  <si>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</si>
  <si>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</si>
  <si>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</si>
  <si>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</si>
  <si>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</si>
  <si>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</si>
  <si>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</si>
  <si>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</si>
  <si>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</si>
  <si>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</si>
  <si>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</si>
  <si>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</si>
  <si>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</si>
  <si>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</si>
  <si>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</si>
  <si>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</si>
  <si>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</si>
  <si>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</si>
  <si>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</si>
  <si>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</si>
  <si>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</si>
  <si>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</si>
  <si>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</si>
  <si>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</si>
  <si>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</si>
  <si>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</si>
  <si>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</si>
  <si>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</si>
  <si>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</si>
  <si>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</si>
  <si>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</si>
  <si>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</si>
  <si>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</si>
  <si>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</si>
  <si>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</si>
  <si>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</si>
  <si>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</si>
  <si>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</si>
  <si>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</si>
  <si>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</si>
  <si>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</si>
  <si>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</si>
  <si>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</si>
  <si>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</si>
  <si>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</si>
  <si>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</si>
  <si>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</si>
  <si>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</si>
  <si>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</si>
  <si>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</si>
  <si>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</si>
  <si>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</si>
  <si>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</si>
  <si>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</si>
  <si>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38*0,5</t>
  </si>
  <si>
    <t>58337401</t>
  </si>
  <si>
    <t>kamenivo dekorační (kačírek) frakce 8/16</t>
  </si>
  <si>
    <t>-381625856</t>
  </si>
  <si>
    <t>19*1,6524 'Přepočtené koeficientem množství</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</si>
  <si>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</si>
  <si>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</si>
  <si>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</si>
  <si>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</si>
  <si>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</si>
  <si>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</si>
  <si>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</si>
  <si>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</si>
  <si>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</si>
  <si>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</si>
  <si>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</si>
  <si>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</si>
  <si>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</si>
  <si>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</si>
  <si>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</si>
  <si>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</si>
  <si>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</si>
  <si>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</si>
  <si>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</si>
  <si>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</si>
  <si>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</si>
  <si>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</si>
  <si>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</si>
  <si>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</si>
  <si>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</si>
  <si>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</si>
  <si>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</si>
  <si>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</si>
  <si>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</si>
  <si>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</si>
  <si>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</si>
  <si>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</si>
  <si>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</si>
  <si>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</si>
  <si>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</si>
  <si>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</si>
  <si>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</si>
  <si>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</si>
  <si>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</si>
  <si>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</si>
  <si>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</si>
  <si>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</si>
  <si>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</si>
  <si>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</si>
  <si>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</si>
  <si>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</si>
  <si>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</si>
  <si>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</si>
  <si>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</si>
  <si>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</si>
  <si>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</si>
  <si>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</si>
  <si>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</si>
  <si>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</si>
  <si>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</si>
  <si>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</si>
  <si>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</si>
  <si>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</si>
  <si>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</si>
  <si>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</si>
  <si>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</si>
  <si>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</si>
  <si>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</si>
  <si>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</si>
  <si>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</si>
  <si>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</si>
  <si>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</si>
  <si>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</si>
  <si>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</si>
  <si>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</si>
  <si>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</si>
  <si>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</si>
  <si>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</si>
  <si>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</si>
  <si>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</si>
  <si>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</si>
  <si>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</si>
  <si>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</si>
  <si>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</si>
  <si>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</si>
  <si>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</si>
  <si>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</si>
  <si>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</si>
  <si>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</si>
  <si>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</si>
  <si>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</si>
  <si>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</si>
  <si>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</si>
  <si>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</si>
  <si>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</si>
  <si>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</si>
  <si>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212,187</t>
  </si>
  <si>
    <t>343,213</t>
  </si>
  <si>
    <t>382,025</t>
  </si>
  <si>
    <t>364,036</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</si>
  <si>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</si>
  <si>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</si>
  <si>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</si>
  <si>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</si>
  <si>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</si>
  <si>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</si>
  <si>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</si>
  <si>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</si>
  <si>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</si>
  <si>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</si>
  <si>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</si>
  <si>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</si>
  <si>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</si>
  <si>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</si>
  <si>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</si>
  <si>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</si>
  <si>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</si>
  <si>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</si>
  <si>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</si>
  <si>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</si>
  <si>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</si>
  <si>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</si>
  <si>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</si>
  <si>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</si>
  <si>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</si>
  <si>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</si>
  <si>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</si>
  <si>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</si>
  <si>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</si>
  <si>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</si>
  <si>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</si>
  <si>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</si>
  <si>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</si>
  <si>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</si>
  <si>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</si>
  <si>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</si>
  <si>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</si>
  <si>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</si>
  <si>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</si>
  <si>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</si>
  <si>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</si>
  <si>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</si>
  <si>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</si>
  <si>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</si>
  <si>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</si>
  <si>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</si>
  <si>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</si>
  <si>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</si>
  <si>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</si>
  <si>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</si>
  <si>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</si>
  <si>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</si>
  <si>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</si>
  <si>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</si>
  <si>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</si>
  <si>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</si>
  <si>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</si>
  <si>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</si>
  <si>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</si>
  <si>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</si>
  <si>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</si>
  <si>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</si>
  <si>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</si>
  <si>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</si>
  <si>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</si>
  <si>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</si>
  <si>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</si>
  <si>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</si>
  <si>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</si>
  <si>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</si>
  <si>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</si>
  <si>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</si>
  <si>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</si>
  <si>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</si>
  <si>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</si>
  <si>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</si>
  <si>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</si>
  <si>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</si>
  <si>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</si>
  <si>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</si>
  <si>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</si>
  <si>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</si>
  <si>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</si>
  <si>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</si>
  <si>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</si>
  <si>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</si>
  <si>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</si>
  <si>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</si>
  <si>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</si>
  <si>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</si>
  <si>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</si>
  <si>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</si>
  <si>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</si>
  <si>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</si>
  <si>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</si>
  <si>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</si>
  <si>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</si>
  <si>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</si>
  <si>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</si>
  <si>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</si>
  <si>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</si>
  <si>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</si>
  <si>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</si>
  <si>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</si>
  <si>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</si>
  <si>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</si>
  <si>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</si>
  <si>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</si>
  <si>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</si>
  <si>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</si>
  <si>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</si>
  <si>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</si>
  <si>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</si>
  <si>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</si>
  <si>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</si>
  <si>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</si>
  <si>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</si>
  <si>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</si>
  <si>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</si>
  <si>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</si>
  <si>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</si>
  <si>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</si>
  <si>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</si>
  <si>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</si>
  <si>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</si>
  <si>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</si>
  <si>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</si>
  <si>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</si>
  <si>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</si>
  <si>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</si>
  <si>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</si>
  <si>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</si>
  <si>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</si>
  <si>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</si>
  <si>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</si>
  <si>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</si>
  <si>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</si>
  <si>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</si>
  <si>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</si>
  <si>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</si>
  <si>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</si>
  <si>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</si>
  <si>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</si>
  <si>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</si>
  <si>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</si>
  <si>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</si>
  <si>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</si>
  <si>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</si>
  <si>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</si>
  <si>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</si>
  <si>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</si>
  <si>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</si>
  <si>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</si>
  <si>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</si>
  <si>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</si>
  <si>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</si>
  <si>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</si>
  <si>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</si>
  <si>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</si>
  <si>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</si>
  <si>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</si>
  <si>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</si>
  <si>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</si>
  <si>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</si>
  <si>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</si>
  <si>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</si>
  <si>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</si>
  <si>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</si>
  <si>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</si>
  <si>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</si>
  <si>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</si>
  <si>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</si>
  <si>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</si>
  <si>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</si>
  <si>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</si>
  <si>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</si>
  <si>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</si>
  <si>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</si>
  <si>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</si>
  <si>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</si>
  <si>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</si>
  <si>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</si>
  <si>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</si>
  <si>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</si>
  <si>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</si>
  <si>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</si>
  <si>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</si>
  <si>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</si>
  <si>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</si>
  <si>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</si>
  <si>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</si>
  <si>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</si>
  <si>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</si>
  <si>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</si>
  <si>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</si>
  <si>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</si>
  <si>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</si>
  <si>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</si>
  <si>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</si>
  <si>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</si>
  <si>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</si>
  <si>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</si>
  <si>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</si>
  <si>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</si>
  <si>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</si>
  <si>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</si>
  <si>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</si>
  <si>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</si>
  <si>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</si>
  <si>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</si>
  <si>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</si>
  <si>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</si>
  <si>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</si>
  <si>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</si>
  <si>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</si>
  <si>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</si>
  <si>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</si>
  <si>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</si>
  <si>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</si>
  <si>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</si>
  <si>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</si>
  <si>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</si>
  <si>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</si>
  <si>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</si>
  <si>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</si>
  <si>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</si>
  <si>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</si>
  <si>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</si>
  <si>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</si>
  <si>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</si>
  <si>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</si>
  <si>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</si>
  <si>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</si>
  <si>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</si>
  <si>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</si>
  <si>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</si>
  <si>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</si>
  <si>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</si>
  <si>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</si>
  <si>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</si>
  <si>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</si>
  <si>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</si>
  <si>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</si>
  <si>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</si>
  <si>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</si>
  <si>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</si>
  <si>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</si>
  <si>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</si>
  <si>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</si>
  <si>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</si>
  <si>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</si>
  <si>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</si>
  <si>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</si>
  <si>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</si>
  <si>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</si>
  <si>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</si>
  <si>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</si>
  <si>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</si>
  <si>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</si>
  <si>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</si>
  <si>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</si>
  <si>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</si>
  <si>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</si>
  <si>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</si>
  <si>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</si>
  <si>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</si>
  <si>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</si>
  <si>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</si>
  <si>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</si>
  <si>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</si>
  <si>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</si>
  <si>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</si>
  <si>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</si>
  <si>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</si>
  <si>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</si>
  <si>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</si>
  <si>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</si>
  <si>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</si>
  <si>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</si>
  <si>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</si>
  <si>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</si>
  <si>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</si>
  <si>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</si>
  <si>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</si>
  <si>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</si>
  <si>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</si>
  <si>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</si>
  <si>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</si>
  <si>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</si>
  <si>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</si>
  <si>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</si>
  <si>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</si>
  <si>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</si>
  <si>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</si>
  <si>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</si>
  <si>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</si>
  <si>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</si>
  <si>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</si>
  <si>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</si>
  <si>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</si>
  <si>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</si>
  <si>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</si>
  <si>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</si>
  <si>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</si>
  <si>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</si>
  <si>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</si>
  <si>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</si>
  <si>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</si>
  <si>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</si>
  <si>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</si>
  <si>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</si>
  <si>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</si>
  <si>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</si>
  <si>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</si>
  <si>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</si>
  <si>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</si>
  <si>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</si>
  <si>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</si>
  <si>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</si>
  <si>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</si>
  <si>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</si>
  <si>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</si>
  <si>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</si>
  <si>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</si>
  <si>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</si>
  <si>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</si>
  <si>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</si>
  <si>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</si>
  <si>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</si>
  <si>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</si>
  <si>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</si>
  <si>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</si>
  <si>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</si>
  <si>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</si>
  <si>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</si>
  <si>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</si>
  <si>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</si>
  <si>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</si>
  <si>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</si>
  <si>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</si>
  <si>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</si>
  <si>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</si>
  <si>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</si>
  <si>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</si>
  <si>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</si>
  <si>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</si>
  <si>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</si>
  <si>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</si>
  <si>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</si>
  <si>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</si>
  <si>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</si>
  <si>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</si>
  <si>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</si>
  <si>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</si>
  <si>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</si>
  <si>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</si>
  <si>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</si>
  <si>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</si>
  <si>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</si>
  <si>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</si>
  <si>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</si>
  <si>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</si>
  <si>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</si>
  <si>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</si>
  <si>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</si>
  <si>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</si>
  <si>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</si>
  <si>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</si>
  <si>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</si>
  <si>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</si>
  <si>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</si>
  <si>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</si>
  <si>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</si>
  <si>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</si>
  <si>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</si>
  <si>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</si>
  <si>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</si>
  <si>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</si>
  <si>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</si>
  <si>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</si>
  <si>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</si>
  <si>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</si>
  <si>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</si>
  <si>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</si>
  <si>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</si>
  <si>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</si>
  <si>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</si>
  <si>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</si>
  <si>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</si>
  <si>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</si>
  <si>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</si>
  <si>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</si>
  <si>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</si>
  <si>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</si>
  <si>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</si>
  <si>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</si>
  <si>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</si>
  <si>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</si>
  <si>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</si>
  <si>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</si>
  <si>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</si>
  <si>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</si>
  <si>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</si>
  <si>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</si>
  <si>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</si>
  <si>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</si>
  <si>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</si>
  <si>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</si>
  <si>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</si>
  <si>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</si>
  <si>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</si>
  <si>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</si>
  <si>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</si>
  <si>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</si>
  <si>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</si>
  <si>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</si>
  <si>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</si>
  <si>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</si>
  <si>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</si>
  <si>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</si>
  <si>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</si>
  <si>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</si>
  <si>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</si>
  <si>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</si>
  <si>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</si>
  <si>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</si>
  <si>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</si>
  <si>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</si>
  <si>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</si>
  <si>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</si>
  <si>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</si>
  <si>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</si>
  <si>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</si>
  <si>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</si>
  <si>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</si>
  <si>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</si>
  <si>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</si>
  <si>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</si>
  <si>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</si>
  <si>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</si>
  <si>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</si>
  <si>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</si>
  <si>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</si>
  <si>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</si>
  <si>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</si>
  <si>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</si>
  <si>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</si>
  <si>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</si>
  <si>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</si>
  <si>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</si>
  <si>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</si>
  <si>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</si>
  <si>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</si>
  <si>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</si>
  <si>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</si>
  <si>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</si>
  <si>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</si>
  <si>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</si>
  <si>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</si>
  <si>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</si>
  <si>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</si>
  <si>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</si>
  <si>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</si>
  <si>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</si>
  <si>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</si>
  <si>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</si>
  <si>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</si>
  <si>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</si>
  <si>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</si>
  <si>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</si>
  <si>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</si>
  <si>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</si>
  <si>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</si>
  <si>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</si>
  <si>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</si>
  <si>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</si>
  <si>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</si>
  <si>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</si>
  <si>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</si>
  <si>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</si>
  <si>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</si>
  <si>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</si>
  <si>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</si>
  <si>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</si>
  <si>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</si>
  <si>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</si>
  <si>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</si>
  <si>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</si>
  <si>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</si>
  <si>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</si>
  <si>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</si>
  <si>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</si>
  <si>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</si>
  <si>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</si>
  <si>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</si>
  <si>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</si>
  <si>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</si>
  <si>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</si>
  <si>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</si>
  <si>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</si>
  <si>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</si>
  <si>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</si>
  <si>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</si>
  <si>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</si>
  <si>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</si>
  <si>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</si>
  <si>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</si>
  <si>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</si>
  <si>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</si>
  <si>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</si>
  <si>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</si>
  <si>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</si>
  <si>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</si>
  <si>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</si>
  <si>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</si>
  <si>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</si>
  <si>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</si>
  <si>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</si>
  <si>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</si>
  <si>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</si>
  <si>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</si>
  <si>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</si>
  <si>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</si>
  <si>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</si>
  <si>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</si>
  <si>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</si>
  <si>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</si>
  <si>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</si>
  <si>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</si>
  <si>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</si>
  <si>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</si>
  <si>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</si>
  <si>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</si>
  <si>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</si>
  <si>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</si>
  <si>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</si>
  <si>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</si>
  <si>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</si>
  <si>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</si>
  <si>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</si>
  <si>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</si>
  <si>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</si>
  <si>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</si>
  <si>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</si>
  <si>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</si>
  <si>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</si>
  <si>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</si>
  <si>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</si>
  <si>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</si>
  <si>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</si>
  <si>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</si>
  <si>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</si>
  <si>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</si>
  <si>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</si>
  <si>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</si>
  <si>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</si>
  <si>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</si>
  <si>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</si>
  <si>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</si>
  <si>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</si>
  <si>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</si>
  <si>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</si>
  <si>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</si>
  <si>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</si>
  <si>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</si>
  <si>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</si>
  <si>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</si>
  <si>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</si>
  <si>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</si>
  <si>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</si>
  <si>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</si>
  <si>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</si>
  <si>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</si>
  <si>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</si>
  <si>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</si>
  <si>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</si>
  <si>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</si>
  <si>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</si>
  <si>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</si>
  <si>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</si>
  <si>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</si>
  <si>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</si>
  <si>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</si>
  <si>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</si>
  <si>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</si>
  <si>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</si>
  <si>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</si>
  <si>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</si>
  <si>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</si>
  <si>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</si>
  <si>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</si>
  <si>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</si>
  <si>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</si>
  <si>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</si>
  <si>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</si>
  <si>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</si>
  <si>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</si>
  <si>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</si>
  <si>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</si>
  <si>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</si>
  <si>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</si>
  <si>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</si>
  <si>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</si>
  <si>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</si>
  <si>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</si>
  <si>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</si>
  <si>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</si>
  <si>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</si>
  <si>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</si>
  <si>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</si>
  <si>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</si>
  <si>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</si>
  <si>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</si>
  <si>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</si>
  <si>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</si>
  <si>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</si>
  <si>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</si>
  <si>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</si>
  <si>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</si>
  <si>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</si>
  <si>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</si>
  <si>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</si>
  <si>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</si>
  <si>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</si>
  <si>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</si>
  <si>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</si>
  <si>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</si>
  <si>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</si>
  <si>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</si>
  <si>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</si>
  <si>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</si>
  <si>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</si>
  <si>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</si>
  <si>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</si>
  <si>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</si>
  <si>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</si>
  <si>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275322511</t>
  </si>
  <si>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</si>
  <si>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</si>
  <si>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</si>
  <si>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</si>
  <si>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</si>
  <si>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</si>
  <si>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</si>
  <si>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</si>
  <si>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</si>
  <si>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</si>
  <si>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</si>
  <si>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</si>
  <si>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P6 " (7,266/1,1)*70*0,001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</si>
  <si>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</si>
  <si>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</si>
  <si>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</si>
  <si>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</si>
  <si>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</si>
  <si>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</si>
  <si>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</si>
  <si>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</si>
  <si>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</si>
  <si>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</si>
  <si>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</si>
  <si>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</si>
  <si>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</si>
  <si>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</si>
  <si>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</si>
  <si>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</si>
  <si>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</si>
  <si>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</si>
  <si>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</si>
  <si>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</si>
  <si>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</si>
  <si>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</si>
  <si>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</si>
  <si>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</si>
  <si>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</si>
  <si>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</si>
  <si>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</si>
  <si>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</si>
  <si>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</si>
  <si>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</si>
  <si>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</si>
  <si>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</si>
  <si>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</si>
  <si>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</si>
  <si>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</si>
  <si>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</si>
  <si>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</si>
  <si>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</si>
  <si>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</si>
  <si>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</si>
  <si>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</si>
  <si>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</si>
  <si>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</si>
  <si>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</si>
  <si>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</si>
  <si>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</si>
  <si>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</si>
  <si>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</si>
  <si>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</si>
  <si>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</si>
  <si>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</si>
  <si>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</si>
  <si>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274322511</t>
  </si>
  <si>
    <t>2,6*80*0,001</t>
  </si>
  <si>
    <t>" P1 " (27,246/1,1)*70*0,001</t>
  </si>
  <si>
    <t>(3,616)*50*0,001</t>
  </si>
  <si>
    <t>(8219,208-625,078)*0,5 'Přepočtené koeficientem množství</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</si>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</sst>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21">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s>
  <cellStyleXfs count="101">
    <xf numFmtId="0" fontId="0" fillId="0" borderId="0" applyAlignment="0">
      <alignment vertical="top" wrapText="1"/>
      <protection locked="0"/>
    </xf>
    <xf numFmtId="0" fontId="21" fillId="0" borderId="0" applyFill="0" applyBorder="0" applyProtection="0"/>
    <xf numFmtId="0" fontId="12" fillId="0" borderId="0"/>
    <xf numFmtId="0" fontId="10" fillId="0" borderId="0"/>
    <xf numFmtId="0" fontId="24" fillId="0" borderId="0"/>
    <xf numFmtId="0" fontId="12" fillId="0" borderId="0"/>
    <xf numFmtId="0" fontId="12" fillId="0" borderId="0"/>
    <xf numFmtId="0" fontId="12" fillId="0" borderId="0" applyAlignment="0">
      <alignment vertical="top" wrapText="1"/>
      <protection locked="0"/>
    </xf>
    <xf numFmtId="0" fontId="10" fillId="0" borderId="0"/>
    <xf numFmtId="0" fontId="12" fillId="0" borderId="0"/>
    <xf numFmtId="0" fontId="10" fillId="0" borderId="0"/>
    <xf numFmtId="0" fontId="8" fillId="0" borderId="0"/>
    <xf numFmtId="0" fontId="11" fillId="0" borderId="0" applyAlignment="0">
      <alignment vertical="top" wrapText="1"/>
      <protection locked="0"/>
    </xf>
    <xf numFmtId="0" fontId="11" fillId="0" borderId="0" applyAlignment="0">
      <alignment vertical="top" wrapText="1"/>
      <protection locked="0"/>
    </xf>
    <xf numFmtId="0" fontId="10" fillId="0" borderId="0"/>
    <xf numFmtId="0" fontId="10" fillId="0" borderId="0"/>
    <xf numFmtId="0" fontId="10" fillId="0" borderId="0"/>
    <xf numFmtId="0" fontId="22" fillId="0" borderId="0"/>
    <xf numFmtId="0" fontId="23" fillId="0" borderId="0" applyFont="0" applyFill="0" applyBorder="0" applyAlignment="0" applyProtection="0"/>
    <xf numFmtId="0" fontId="12" fillId="0" borderId="0"/>
    <xf numFmtId="0" fontId="10" fillId="0" borderId="0"/>
    <xf numFmtId="0" fontId="10" fillId="0" borderId="0"/>
    <xf numFmtId="0" fontId="12" fillId="0" borderId="0"/>
    <xf numFmtId="0" fontId="11" fillId="0" borderId="0" applyAlignment="0">
      <alignment vertical="top" wrapText="1"/>
      <protection locked="0"/>
    </xf>
    <xf numFmtId="0" fontId="38" fillId="0" borderId="0"/>
    <xf numFmtId="0" fontId="7" fillId="0" borderId="0"/>
    <xf numFmtId="0" fontId="12" fillId="0" borderId="0"/>
    <xf numFmtId="0" fontId="11" fillId="0" borderId="0" applyAlignment="0">
      <alignment vertical="top" wrapText="1"/>
      <protection locked="0"/>
    </xf>
    <xf numFmtId="0" fontId="11" fillId="0" borderId="0" applyAlignment="0">
      <alignment vertical="top" wrapText="1"/>
      <protection locked="0"/>
    </xf>
    <xf numFmtId="0" fontId="7" fillId="0" borderId="0"/>
    <xf numFmtId="0" fontId="10" fillId="0" borderId="0"/>
    <xf numFmtId="0" fontId="51" fillId="0" borderId="0"/>
    <xf numFmtId="0" fontId="51" fillId="0" borderId="0"/>
    <xf numFmtId="0" fontId="63" fillId="0" borderId="0" applyNumberFormat="0" applyFill="0" applyBorder="0" applyAlignment="0" applyProtection="0"/>
    <xf numFmtId="0" fontId="23" fillId="0" borderId="0"/>
    <xf numFmtId="0" fontId="67" fillId="0" borderId="0" applyAlignment="0">
      <alignment vertical="top" wrapText="1"/>
      <protection locked="0"/>
    </xf>
    <xf numFmtId="0" fontId="7" fillId="0" borderId="0"/>
    <xf numFmtId="0" fontId="38" fillId="0" borderId="0"/>
    <xf numFmtId="0" fontId="10" fillId="0" borderId="0"/>
    <xf numFmtId="0" fontId="11" fillId="0" borderId="0" applyAlignment="0">
      <alignment vertical="top" wrapText="1"/>
      <protection locked="0"/>
    </xf>
    <xf numFmtId="0" fontId="67" fillId="0" borderId="0" applyAlignment="0">
      <alignment vertical="top" wrapText="1"/>
      <protection locked="0"/>
    </xf>
    <xf numFmtId="0" fontId="90" fillId="0" borderId="0" applyNumberFormat="0" applyFill="0" applyBorder="0" applyAlignment="0" applyProtection="0"/>
    <xf numFmtId="0" fontId="10" fillId="0" borderId="0"/>
    <xf numFmtId="0" fontId="7" fillId="0" borderId="0"/>
    <xf numFmtId="0" fontId="1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11" fillId="0" borderId="0" applyAlignment="0">
      <alignment vertical="top" wrapText="1"/>
      <protection locked="0"/>
    </xf>
    <xf numFmtId="0" fontId="67" fillId="0" borderId="0" applyAlignment="0">
      <alignment vertical="top" wrapText="1"/>
      <protection locked="0"/>
    </xf>
    <xf numFmtId="0" fontId="38" fillId="0" borderId="0"/>
    <xf numFmtId="0" fontId="7" fillId="0" borderId="0"/>
    <xf numFmtId="0" fontId="123" fillId="0" borderId="0" applyNumberFormat="0" applyFill="0" applyBorder="0" applyAlignment="0" applyProtection="0">
      <alignment vertical="top"/>
      <protection locked="0"/>
    </xf>
    <xf numFmtId="0" fontId="7" fillId="0" borderId="0"/>
    <xf numFmtId="0" fontId="10" fillId="0" borderId="0"/>
    <xf numFmtId="0" fontId="7" fillId="0" borderId="0"/>
    <xf numFmtId="0" fontId="38" fillId="0" borderId="0"/>
    <xf numFmtId="0" fontId="12" fillId="0" borderId="0"/>
    <xf numFmtId="0" fontId="10" fillId="0" borderId="0"/>
    <xf numFmtId="0" fontId="123" fillId="0" borderId="0" applyNumberFormat="0" applyFill="0" applyBorder="0" applyAlignment="0" applyProtection="0">
      <alignment vertical="top"/>
      <protection locked="0"/>
    </xf>
    <xf numFmtId="0" fontId="12" fillId="0" borderId="0"/>
    <xf numFmtId="0" fontId="67" fillId="0" borderId="0" applyAlignment="0">
      <alignment vertical="top" wrapText="1"/>
      <protection locked="0"/>
    </xf>
    <xf numFmtId="0" fontId="63" fillId="0" borderId="0" applyNumberFormat="0" applyFill="0" applyBorder="0" applyAlignment="0" applyProtection="0"/>
    <xf numFmtId="0" fontId="12" fillId="0" borderId="0"/>
    <xf numFmtId="0" fontId="38" fillId="0" borderId="0"/>
    <xf numFmtId="0" fontId="10" fillId="0" borderId="0"/>
    <xf numFmtId="0" fontId="7" fillId="0" borderId="0"/>
    <xf numFmtId="0" fontId="7" fillId="0" borderId="0"/>
    <xf numFmtId="0" fontId="176" fillId="0" borderId="0" applyNumberFormat="0" applyFill="0" applyBorder="0" applyAlignment="0" applyProtection="0">
      <alignment vertical="top"/>
      <protection locked="0"/>
    </xf>
    <xf numFmtId="0" fontId="67" fillId="0" borderId="0" applyAlignment="0">
      <alignment vertical="top" wrapText="1"/>
      <protection locked="0"/>
    </xf>
    <xf numFmtId="0" fontId="10" fillId="0" borderId="0"/>
    <xf numFmtId="0" fontId="195" fillId="0" borderId="0"/>
    <xf numFmtId="0" fontId="7" fillId="0" borderId="0"/>
    <xf numFmtId="0" fontId="91" fillId="0" borderId="0" applyNumberFormat="0" applyFill="0" applyBorder="0" applyAlignment="0" applyProtection="0">
      <alignment vertical="top" wrapText="1"/>
      <protection locked="0"/>
    </xf>
    <xf numFmtId="0" fontId="11" fillId="0" borderId="0" applyAlignment="0">
      <alignment vertical="top" wrapText="1"/>
      <protection locked="0"/>
    </xf>
    <xf numFmtId="0" fontId="11" fillId="0" borderId="0" applyAlignment="0">
      <alignment vertical="top" wrapText="1"/>
      <protection locked="0"/>
    </xf>
    <xf numFmtId="0" fontId="7" fillId="0" borderId="0"/>
    <xf numFmtId="0" fontId="91" fillId="0" borderId="0" applyNumberFormat="0" applyFill="0" applyBorder="0" applyAlignment="0" applyProtection="0">
      <alignment vertical="top" wrapText="1"/>
      <protection locked="0"/>
    </xf>
    <xf numFmtId="0" fontId="7" fillId="0" borderId="0"/>
    <xf numFmtId="0" fontId="12" fillId="0" borderId="0"/>
    <xf numFmtId="0" fontId="7" fillId="0" borderId="0"/>
    <xf numFmtId="0" fontId="31" fillId="0" borderId="0" applyAlignment="0">
      <alignment vertical="top" wrapText="1"/>
      <protection locked="0"/>
    </xf>
    <xf numFmtId="0" fontId="252" fillId="0" borderId="0" applyNumberFormat="0" applyFill="0" applyBorder="0" applyAlignment="0" applyProtection="0">
      <alignment vertical="top" wrapText="1"/>
      <protection locked="0"/>
    </xf>
    <xf numFmtId="0" fontId="31" fillId="0" borderId="0" applyAlignment="0">
      <alignment vertical="top" wrapText="1"/>
      <protection locked="0"/>
    </xf>
    <xf numFmtId="0" fontId="38" fillId="0" borderId="0"/>
    <xf numFmtId="0" fontId="123" fillId="0" borderId="0" applyNumberFormat="0" applyFill="0" applyBorder="0" applyAlignment="0" applyProtection="0">
      <alignment vertical="top"/>
      <protection locked="0"/>
    </xf>
    <xf numFmtId="0" fontId="7" fillId="0" borderId="0"/>
    <xf numFmtId="0" fontId="63" fillId="0" borderId="0" applyNumberFormat="0" applyFill="0" applyBorder="0" applyAlignment="0" applyProtection="0"/>
    <xf numFmtId="0" fontId="7" fillId="0" borderId="0"/>
    <xf numFmtId="0" fontId="276" fillId="0" borderId="0" applyNumberFormat="0" applyFill="0" applyBorder="0" applyAlignment="0" applyProtection="0">
      <alignment vertical="top"/>
      <protection locked="0"/>
    </xf>
    <xf numFmtId="0" fontId="7" fillId="0" borderId="0"/>
    <xf numFmtId="0" fontId="7" fillId="0" borderId="0"/>
    <xf numFmtId="0" fontId="276" fillId="0" borderId="0" applyNumberFormat="0" applyFill="0" applyBorder="0" applyAlignment="0" applyProtection="0">
      <alignment vertical="top"/>
      <protection locked="0"/>
    </xf>
    <xf numFmtId="0" fontId="11" fillId="0" borderId="0" applyAlignment="0">
      <alignment vertical="top" wrapText="1"/>
      <protection locked="0"/>
    </xf>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10" fillId="0" borderId="0"/>
  </cellStyleXfs>
  <cellXfs count="5817">
    <xf numFmtId="0" fontId="0" fillId="0" borderId="0" xfId="0" applyAlignment="1">
      <alignment vertical="top"/>
      <protection locked="0"/>
    </xf>
    <xf numFmtId="0" fontId="12" fillId="0" borderId="0" xfId="8" applyFont="1"/>
    <xf numFmtId="0" fontId="13" fillId="0" borderId="0" xfId="8" applyFont="1" applyAlignment="1">
      <alignment horizontal="center"/>
    </xf>
    <xf numFmtId="0" fontId="14" fillId="0" borderId="0" xfId="8" applyFont="1" applyAlignment="1">
      <alignment horizontal="left"/>
    </xf>
    <xf numFmtId="0" fontId="17" fillId="0" borderId="0" xfId="8" applyFont="1"/>
    <xf numFmtId="0" fontId="15" fillId="0" borderId="0" xfId="8" applyFont="1" applyAlignment="1">
      <alignment horizontal="left" vertical="top" wrapText="1"/>
    </xf>
    <xf numFmtId="0" fontId="10" fillId="0" borderId="0" xfId="8" applyAlignment="1">
      <alignment vertical="top" wrapText="1"/>
    </xf>
    <xf numFmtId="0" fontId="17" fillId="0" borderId="0" xfId="8" applyFont="1" applyAlignment="1">
      <alignment horizontal="left" vertical="center"/>
    </xf>
    <xf numFmtId="0" fontId="12" fillId="0" borderId="0" xfId="8" applyFont="1" applyAlignment="1">
      <alignment horizontal="left"/>
    </xf>
    <xf numFmtId="0" fontId="12" fillId="0" borderId="0" xfId="8" applyFont="1" applyAlignment="1">
      <alignment horizontal="right"/>
    </xf>
    <xf numFmtId="0" fontId="19" fillId="2" borderId="1" xfId="8" applyFont="1" applyFill="1" applyBorder="1" applyAlignment="1">
      <alignment wrapText="1"/>
    </xf>
    <xf numFmtId="0" fontId="19" fillId="2" borderId="2" xfId="8" applyFont="1" applyFill="1" applyBorder="1" applyAlignment="1">
      <alignment wrapText="1"/>
    </xf>
    <xf numFmtId="0" fontId="19" fillId="2" borderId="3" xfId="8" applyFont="1" applyFill="1" applyBorder="1" applyAlignment="1">
      <alignment wrapText="1"/>
    </xf>
    <xf numFmtId="0" fontId="19" fillId="2" borderId="1" xfId="8" applyFont="1" applyFill="1" applyBorder="1" applyAlignment="1">
      <alignment horizontal="right" wrapText="1"/>
    </xf>
    <xf numFmtId="0" fontId="12" fillId="2" borderId="2" xfId="8" applyFont="1" applyFill="1" applyBorder="1"/>
    <xf numFmtId="0" fontId="19" fillId="2" borderId="2" xfId="8" applyFont="1" applyFill="1" applyBorder="1" applyAlignment="1">
      <alignment horizontal="right" wrapText="1"/>
    </xf>
    <xf numFmtId="0" fontId="17" fillId="2" borderId="3" xfId="8" applyFont="1" applyFill="1" applyBorder="1" applyAlignment="1">
      <alignment horizontal="right"/>
    </xf>
    <xf numFmtId="0" fontId="12" fillId="0" borderId="4" xfId="8" applyFont="1" applyBorder="1" applyAlignment="1">
      <alignment vertical="center"/>
    </xf>
    <xf numFmtId="0" fontId="12" fillId="0" borderId="0" xfId="8" applyFont="1" applyAlignment="1">
      <alignment vertical="center"/>
    </xf>
    <xf numFmtId="1" fontId="12" fillId="0" borderId="0" xfId="8" applyNumberFormat="1" applyFont="1" applyAlignment="1">
      <alignment horizontal="right" vertical="center"/>
    </xf>
    <xf numFmtId="0" fontId="12" fillId="0" borderId="5" xfId="8" applyFont="1" applyBorder="1" applyAlignment="1">
      <alignment vertical="center"/>
    </xf>
    <xf numFmtId="4" fontId="12" fillId="0" borderId="4" xfId="8" applyNumberFormat="1" applyFont="1" applyBorder="1" applyAlignment="1">
      <alignment horizontal="right" vertical="center"/>
    </xf>
    <xf numFmtId="4" fontId="12" fillId="0" borderId="0" xfId="8" applyNumberFormat="1" applyFont="1" applyAlignment="1">
      <alignment horizontal="right" vertical="center"/>
    </xf>
    <xf numFmtId="4" fontId="12" fillId="0" borderId="5" xfId="8" applyNumberFormat="1" applyFont="1" applyBorder="1" applyAlignment="1">
      <alignment horizontal="right" vertical="center"/>
    </xf>
    <xf numFmtId="0" fontId="15" fillId="3" borderId="1" xfId="8" applyFont="1" applyFill="1" applyBorder="1" applyAlignment="1">
      <alignment vertical="center"/>
    </xf>
    <xf numFmtId="0" fontId="17" fillId="3" borderId="2" xfId="8" applyFont="1" applyFill="1" applyBorder="1" applyAlignment="1">
      <alignment vertical="center"/>
    </xf>
    <xf numFmtId="0" fontId="12" fillId="3" borderId="2" xfId="8" applyFont="1" applyFill="1" applyBorder="1" applyAlignment="1">
      <alignment vertical="center"/>
    </xf>
    <xf numFmtId="4" fontId="15" fillId="3" borderId="9" xfId="8" applyNumberFormat="1" applyFont="1" applyFill="1" applyBorder="1" applyAlignment="1">
      <alignment horizontal="right" vertical="center"/>
    </xf>
    <xf numFmtId="4" fontId="15" fillId="3" borderId="10" xfId="8" applyNumberFormat="1" applyFont="1" applyFill="1" applyBorder="1" applyAlignment="1">
      <alignment horizontal="right" vertical="center"/>
    </xf>
    <xf numFmtId="3" fontId="15" fillId="4" borderId="11" xfId="8" applyNumberFormat="1" applyFont="1" applyFill="1" applyBorder="1" applyAlignment="1">
      <alignment horizontal="right" vertical="center"/>
    </xf>
    <xf numFmtId="0" fontId="15" fillId="0" borderId="0" xfId="8" applyFont="1" applyAlignment="1">
      <alignment horizontal="left"/>
    </xf>
    <xf numFmtId="0" fontId="19" fillId="2" borderId="1" xfId="8" applyFont="1" applyFill="1" applyBorder="1" applyAlignment="1">
      <alignment vertical="center"/>
    </xf>
    <xf numFmtId="0" fontId="17" fillId="2" borderId="2" xfId="8" applyFont="1" applyFill="1" applyBorder="1" applyAlignment="1">
      <alignment vertical="center"/>
    </xf>
    <xf numFmtId="0" fontId="17" fillId="2" borderId="3" xfId="8" applyFont="1" applyFill="1" applyBorder="1" applyAlignment="1">
      <alignment vertical="center" wrapText="1"/>
    </xf>
    <xf numFmtId="49" fontId="18" fillId="0" borderId="4" xfId="8" applyNumberFormat="1" applyFont="1" applyBorder="1" applyAlignment="1">
      <alignment horizontal="left"/>
    </xf>
    <xf numFmtId="0" fontId="18" fillId="0" borderId="0" xfId="8" applyFont="1" applyAlignment="1">
      <alignment horizontal="left"/>
    </xf>
    <xf numFmtId="0" fontId="18" fillId="0" borderId="0" xfId="8" applyFont="1"/>
    <xf numFmtId="164" fontId="18" fillId="0" borderId="0" xfId="8" applyNumberFormat="1" applyFont="1"/>
    <xf numFmtId="49" fontId="18" fillId="0" borderId="14" xfId="8" applyNumberFormat="1" applyFont="1" applyBorder="1" applyAlignment="1">
      <alignment horizontal="left"/>
    </xf>
    <xf numFmtId="0" fontId="19" fillId="3" borderId="1" xfId="8" applyFont="1" applyFill="1" applyBorder="1" applyAlignment="1">
      <alignment vertical="center"/>
    </xf>
    <xf numFmtId="49" fontId="19" fillId="3" borderId="2" xfId="8" applyNumberFormat="1" applyFont="1" applyFill="1" applyBorder="1" applyAlignment="1">
      <alignment horizontal="left" vertical="center"/>
    </xf>
    <xf numFmtId="0" fontId="19" fillId="3" borderId="2" xfId="8" applyFont="1" applyFill="1" applyBorder="1" applyAlignment="1">
      <alignment vertical="center"/>
    </xf>
    <xf numFmtId="164" fontId="18" fillId="3" borderId="3" xfId="8" applyNumberFormat="1" applyFont="1" applyFill="1" applyBorder="1"/>
    <xf numFmtId="3" fontId="19" fillId="3" borderId="12" xfId="8" applyNumberFormat="1" applyFont="1" applyFill="1" applyBorder="1" applyAlignment="1">
      <alignment horizontal="right" vertical="center"/>
    </xf>
    <xf numFmtId="0" fontId="9" fillId="0" borderId="0" xfId="16" applyFont="1"/>
    <xf numFmtId="0" fontId="9" fillId="0" borderId="0" xfId="8" applyFont="1"/>
    <xf numFmtId="49" fontId="19" fillId="0" borderId="14" xfId="8" applyNumberFormat="1" applyFont="1" applyBorder="1" applyAlignment="1">
      <alignment horizontal="left"/>
    </xf>
    <xf numFmtId="0" fontId="12" fillId="0" borderId="0" xfId="8" applyFont="1" applyAlignment="1">
      <alignment horizontal="center"/>
    </xf>
    <xf numFmtId="0" fontId="9" fillId="0" borderId="0" xfId="21" applyFont="1" applyAlignment="1">
      <alignment vertical="center"/>
    </xf>
    <xf numFmtId="49" fontId="9" fillId="0" borderId="0" xfId="21" applyNumberFormat="1" applyFont="1" applyAlignment="1">
      <alignment vertical="center"/>
    </xf>
    <xf numFmtId="0" fontId="15" fillId="0" borderId="0" xfId="8" applyFont="1" applyAlignment="1">
      <alignment horizontal="left" vertical="center"/>
    </xf>
    <xf numFmtId="0" fontId="17"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9" fillId="0" borderId="0" xfId="21" applyFont="1" applyAlignment="1">
      <alignment vertical="center" wrapText="1"/>
    </xf>
    <xf numFmtId="0" fontId="12" fillId="0" borderId="0" xfId="22"/>
    <xf numFmtId="0" fontId="14" fillId="0" borderId="0" xfId="22" applyFont="1" applyAlignment="1">
      <alignment wrapText="1"/>
    </xf>
    <xf numFmtId="0" fontId="14" fillId="0" borderId="0" xfId="22" applyFont="1"/>
    <xf numFmtId="0" fontId="15" fillId="0" borderId="12" xfId="22" applyFont="1" applyBorder="1" applyAlignment="1">
      <alignment horizontal="left" vertical="center" wrapText="1"/>
    </xf>
    <xf numFmtId="0" fontId="14" fillId="0" borderId="3" xfId="22" applyFont="1" applyBorder="1" applyAlignment="1">
      <alignment horizontal="left" vertical="center" wrapText="1"/>
    </xf>
    <xf numFmtId="0" fontId="14" fillId="2" borderId="12" xfId="22" applyFont="1" applyFill="1" applyBorder="1" applyAlignment="1">
      <alignment horizontal="center"/>
    </xf>
    <xf numFmtId="0" fontId="14" fillId="0" borderId="12" xfId="22" applyFont="1" applyBorder="1" applyAlignment="1">
      <alignment vertical="center" wrapText="1"/>
    </xf>
    <xf numFmtId="0" fontId="14" fillId="0" borderId="12" xfId="22" applyFont="1" applyBorder="1" applyAlignment="1">
      <alignment horizontal="left" vertical="center" wrapText="1"/>
    </xf>
    <xf numFmtId="0" fontId="14" fillId="0" borderId="12" xfId="22" quotePrefix="1" applyFont="1" applyBorder="1" applyAlignment="1">
      <alignment horizontal="center" vertical="center" wrapText="1"/>
    </xf>
    <xf numFmtId="0" fontId="12" fillId="0" borderId="0" xfId="22" applyAlignment="1">
      <alignment horizontal="left" vertical="center"/>
    </xf>
    <xf numFmtId="0" fontId="17" fillId="0" borderId="0" xfId="22" applyFont="1" applyAlignment="1">
      <alignment vertical="top"/>
    </xf>
    <xf numFmtId="0" fontId="17" fillId="0" borderId="0" xfId="22" applyFont="1" applyAlignment="1">
      <alignment vertical="top" wrapText="1"/>
    </xf>
    <xf numFmtId="0" fontId="15" fillId="0" borderId="12" xfId="22" applyFont="1" applyBorder="1" applyAlignment="1">
      <alignment horizontal="right" vertical="top" wrapText="1"/>
    </xf>
    <xf numFmtId="0" fontId="15" fillId="0" borderId="0" xfId="3" applyFont="1" applyAlignment="1">
      <alignment horizontal="left" vertical="center"/>
    </xf>
    <xf numFmtId="0" fontId="14" fillId="0" borderId="0" xfId="3" applyFont="1" applyAlignment="1">
      <alignment vertical="center"/>
    </xf>
    <xf numFmtId="0" fontId="12" fillId="0" borderId="0" xfId="3" applyFont="1" applyAlignment="1">
      <alignment vertical="center"/>
    </xf>
    <xf numFmtId="4" fontId="12" fillId="0" borderId="0" xfId="3" applyNumberFormat="1" applyFont="1" applyAlignment="1">
      <alignment vertical="center"/>
    </xf>
    <xf numFmtId="4" fontId="12" fillId="0" borderId="0" xfId="22" applyNumberFormat="1"/>
    <xf numFmtId="0" fontId="35" fillId="0" borderId="0" xfId="23" applyFont="1" applyAlignment="1" applyProtection="1">
      <alignment horizontal="left"/>
    </xf>
    <xf numFmtId="0" fontId="36" fillId="0" borderId="0" xfId="23" applyFont="1" applyAlignment="1" applyProtection="1">
      <alignment horizontal="left"/>
    </xf>
    <xf numFmtId="0" fontId="11" fillId="0" borderId="0" xfId="23" applyAlignment="1">
      <alignment vertical="top"/>
      <protection locked="0"/>
    </xf>
    <xf numFmtId="0" fontId="37" fillId="0" borderId="0" xfId="23" applyFont="1" applyAlignment="1" applyProtection="1">
      <alignment horizontal="left" wrapText="1"/>
    </xf>
    <xf numFmtId="0" fontId="39" fillId="0" borderId="0" xfId="24" applyFont="1" applyAlignment="1" applyProtection="1">
      <alignment vertical="center"/>
      <protection locked="0"/>
    </xf>
    <xf numFmtId="0" fontId="8" fillId="0" borderId="0" xfId="24" applyFont="1" applyAlignment="1">
      <alignment horizontal="left"/>
    </xf>
    <xf numFmtId="0" fontId="36" fillId="0" borderId="0" xfId="24" applyFont="1" applyAlignment="1">
      <alignment horizontal="left"/>
    </xf>
    <xf numFmtId="0" fontId="38" fillId="0" borderId="0" xfId="24" applyAlignment="1">
      <alignment horizontal="left" vertical="top"/>
    </xf>
    <xf numFmtId="0" fontId="38" fillId="0" borderId="0" xfId="24"/>
    <xf numFmtId="0" fontId="38" fillId="0" borderId="0" xfId="24" applyAlignment="1" applyProtection="1">
      <alignment wrapText="1"/>
      <protection locked="0"/>
    </xf>
    <xf numFmtId="0" fontId="37" fillId="0" borderId="0" xfId="23" applyFont="1" applyAlignment="1" applyProtection="1">
      <alignment horizontal="left"/>
    </xf>
    <xf numFmtId="0" fontId="7" fillId="0" borderId="0" xfId="25" applyAlignment="1" applyProtection="1">
      <alignment wrapText="1"/>
      <protection locked="0"/>
    </xf>
    <xf numFmtId="0" fontId="8" fillId="0" borderId="0" xfId="25" applyFont="1" applyAlignment="1">
      <alignment horizontal="left"/>
    </xf>
    <xf numFmtId="0" fontId="36" fillId="0" borderId="0" xfId="25" applyFont="1" applyAlignment="1">
      <alignment horizontal="left"/>
    </xf>
    <xf numFmtId="0" fontId="7" fillId="0" borderId="0" xfId="25" applyAlignment="1">
      <alignment horizontal="left" vertical="top"/>
    </xf>
    <xf numFmtId="0" fontId="7" fillId="0" borderId="0" xfId="25"/>
    <xf numFmtId="0" fontId="8" fillId="0" borderId="0" xfId="23" applyFont="1" applyAlignment="1" applyProtection="1">
      <alignment horizontal="left"/>
    </xf>
    <xf numFmtId="0" fontId="11" fillId="0" borderId="0" xfId="23" applyAlignment="1">
      <alignment horizontal="left" vertical="top"/>
      <protection locked="0"/>
    </xf>
    <xf numFmtId="0" fontId="11" fillId="0" borderId="0" xfId="23" applyAlignment="1" applyProtection="1"/>
    <xf numFmtId="0" fontId="8" fillId="0" borderId="21" xfId="23" applyFont="1" applyBorder="1" applyAlignment="1" applyProtection="1">
      <alignment horizontal="center" vertical="center" wrapText="1"/>
    </xf>
    <xf numFmtId="0" fontId="8" fillId="0" borderId="22" xfId="23" applyFont="1" applyBorder="1" applyAlignment="1" applyProtection="1">
      <alignment horizontal="center" vertical="center" wrapText="1"/>
    </xf>
    <xf numFmtId="0" fontId="8" fillId="0" borderId="23" xfId="23" applyFont="1" applyBorder="1" applyAlignment="1" applyProtection="1">
      <alignment horizontal="center" vertical="center" wrapText="1"/>
    </xf>
    <xf numFmtId="166" fontId="8" fillId="0" borderId="25" xfId="23" applyNumberFormat="1" applyFont="1" applyBorder="1" applyAlignment="1" applyProtection="1">
      <alignment horizontal="center" vertical="center"/>
    </xf>
    <xf numFmtId="166" fontId="8" fillId="0" borderId="26" xfId="23" applyNumberFormat="1" applyFont="1" applyBorder="1" applyAlignment="1" applyProtection="1">
      <alignment horizontal="center" vertical="center"/>
    </xf>
    <xf numFmtId="0" fontId="11" fillId="0" borderId="28" xfId="23" applyBorder="1" applyAlignment="1" applyProtection="1">
      <alignment horizontal="left"/>
    </xf>
    <xf numFmtId="0" fontId="11" fillId="0" borderId="29" xfId="23" applyBorder="1" applyAlignment="1" applyProtection="1">
      <alignment horizontal="left"/>
    </xf>
    <xf numFmtId="0" fontId="40" fillId="0" borderId="30" xfId="23" applyFont="1" applyBorder="1" applyAlignment="1" applyProtection="1">
      <alignment horizontal="center" vertical="center"/>
    </xf>
    <xf numFmtId="0" fontId="40" fillId="0" borderId="30" xfId="23" applyFont="1" applyBorder="1" applyAlignment="1" applyProtection="1">
      <alignment horizontal="left" vertical="center"/>
    </xf>
    <xf numFmtId="0" fontId="41" fillId="0" borderId="30" xfId="23" applyFont="1" applyBorder="1" applyAlignment="1" applyProtection="1">
      <alignment horizontal="left" vertical="center"/>
    </xf>
    <xf numFmtId="0" fontId="42" fillId="0" borderId="30" xfId="23" applyFont="1" applyBorder="1" applyAlignment="1" applyProtection="1">
      <alignment horizontal="left" vertical="center"/>
    </xf>
    <xf numFmtId="0" fontId="11" fillId="0" borderId="0" xfId="23" applyAlignment="1" applyProtection="1">
      <alignment vertical="top"/>
    </xf>
    <xf numFmtId="0" fontId="37" fillId="0" borderId="0" xfId="27" applyFont="1" applyAlignment="1" applyProtection="1">
      <alignment horizontal="left" wrapText="1"/>
    </xf>
    <xf numFmtId="0" fontId="37" fillId="0" borderId="0" xfId="28" applyFont="1" applyAlignment="1" applyProtection="1">
      <alignment horizontal="left" wrapText="1"/>
    </xf>
    <xf numFmtId="0" fontId="7" fillId="0" borderId="0" xfId="29" applyAlignment="1">
      <alignment horizontal="left" vertical="top"/>
    </xf>
    <xf numFmtId="0" fontId="7" fillId="0" borderId="0" xfId="29"/>
    <xf numFmtId="0" fontId="43" fillId="0" borderId="0" xfId="25" applyFont="1" applyAlignment="1">
      <alignment horizontal="left"/>
    </xf>
    <xf numFmtId="0" fontId="36" fillId="0" borderId="0" xfId="25" applyFont="1" applyAlignment="1">
      <alignment horizontal="center"/>
    </xf>
    <xf numFmtId="0" fontId="44" fillId="0" borderId="0" xfId="25" applyFont="1" applyAlignment="1">
      <alignment horizontal="right" vertical="top"/>
    </xf>
    <xf numFmtId="0" fontId="45" fillId="0" borderId="31" xfId="25" applyFont="1" applyBorder="1" applyAlignment="1">
      <alignment horizontal="center" vertical="center" wrapText="1"/>
    </xf>
    <xf numFmtId="0" fontId="45" fillId="0" borderId="12" xfId="25" applyFont="1" applyBorder="1" applyAlignment="1">
      <alignment horizontal="center" vertical="center" wrapText="1"/>
    </xf>
    <xf numFmtId="0" fontId="46" fillId="0" borderId="0" xfId="25" applyFont="1" applyAlignment="1">
      <alignment horizontal="left" vertical="center"/>
    </xf>
    <xf numFmtId="0" fontId="47" fillId="0" borderId="0" xfId="25" applyFont="1"/>
    <xf numFmtId="37" fontId="8" fillId="0" borderId="30" xfId="3" applyNumberFormat="1" applyFont="1" applyBorder="1" applyAlignment="1" applyProtection="1">
      <alignment horizontal="right"/>
      <protection locked="0"/>
    </xf>
    <xf numFmtId="0" fontId="37" fillId="0" borderId="30" xfId="3" applyFont="1" applyBorder="1" applyAlignment="1" applyProtection="1">
      <alignment horizontal="left" wrapText="1"/>
      <protection locked="0"/>
    </xf>
    <xf numFmtId="2" fontId="37" fillId="0" borderId="30" xfId="3" applyNumberFormat="1" applyFont="1" applyBorder="1" applyAlignment="1" applyProtection="1">
      <alignment horizontal="right"/>
      <protection locked="0"/>
    </xf>
    <xf numFmtId="39" fontId="37" fillId="0" borderId="30" xfId="3" applyNumberFormat="1" applyFont="1" applyBorder="1" applyAlignment="1" applyProtection="1">
      <alignment horizontal="right"/>
      <protection locked="0"/>
    </xf>
    <xf numFmtId="39" fontId="48" fillId="0" borderId="30" xfId="3" applyNumberFormat="1" applyFont="1" applyBorder="1" applyAlignment="1" applyProtection="1">
      <alignment horizontal="center"/>
      <protection locked="0"/>
    </xf>
    <xf numFmtId="0" fontId="10" fillId="0" borderId="0" xfId="3"/>
    <xf numFmtId="0" fontId="8" fillId="0" borderId="30" xfId="3" applyFont="1" applyBorder="1" applyAlignment="1" applyProtection="1">
      <alignment horizontal="left" wrapText="1"/>
      <protection locked="0"/>
    </xf>
    <xf numFmtId="39" fontId="8" fillId="0" borderId="30" xfId="3" applyNumberFormat="1" applyFont="1" applyBorder="1" applyAlignment="1" applyProtection="1">
      <alignment horizontal="center"/>
      <protection locked="0"/>
    </xf>
    <xf numFmtId="49" fontId="8" fillId="0" borderId="30" xfId="3" applyNumberFormat="1" applyFont="1" applyBorder="1" applyAlignment="1" applyProtection="1">
      <alignment horizontal="right"/>
      <protection locked="0"/>
    </xf>
    <xf numFmtId="49" fontId="49" fillId="0" borderId="30" xfId="25" applyNumberFormat="1" applyFont="1" applyBorder="1" applyAlignment="1">
      <alignment horizontal="left"/>
    </xf>
    <xf numFmtId="0" fontId="49" fillId="0" borderId="30" xfId="23" applyFont="1" applyBorder="1" applyAlignment="1" applyProtection="1">
      <alignment horizontal="left"/>
    </xf>
    <xf numFmtId="0" fontId="9" fillId="0" borderId="30" xfId="23" applyFont="1" applyBorder="1" applyAlignment="1" applyProtection="1">
      <alignment wrapText="1"/>
    </xf>
    <xf numFmtId="0" fontId="50" fillId="0" borderId="30" xfId="23" applyFont="1" applyBorder="1" applyAlignment="1">
      <alignment horizontal="left" wrapText="1"/>
      <protection locked="0"/>
    </xf>
    <xf numFmtId="167" fontId="8" fillId="0" borderId="30" xfId="30" applyNumberFormat="1" applyFont="1" applyBorder="1" applyAlignment="1" applyProtection="1">
      <alignment horizontal="right"/>
      <protection locked="0"/>
    </xf>
    <xf numFmtId="39" fontId="8" fillId="0" borderId="30" xfId="23" applyNumberFormat="1" applyFont="1" applyBorder="1" applyAlignment="1">
      <alignment horizontal="right"/>
      <protection locked="0"/>
    </xf>
    <xf numFmtId="4" fontId="8" fillId="0" borderId="30" xfId="31" applyNumberFormat="1" applyFont="1" applyBorder="1" applyAlignment="1" applyProtection="1">
      <alignment horizontal="right"/>
      <protection locked="0"/>
    </xf>
    <xf numFmtId="0" fontId="52" fillId="0" borderId="0" xfId="23" applyFont="1" applyAlignment="1">
      <alignment horizontal="left" vertical="center"/>
      <protection locked="0"/>
    </xf>
    <xf numFmtId="0" fontId="11" fillId="0" borderId="0" xfId="23" applyAlignment="1">
      <alignment horizontal="left" vertical="center"/>
      <protection locked="0"/>
    </xf>
    <xf numFmtId="0" fontId="53" fillId="0" borderId="0" xfId="23" applyFont="1" applyAlignment="1">
      <alignment horizontal="left" vertical="center"/>
      <protection locked="0"/>
    </xf>
    <xf numFmtId="0" fontId="53" fillId="0" borderId="0" xfId="23" applyFont="1" applyAlignment="1">
      <alignment horizontal="left" vertical="top"/>
      <protection locked="0"/>
    </xf>
    <xf numFmtId="0" fontId="28" fillId="0" borderId="30" xfId="25" applyFont="1" applyBorder="1" applyAlignment="1" applyProtection="1">
      <alignment horizontal="left" wrapText="1"/>
      <protection locked="0"/>
    </xf>
    <xf numFmtId="167" fontId="28" fillId="0" borderId="30" xfId="25" applyNumberFormat="1" applyFont="1" applyBorder="1" applyAlignment="1" applyProtection="1">
      <alignment horizontal="right"/>
      <protection locked="0"/>
    </xf>
    <xf numFmtId="39" fontId="8" fillId="0" borderId="30" xfId="3" applyNumberFormat="1" applyFont="1" applyBorder="1" applyAlignment="1" applyProtection="1">
      <alignment horizontal="right"/>
      <protection locked="0"/>
    </xf>
    <xf numFmtId="0" fontId="7" fillId="0" borderId="0" xfId="25" applyAlignment="1">
      <alignment vertical="center"/>
    </xf>
    <xf numFmtId="49" fontId="54" fillId="0" borderId="30" xfId="3" applyNumberFormat="1" applyFont="1" applyBorder="1" applyAlignment="1" applyProtection="1">
      <alignment horizontal="right"/>
      <protection locked="0"/>
    </xf>
    <xf numFmtId="0" fontId="54" fillId="0" borderId="30" xfId="3" applyFont="1" applyBorder="1" applyAlignment="1" applyProtection="1">
      <alignment horizontal="left" wrapText="1"/>
      <protection locked="0"/>
    </xf>
    <xf numFmtId="167" fontId="54" fillId="0" borderId="30" xfId="30" applyNumberFormat="1" applyFont="1" applyBorder="1" applyAlignment="1" applyProtection="1">
      <alignment horizontal="right"/>
      <protection locked="0"/>
    </xf>
    <xf numFmtId="39" fontId="54" fillId="0" borderId="30" xfId="3" applyNumberFormat="1" applyFont="1" applyBorder="1" applyAlignment="1" applyProtection="1">
      <alignment horizontal="right"/>
      <protection locked="0"/>
    </xf>
    <xf numFmtId="39" fontId="54" fillId="0" borderId="30" xfId="3" applyNumberFormat="1" applyFont="1" applyBorder="1" applyAlignment="1" applyProtection="1">
      <alignment horizontal="center"/>
      <protection locked="0"/>
    </xf>
    <xf numFmtId="0" fontId="55" fillId="0" borderId="0" xfId="25" applyFont="1" applyAlignment="1">
      <alignment vertical="center"/>
    </xf>
    <xf numFmtId="0" fontId="56" fillId="0" borderId="0" xfId="3" applyFont="1"/>
    <xf numFmtId="0" fontId="57" fillId="0" borderId="30" xfId="25" applyFont="1" applyBorder="1" applyAlignment="1" applyProtection="1">
      <alignment horizontal="left" wrapText="1"/>
      <protection locked="0"/>
    </xf>
    <xf numFmtId="167" fontId="57" fillId="0" borderId="30" xfId="25" applyNumberFormat="1" applyFont="1" applyBorder="1" applyAlignment="1" applyProtection="1">
      <alignment horizontal="right"/>
      <protection locked="0"/>
    </xf>
    <xf numFmtId="0" fontId="58" fillId="0" borderId="0" xfId="25" applyFont="1" applyAlignment="1">
      <alignment vertical="center"/>
    </xf>
    <xf numFmtId="0" fontId="59" fillId="0" borderId="0" xfId="3" applyFont="1"/>
    <xf numFmtId="49" fontId="49" fillId="0" borderId="30" xfId="25" applyNumberFormat="1" applyFont="1" applyBorder="1" applyAlignment="1">
      <alignment horizontal="right"/>
    </xf>
    <xf numFmtId="0" fontId="8" fillId="0" borderId="30" xfId="25" applyFont="1" applyBorder="1" applyAlignment="1" applyProtection="1">
      <alignment horizontal="left" wrapText="1"/>
      <protection locked="0"/>
    </xf>
    <xf numFmtId="0" fontId="49" fillId="0" borderId="30" xfId="23" applyFont="1" applyBorder="1" applyAlignment="1" applyProtection="1"/>
    <xf numFmtId="39" fontId="8" fillId="0" borderId="30" xfId="25" applyNumberFormat="1" applyFont="1" applyBorder="1" applyAlignment="1" applyProtection="1">
      <alignment horizontal="center"/>
      <protection locked="0"/>
    </xf>
    <xf numFmtId="0" fontId="60" fillId="0" borderId="0" xfId="23" applyFont="1" applyAlignment="1">
      <alignment horizontal="left" vertical="center"/>
      <protection locked="0"/>
    </xf>
    <xf numFmtId="0" fontId="61" fillId="0" borderId="0" xfId="3" applyFont="1"/>
    <xf numFmtId="0" fontId="50" fillId="0" borderId="30" xfId="3" applyFont="1" applyBorder="1" applyAlignment="1" applyProtection="1">
      <alignment horizontal="left" wrapText="1"/>
      <protection locked="0"/>
    </xf>
    <xf numFmtId="0" fontId="62" fillId="0" borderId="0" xfId="32" applyFont="1" applyAlignment="1" applyProtection="1">
      <alignment horizontal="left" vertical="center"/>
      <protection locked="0"/>
    </xf>
    <xf numFmtId="0" fontId="51" fillId="0" borderId="0" xfId="32" applyAlignment="1" applyProtection="1">
      <alignment horizontal="left" vertical="top"/>
      <protection locked="0"/>
    </xf>
    <xf numFmtId="168" fontId="51" fillId="0" borderId="0" xfId="32" applyNumberFormat="1" applyAlignment="1" applyProtection="1">
      <alignment horizontal="left" vertical="top"/>
      <protection locked="0"/>
    </xf>
    <xf numFmtId="49" fontId="8" fillId="0" borderId="30" xfId="32" applyNumberFormat="1" applyFont="1" applyBorder="1" applyAlignment="1" applyProtection="1">
      <alignment horizontal="right" wrapText="1"/>
      <protection locked="0"/>
    </xf>
    <xf numFmtId="49" fontId="8" fillId="0" borderId="30" xfId="32" applyNumberFormat="1" applyFont="1" applyBorder="1" applyAlignment="1" applyProtection="1">
      <alignment horizontal="left" wrapText="1"/>
      <protection locked="0"/>
    </xf>
    <xf numFmtId="0" fontId="28" fillId="0" borderId="30" xfId="32" applyFont="1" applyBorder="1" applyAlignment="1" applyProtection="1">
      <alignment horizontal="left" wrapText="1"/>
      <protection locked="0"/>
    </xf>
    <xf numFmtId="0" fontId="28" fillId="0" borderId="30" xfId="3" applyFont="1" applyBorder="1" applyAlignment="1" applyProtection="1">
      <alignment horizontal="left" wrapText="1"/>
      <protection locked="0"/>
    </xf>
    <xf numFmtId="167" fontId="28" fillId="0" borderId="30" xfId="3" applyNumberFormat="1" applyFont="1" applyBorder="1" applyAlignment="1" applyProtection="1">
      <alignment horizontal="right"/>
      <protection locked="0"/>
    </xf>
    <xf numFmtId="4" fontId="28" fillId="0" borderId="30" xfId="32" applyNumberFormat="1" applyFont="1" applyBorder="1" applyAlignment="1" applyProtection="1">
      <alignment horizontal="right"/>
      <protection locked="0"/>
    </xf>
    <xf numFmtId="4" fontId="8" fillId="0" borderId="30" xfId="32" applyNumberFormat="1" applyFont="1" applyBorder="1" applyAlignment="1" applyProtection="1">
      <alignment horizontal="right"/>
      <protection locked="0"/>
    </xf>
    <xf numFmtId="39" fontId="8" fillId="0" borderId="30" xfId="32" applyNumberFormat="1" applyFont="1" applyBorder="1" applyAlignment="1" applyProtection="1">
      <alignment horizontal="center"/>
      <protection locked="0"/>
    </xf>
    <xf numFmtId="0" fontId="63" fillId="0" borderId="0" xfId="33" applyFill="1" applyAlignment="1" applyProtection="1">
      <alignment horizontal="left" vertical="center"/>
      <protection locked="0"/>
    </xf>
    <xf numFmtId="167" fontId="28" fillId="0" borderId="30" xfId="32" applyNumberFormat="1" applyFont="1" applyBorder="1" applyAlignment="1" applyProtection="1">
      <alignment horizontal="right"/>
      <protection locked="0"/>
    </xf>
    <xf numFmtId="39" fontId="8" fillId="0" borderId="30" xfId="32" applyNumberFormat="1" applyFont="1" applyBorder="1" applyAlignment="1" applyProtection="1">
      <alignment horizontal="right"/>
      <protection locked="0"/>
    </xf>
    <xf numFmtId="0" fontId="64" fillId="0" borderId="0" xfId="32" applyFont="1" applyAlignment="1" applyProtection="1">
      <alignment horizontal="left" vertical="top"/>
      <protection locked="0"/>
    </xf>
    <xf numFmtId="0" fontId="65" fillId="0" borderId="0" xfId="33" applyFont="1" applyFill="1" applyAlignment="1" applyProtection="1">
      <alignment vertical="center"/>
    </xf>
    <xf numFmtId="167" fontId="8" fillId="0" borderId="30" xfId="3" applyNumberFormat="1" applyFont="1" applyBorder="1" applyAlignment="1" applyProtection="1">
      <alignment horizontal="right"/>
      <protection locked="0"/>
    </xf>
    <xf numFmtId="49" fontId="66" fillId="0" borderId="30" xfId="34" applyNumberFormat="1" applyFont="1" applyBorder="1" applyAlignment="1" applyProtection="1">
      <alignment horizontal="right"/>
      <protection locked="0"/>
    </xf>
    <xf numFmtId="49" fontId="66" fillId="0" borderId="30" xfId="34" applyNumberFormat="1" applyFont="1" applyBorder="1" applyAlignment="1" applyProtection="1">
      <alignment horizontal="left" wrapText="1"/>
      <protection locked="0"/>
    </xf>
    <xf numFmtId="0" fontId="66" fillId="0" borderId="30" xfId="34" applyFont="1" applyBorder="1" applyAlignment="1" applyProtection="1">
      <alignment horizontal="left" wrapText="1"/>
      <protection locked="0"/>
    </xf>
    <xf numFmtId="0" fontId="28" fillId="0" borderId="30" xfId="35" applyFont="1" applyBorder="1" applyAlignment="1">
      <alignment horizontal="left" vertical="center" wrapText="1"/>
      <protection locked="0"/>
    </xf>
    <xf numFmtId="0" fontId="28" fillId="0" borderId="30" xfId="34" applyFont="1" applyBorder="1" applyAlignment="1" applyProtection="1">
      <alignment horizontal="left" wrapText="1"/>
      <protection locked="0"/>
    </xf>
    <xf numFmtId="167" fontId="28" fillId="0" borderId="30" xfId="34" applyNumberFormat="1" applyFont="1" applyBorder="1" applyAlignment="1" applyProtection="1">
      <alignment horizontal="right"/>
      <protection locked="0"/>
    </xf>
    <xf numFmtId="4" fontId="8" fillId="0" borderId="30" xfId="34" applyNumberFormat="1" applyFont="1" applyBorder="1" applyAlignment="1" applyProtection="1">
      <alignment horizontal="right"/>
      <protection locked="0"/>
    </xf>
    <xf numFmtId="0" fontId="68" fillId="0" borderId="30" xfId="34" applyFont="1" applyBorder="1" applyAlignment="1" applyProtection="1">
      <alignment horizontal="right" vertical="center"/>
      <protection locked="0"/>
    </xf>
    <xf numFmtId="0" fontId="23" fillId="0" borderId="0" xfId="34" applyAlignment="1" applyProtection="1">
      <alignment horizontal="left" vertical="top"/>
      <protection locked="0"/>
    </xf>
    <xf numFmtId="0" fontId="23" fillId="0" borderId="0" xfId="34"/>
    <xf numFmtId="0" fontId="69" fillId="0" borderId="0" xfId="33" applyFont="1" applyFill="1" applyAlignment="1" applyProtection="1">
      <alignment vertical="center"/>
    </xf>
    <xf numFmtId="167" fontId="37" fillId="0" borderId="30" xfId="3" applyNumberFormat="1" applyFont="1" applyBorder="1" applyAlignment="1" applyProtection="1">
      <alignment horizontal="right"/>
      <protection locked="0"/>
    </xf>
    <xf numFmtId="0" fontId="70" fillId="0" borderId="0" xfId="25" applyFont="1" applyAlignment="1" applyProtection="1">
      <alignment horizontal="left" vertical="center"/>
      <protection locked="0"/>
    </xf>
    <xf numFmtId="0" fontId="7" fillId="0" borderId="0" xfId="25" applyAlignment="1" applyProtection="1">
      <alignment horizontal="left" vertical="top"/>
      <protection locked="0"/>
    </xf>
    <xf numFmtId="2" fontId="7" fillId="0" borderId="0" xfId="25" applyNumberFormat="1" applyAlignment="1" applyProtection="1">
      <alignment horizontal="left" vertical="top"/>
      <protection locked="0"/>
    </xf>
    <xf numFmtId="49" fontId="8" fillId="0" borderId="30" xfId="36" applyNumberFormat="1" applyFont="1" applyBorder="1" applyAlignment="1" applyProtection="1">
      <alignment horizontal="right"/>
      <protection locked="0"/>
    </xf>
    <xf numFmtId="0" fontId="8" fillId="0" borderId="30" xfId="36" applyFont="1" applyBorder="1" applyAlignment="1" applyProtection="1">
      <alignment horizontal="left" wrapText="1"/>
      <protection locked="0"/>
    </xf>
    <xf numFmtId="0" fontId="71" fillId="0" borderId="0" xfId="32" applyFont="1" applyAlignment="1" applyProtection="1">
      <alignment horizontal="left" vertical="top"/>
      <protection locked="0"/>
    </xf>
    <xf numFmtId="0" fontId="7" fillId="7" borderId="0" xfId="25" applyFill="1" applyAlignment="1" applyProtection="1">
      <alignment horizontal="left" vertical="top"/>
      <protection locked="0"/>
    </xf>
    <xf numFmtId="0" fontId="28" fillId="0" borderId="30" xfId="37" applyFont="1" applyBorder="1" applyAlignment="1">
      <alignment horizontal="left" wrapText="1"/>
    </xf>
    <xf numFmtId="0" fontId="72" fillId="0" borderId="30" xfId="29" applyFont="1" applyBorder="1" applyAlignment="1">
      <alignment horizontal="left" wrapText="1"/>
    </xf>
    <xf numFmtId="0" fontId="28" fillId="0" borderId="30" xfId="29" applyFont="1" applyBorder="1" applyAlignment="1">
      <alignment horizontal="left" wrapText="1"/>
    </xf>
    <xf numFmtId="0" fontId="72" fillId="0" borderId="30" xfId="37" applyFont="1" applyBorder="1" applyAlignment="1">
      <alignment horizontal="left" wrapText="1"/>
    </xf>
    <xf numFmtId="39" fontId="73" fillId="0" borderId="30" xfId="32" applyNumberFormat="1" applyFont="1" applyBorder="1" applyAlignment="1" applyProtection="1">
      <alignment horizontal="right"/>
      <protection locked="0"/>
    </xf>
    <xf numFmtId="2" fontId="70" fillId="0" borderId="0" xfId="25" applyNumberFormat="1" applyFont="1" applyAlignment="1" applyProtection="1">
      <alignment horizontal="left" vertical="center"/>
      <protection locked="0"/>
    </xf>
    <xf numFmtId="167" fontId="8" fillId="0" borderId="30" xfId="3" applyNumberFormat="1" applyFont="1" applyBorder="1" applyAlignment="1" applyProtection="1">
      <alignment horizontal="right" wrapText="1"/>
      <protection locked="0"/>
    </xf>
    <xf numFmtId="2" fontId="28" fillId="0" borderId="30" xfId="3" applyNumberFormat="1" applyFont="1" applyBorder="1" applyAlignment="1" applyProtection="1">
      <alignment horizontal="right"/>
      <protection locked="0"/>
    </xf>
    <xf numFmtId="2" fontId="64" fillId="0" borderId="0" xfId="32" applyNumberFormat="1" applyFont="1" applyAlignment="1" applyProtection="1">
      <alignment horizontal="left" vertical="top"/>
      <protection locked="0"/>
    </xf>
    <xf numFmtId="39" fontId="8" fillId="0" borderId="30" xfId="23" applyNumberFormat="1" applyFont="1" applyBorder="1" applyAlignment="1">
      <alignment horizontal="center"/>
      <protection locked="0"/>
    </xf>
    <xf numFmtId="0" fontId="74" fillId="0" borderId="30" xfId="25" applyFont="1" applyBorder="1"/>
    <xf numFmtId="0" fontId="75" fillId="0" borderId="0" xfId="32" applyFont="1" applyAlignment="1" applyProtection="1">
      <alignment horizontal="left" vertical="top"/>
      <protection locked="0"/>
    </xf>
    <xf numFmtId="0" fontId="70" fillId="0" borderId="0" xfId="32" applyFont="1" applyAlignment="1" applyProtection="1">
      <alignment horizontal="left" vertical="center"/>
      <protection locked="0"/>
    </xf>
    <xf numFmtId="49" fontId="8" fillId="0" borderId="30" xfId="25" applyNumberFormat="1" applyFont="1" applyBorder="1" applyAlignment="1" applyProtection="1">
      <alignment horizontal="right"/>
      <protection locked="0"/>
    </xf>
    <xf numFmtId="49" fontId="8" fillId="0" borderId="30" xfId="25" applyNumberFormat="1" applyFont="1" applyBorder="1" applyAlignment="1" applyProtection="1">
      <alignment horizontal="left" wrapText="1"/>
      <protection locked="0"/>
    </xf>
    <xf numFmtId="169" fontId="8" fillId="0" borderId="30" xfId="25" applyNumberFormat="1" applyFont="1" applyBorder="1" applyAlignment="1" applyProtection="1">
      <alignment horizontal="right"/>
      <protection locked="0"/>
    </xf>
    <xf numFmtId="4" fontId="8" fillId="0" borderId="30" xfId="25" applyNumberFormat="1" applyFont="1" applyBorder="1" applyAlignment="1" applyProtection="1">
      <alignment horizontal="right"/>
      <protection locked="0"/>
    </xf>
    <xf numFmtId="167" fontId="8" fillId="0" borderId="30" xfId="25" applyNumberFormat="1" applyFont="1" applyBorder="1" applyAlignment="1" applyProtection="1">
      <alignment horizontal="right"/>
      <protection locked="0"/>
    </xf>
    <xf numFmtId="4" fontId="76" fillId="0" borderId="0" xfId="25" applyNumberFormat="1" applyFont="1" applyAlignment="1" applyProtection="1">
      <alignment horizontal="center" vertical="center"/>
      <protection locked="0"/>
    </xf>
    <xf numFmtId="4" fontId="77" fillId="0" borderId="0" xfId="25" applyNumberFormat="1" applyFont="1" applyAlignment="1" applyProtection="1">
      <alignment horizontal="center" vertical="center"/>
      <protection locked="0"/>
    </xf>
    <xf numFmtId="0" fontId="78" fillId="0" borderId="0" xfId="30" applyFont="1" applyAlignment="1" applyProtection="1">
      <alignment horizontal="center" vertical="center"/>
      <protection locked="0"/>
    </xf>
    <xf numFmtId="49" fontId="8" fillId="0" borderId="30" xfId="23" applyNumberFormat="1" applyFont="1" applyBorder="1" applyAlignment="1">
      <alignment horizontal="right"/>
      <protection locked="0"/>
    </xf>
    <xf numFmtId="49" fontId="8" fillId="0" borderId="30" xfId="23" applyNumberFormat="1" applyFont="1" applyBorder="1" applyAlignment="1">
      <alignment horizontal="left" wrapText="1"/>
      <protection locked="0"/>
    </xf>
    <xf numFmtId="0" fontId="79" fillId="0" borderId="30" xfId="3" applyFont="1" applyBorder="1" applyAlignment="1" applyProtection="1">
      <alignment horizontal="left" wrapText="1"/>
      <protection locked="0"/>
    </xf>
    <xf numFmtId="0" fontId="37" fillId="0" borderId="30" xfId="23" applyFont="1" applyBorder="1" applyAlignment="1">
      <alignment horizontal="left" wrapText="1"/>
      <protection locked="0"/>
    </xf>
    <xf numFmtId="167" fontId="79" fillId="0" borderId="30" xfId="3" applyNumberFormat="1" applyFont="1" applyBorder="1" applyAlignment="1" applyProtection="1">
      <alignment horizontal="right"/>
      <protection locked="0"/>
    </xf>
    <xf numFmtId="4" fontId="8" fillId="0" borderId="30" xfId="23" applyNumberFormat="1" applyFont="1" applyBorder="1" applyAlignment="1">
      <alignment horizontal="right"/>
      <protection locked="0"/>
    </xf>
    <xf numFmtId="0" fontId="80" fillId="0" borderId="0" xfId="23" applyFont="1" applyAlignment="1">
      <alignment horizontal="left" vertical="center"/>
      <protection locked="0"/>
    </xf>
    <xf numFmtId="49" fontId="66" fillId="0" borderId="30" xfId="25" applyNumberFormat="1" applyFont="1" applyBorder="1" applyAlignment="1" applyProtection="1">
      <alignment horizontal="right"/>
      <protection locked="0"/>
    </xf>
    <xf numFmtId="49" fontId="66" fillId="0" borderId="30" xfId="25" applyNumberFormat="1" applyFont="1" applyBorder="1" applyAlignment="1" applyProtection="1">
      <alignment horizontal="left" wrapText="1"/>
      <protection locked="0"/>
    </xf>
    <xf numFmtId="0" fontId="66" fillId="0" borderId="30" xfId="25" applyFont="1" applyBorder="1" applyAlignment="1" applyProtection="1">
      <alignment horizontal="left" wrapText="1"/>
      <protection locked="0"/>
    </xf>
    <xf numFmtId="0" fontId="7" fillId="0" borderId="30" xfId="25" applyBorder="1" applyAlignment="1" applyProtection="1">
      <alignment horizontal="left" vertical="top"/>
      <protection locked="0"/>
    </xf>
    <xf numFmtId="0" fontId="47" fillId="0" borderId="0" xfId="25" applyFont="1" applyAlignment="1" applyProtection="1">
      <alignment horizontal="left" vertical="center"/>
      <protection locked="0"/>
    </xf>
    <xf numFmtId="49" fontId="72" fillId="0" borderId="30" xfId="25" applyNumberFormat="1" applyFont="1" applyBorder="1" applyAlignment="1" applyProtection="1">
      <alignment horizontal="right"/>
      <protection locked="0"/>
    </xf>
    <xf numFmtId="0" fontId="72" fillId="0" borderId="30" xfId="3" applyFont="1" applyBorder="1" applyAlignment="1" applyProtection="1">
      <alignment horizontal="left" wrapText="1"/>
      <protection locked="0"/>
    </xf>
    <xf numFmtId="0" fontId="72" fillId="0" borderId="30" xfId="25" applyFont="1" applyBorder="1" applyAlignment="1" applyProtection="1">
      <alignment horizontal="left" wrapText="1"/>
      <protection locked="0"/>
    </xf>
    <xf numFmtId="4" fontId="28" fillId="5" borderId="30" xfId="25" applyNumberFormat="1" applyFont="1" applyFill="1" applyBorder="1" applyAlignment="1" applyProtection="1">
      <alignment horizontal="right"/>
      <protection locked="0"/>
    </xf>
    <xf numFmtId="39" fontId="72" fillId="0" borderId="30" xfId="12" applyNumberFormat="1" applyFont="1" applyBorder="1" applyAlignment="1">
      <alignment horizontal="center"/>
      <protection locked="0"/>
    </xf>
    <xf numFmtId="0" fontId="10" fillId="0" borderId="0" xfId="3" applyAlignment="1" applyProtection="1">
      <alignment horizontal="left" vertical="top"/>
      <protection locked="0"/>
    </xf>
    <xf numFmtId="0" fontId="67" fillId="0" borderId="0" xfId="3" applyFont="1"/>
    <xf numFmtId="0" fontId="10" fillId="0" borderId="0" xfId="3" applyAlignment="1">
      <alignment horizontal="right" vertical="center"/>
    </xf>
    <xf numFmtId="2" fontId="28" fillId="0" borderId="30" xfId="25" applyNumberFormat="1" applyFont="1" applyBorder="1" applyAlignment="1" applyProtection="1">
      <alignment horizontal="right"/>
      <protection locked="0"/>
    </xf>
    <xf numFmtId="0" fontId="8" fillId="0" borderId="30" xfId="23" applyFont="1" applyBorder="1" applyAlignment="1">
      <alignment horizontal="left" wrapText="1"/>
      <protection locked="0"/>
    </xf>
    <xf numFmtId="2" fontId="47" fillId="0" borderId="0" xfId="25" applyNumberFormat="1" applyFont="1" applyAlignment="1" applyProtection="1">
      <alignment horizontal="left" vertical="center"/>
      <protection locked="0"/>
    </xf>
    <xf numFmtId="49" fontId="8" fillId="0" borderId="30" xfId="26" applyNumberFormat="1" applyFont="1" applyBorder="1" applyAlignment="1" applyProtection="1">
      <alignment horizontal="right"/>
      <protection locked="0"/>
    </xf>
    <xf numFmtId="49" fontId="8" fillId="0" borderId="30" xfId="26" applyNumberFormat="1" applyFont="1" applyBorder="1" applyAlignment="1" applyProtection="1">
      <alignment horizontal="left" wrapText="1"/>
      <protection locked="0"/>
    </xf>
    <xf numFmtId="0" fontId="8" fillId="0" borderId="30" xfId="26" applyFont="1" applyBorder="1" applyAlignment="1" applyProtection="1">
      <alignment horizontal="left" wrapText="1"/>
      <protection locked="0"/>
    </xf>
    <xf numFmtId="0" fontId="28" fillId="0" borderId="30" xfId="26" applyFont="1" applyBorder="1" applyAlignment="1" applyProtection="1">
      <alignment horizontal="left" wrapText="1"/>
      <protection locked="0"/>
    </xf>
    <xf numFmtId="167" fontId="8" fillId="0" borderId="30" xfId="26" applyNumberFormat="1" applyFont="1" applyBorder="1" applyAlignment="1" applyProtection="1">
      <alignment horizontal="right"/>
      <protection locked="0"/>
    </xf>
    <xf numFmtId="4" fontId="8" fillId="0" borderId="30" xfId="26" applyNumberFormat="1" applyFont="1" applyBorder="1" applyAlignment="1" applyProtection="1">
      <alignment horizontal="right"/>
      <protection locked="0"/>
    </xf>
    <xf numFmtId="39" fontId="8" fillId="0" borderId="30" xfId="26" applyNumberFormat="1" applyFont="1" applyBorder="1" applyAlignment="1" applyProtection="1">
      <alignment horizontal="center"/>
      <protection locked="0"/>
    </xf>
    <xf numFmtId="2" fontId="71" fillId="0" borderId="0" xfId="26" applyNumberFormat="1" applyFont="1" applyAlignment="1" applyProtection="1">
      <alignment horizontal="left" vertical="center"/>
      <protection locked="0"/>
    </xf>
    <xf numFmtId="0" fontId="12" fillId="0" borderId="0" xfId="26" applyAlignment="1" applyProtection="1">
      <alignment horizontal="left" vertical="top"/>
      <protection locked="0"/>
    </xf>
    <xf numFmtId="0" fontId="12" fillId="0" borderId="0" xfId="26"/>
    <xf numFmtId="49" fontId="8" fillId="0" borderId="30" xfId="6" applyNumberFormat="1" applyFont="1" applyBorder="1" applyAlignment="1" applyProtection="1">
      <alignment horizontal="right"/>
      <protection locked="0"/>
    </xf>
    <xf numFmtId="49" fontId="8" fillId="0" borderId="30" xfId="6" applyNumberFormat="1" applyFont="1" applyBorder="1" applyAlignment="1" applyProtection="1">
      <alignment horizontal="left" wrapText="1"/>
      <protection locked="0"/>
    </xf>
    <xf numFmtId="0" fontId="37" fillId="0" borderId="30" xfId="6" applyFont="1" applyBorder="1" applyAlignment="1" applyProtection="1">
      <alignment horizontal="left" wrapText="1"/>
      <protection locked="0"/>
    </xf>
    <xf numFmtId="39" fontId="8" fillId="0" borderId="30" xfId="6" applyNumberFormat="1" applyFont="1" applyBorder="1" applyAlignment="1" applyProtection="1">
      <alignment horizontal="right"/>
      <protection locked="0"/>
    </xf>
    <xf numFmtId="39" fontId="8" fillId="0" borderId="30" xfId="6" applyNumberFormat="1" applyFont="1" applyBorder="1" applyAlignment="1" applyProtection="1">
      <alignment horizontal="center"/>
      <protection locked="0"/>
    </xf>
    <xf numFmtId="2" fontId="81" fillId="0" borderId="0" xfId="23" applyNumberFormat="1" applyFont="1" applyAlignment="1">
      <alignment horizontal="left" vertical="center"/>
      <protection locked="0"/>
    </xf>
    <xf numFmtId="0" fontId="12" fillId="0" borderId="0" xfId="6"/>
    <xf numFmtId="0" fontId="12" fillId="0" borderId="0" xfId="6" applyAlignment="1" applyProtection="1">
      <alignment horizontal="left" vertical="top"/>
      <protection locked="0"/>
    </xf>
    <xf numFmtId="49" fontId="66" fillId="0" borderId="30" xfId="23" applyNumberFormat="1" applyFont="1" applyBorder="1" applyAlignment="1">
      <alignment horizontal="right"/>
      <protection locked="0"/>
    </xf>
    <xf numFmtId="49" fontId="66" fillId="0" borderId="30" xfId="23" applyNumberFormat="1" applyFont="1" applyBorder="1" applyAlignment="1">
      <alignment horizontal="left" wrapText="1"/>
      <protection locked="0"/>
    </xf>
    <xf numFmtId="0" fontId="66" fillId="0" borderId="30" xfId="23" applyFont="1" applyBorder="1" applyAlignment="1">
      <alignment horizontal="left" wrapText="1"/>
      <protection locked="0"/>
    </xf>
    <xf numFmtId="0" fontId="28" fillId="0" borderId="30" xfId="23" applyFont="1" applyBorder="1" applyAlignment="1">
      <alignment horizontal="left" wrapText="1"/>
      <protection locked="0"/>
    </xf>
    <xf numFmtId="167" fontId="28" fillId="0" borderId="30" xfId="23" applyNumberFormat="1" applyFont="1" applyBorder="1" applyAlignment="1">
      <alignment horizontal="right" wrapText="1"/>
      <protection locked="0"/>
    </xf>
    <xf numFmtId="0" fontId="11" fillId="0" borderId="30" xfId="23" applyBorder="1" applyAlignment="1">
      <alignment horizontal="left" vertical="top"/>
      <protection locked="0"/>
    </xf>
    <xf numFmtId="2" fontId="80" fillId="0" borderId="0" xfId="6" applyNumberFormat="1" applyFont="1" applyAlignment="1" applyProtection="1">
      <alignment horizontal="left" vertical="center"/>
      <protection locked="0"/>
    </xf>
    <xf numFmtId="169" fontId="82" fillId="0" borderId="0" xfId="23" applyNumberFormat="1" applyFont="1" applyAlignment="1">
      <alignment horizontal="left" vertical="top"/>
      <protection locked="0"/>
    </xf>
    <xf numFmtId="0" fontId="80" fillId="0" borderId="0" xfId="23" applyFont="1" applyAlignment="1">
      <alignment horizontal="left" vertical="top"/>
      <protection locked="0"/>
    </xf>
    <xf numFmtId="0" fontId="80" fillId="0" borderId="0" xfId="23" applyFont="1" applyAlignment="1" applyProtection="1"/>
    <xf numFmtId="0" fontId="82" fillId="0" borderId="0" xfId="23" applyFont="1" applyAlignment="1">
      <alignment horizontal="left" vertical="top"/>
      <protection locked="0"/>
    </xf>
    <xf numFmtId="49" fontId="72" fillId="0" borderId="30" xfId="23" applyNumberFormat="1" applyFont="1" applyBorder="1" applyAlignment="1">
      <alignment horizontal="right"/>
      <protection locked="0"/>
    </xf>
    <xf numFmtId="0" fontId="72" fillId="0" borderId="30" xfId="23" applyFont="1" applyBorder="1" applyAlignment="1">
      <alignment horizontal="left" wrapText="1"/>
      <protection locked="0"/>
    </xf>
    <xf numFmtId="167" fontId="28" fillId="0" borderId="30" xfId="23" applyNumberFormat="1" applyFont="1" applyBorder="1" applyAlignment="1">
      <alignment horizontal="right"/>
      <protection locked="0"/>
    </xf>
    <xf numFmtId="4" fontId="28" fillId="5" borderId="30" xfId="23" applyNumberFormat="1" applyFont="1" applyFill="1" applyBorder="1" applyAlignment="1">
      <alignment horizontal="right"/>
      <protection locked="0"/>
    </xf>
    <xf numFmtId="0" fontId="80" fillId="0" borderId="0" xfId="3" applyFont="1" applyAlignment="1" applyProtection="1">
      <alignment horizontal="left" vertical="center"/>
      <protection locked="0"/>
    </xf>
    <xf numFmtId="0" fontId="10" fillId="0" borderId="0" xfId="3" applyAlignment="1" applyProtection="1">
      <alignment horizontal="left" vertical="center"/>
      <protection locked="0"/>
    </xf>
    <xf numFmtId="0" fontId="10" fillId="0" borderId="0" xfId="3" applyAlignment="1">
      <alignment vertical="center"/>
    </xf>
    <xf numFmtId="0" fontId="67" fillId="0" borderId="0" xfId="3" applyFont="1" applyAlignment="1">
      <alignment vertical="center"/>
    </xf>
    <xf numFmtId="0" fontId="10" fillId="0" borderId="0" xfId="3" applyAlignment="1">
      <alignment horizontal="left" vertical="center"/>
    </xf>
    <xf numFmtId="49" fontId="28" fillId="0" borderId="30" xfId="23" applyNumberFormat="1" applyFont="1" applyBorder="1" applyAlignment="1">
      <alignment horizontal="right"/>
      <protection locked="0"/>
    </xf>
    <xf numFmtId="49" fontId="66" fillId="0" borderId="30" xfId="3" applyNumberFormat="1" applyFont="1" applyBorder="1" applyAlignment="1" applyProtection="1">
      <alignment horizontal="left" wrapText="1"/>
      <protection locked="0"/>
    </xf>
    <xf numFmtId="39" fontId="28" fillId="5" borderId="30" xfId="25" applyNumberFormat="1" applyFont="1" applyFill="1" applyBorder="1" applyAlignment="1" applyProtection="1">
      <alignment horizontal="right"/>
      <protection locked="0"/>
    </xf>
    <xf numFmtId="0" fontId="83" fillId="0" borderId="0" xfId="3" applyFont="1"/>
    <xf numFmtId="49" fontId="72" fillId="0" borderId="30" xfId="35" applyNumberFormat="1" applyFont="1" applyBorder="1" applyAlignment="1">
      <alignment horizontal="right"/>
      <protection locked="0"/>
    </xf>
    <xf numFmtId="49" fontId="66" fillId="0" borderId="30" xfId="35" applyNumberFormat="1" applyFont="1" applyBorder="1" applyAlignment="1">
      <alignment horizontal="left" wrapText="1"/>
      <protection locked="0"/>
    </xf>
    <xf numFmtId="0" fontId="28" fillId="0" borderId="30" xfId="12" applyFont="1" applyBorder="1" applyAlignment="1">
      <alignment horizontal="left" wrapText="1"/>
      <protection locked="0"/>
    </xf>
    <xf numFmtId="0" fontId="72" fillId="0" borderId="30" xfId="35" applyFont="1" applyBorder="1" applyAlignment="1">
      <alignment horizontal="left" wrapText="1"/>
      <protection locked="0"/>
    </xf>
    <xf numFmtId="167" fontId="28" fillId="0" borderId="30" xfId="38" applyNumberFormat="1" applyFont="1" applyBorder="1" applyAlignment="1" applyProtection="1">
      <alignment horizontal="right"/>
      <protection locked="0"/>
    </xf>
    <xf numFmtId="4" fontId="28" fillId="5" borderId="30" xfId="38" applyNumberFormat="1" applyFont="1" applyFill="1" applyBorder="1" applyAlignment="1" applyProtection="1">
      <alignment horizontal="right"/>
      <protection locked="0"/>
    </xf>
    <xf numFmtId="0" fontId="84" fillId="0" borderId="0" xfId="35" applyFont="1" applyAlignment="1">
      <alignment horizontal="right" vertical="top"/>
      <protection locked="0"/>
    </xf>
    <xf numFmtId="0" fontId="84" fillId="0" borderId="0" xfId="35" applyFont="1" applyAlignment="1">
      <alignment horizontal="left" vertical="top"/>
      <protection locked="0"/>
    </xf>
    <xf numFmtId="49" fontId="72" fillId="0" borderId="30" xfId="39" applyNumberFormat="1" applyFont="1" applyBorder="1" applyAlignment="1">
      <alignment horizontal="right"/>
      <protection locked="0"/>
    </xf>
    <xf numFmtId="49" fontId="66" fillId="0" borderId="30" xfId="39" applyNumberFormat="1" applyFont="1" applyBorder="1" applyAlignment="1">
      <alignment horizontal="left" wrapText="1"/>
      <protection locked="0"/>
    </xf>
    <xf numFmtId="0" fontId="66" fillId="0" borderId="30" xfId="39" applyFont="1" applyBorder="1" applyAlignment="1">
      <alignment horizontal="left" wrapText="1"/>
      <protection locked="0"/>
    </xf>
    <xf numFmtId="0" fontId="72" fillId="0" borderId="30" xfId="39" applyFont="1" applyBorder="1" applyAlignment="1">
      <alignment horizontal="left" wrapText="1"/>
      <protection locked="0"/>
    </xf>
    <xf numFmtId="167" fontId="28" fillId="0" borderId="30" xfId="39" applyNumberFormat="1" applyFont="1" applyBorder="1" applyAlignment="1">
      <alignment horizontal="right" wrapText="1"/>
      <protection locked="0"/>
    </xf>
    <xf numFmtId="4" fontId="28" fillId="0" borderId="30" xfId="39" applyNumberFormat="1" applyFont="1" applyBorder="1" applyAlignment="1">
      <alignment horizontal="right"/>
      <protection locked="0"/>
    </xf>
    <xf numFmtId="0" fontId="84" fillId="0" borderId="30" xfId="39" applyFont="1" applyBorder="1" applyAlignment="1">
      <alignment horizontal="left" vertical="top"/>
      <protection locked="0"/>
    </xf>
    <xf numFmtId="0" fontId="83" fillId="0" borderId="0" xfId="3" applyFont="1" applyAlignment="1" applyProtection="1">
      <alignment horizontal="left" vertical="top"/>
      <protection locked="0"/>
    </xf>
    <xf numFmtId="0" fontId="84" fillId="0" borderId="0" xfId="39" applyFont="1" applyAlignment="1">
      <alignment horizontal="left" vertical="top"/>
      <protection locked="0"/>
    </xf>
    <xf numFmtId="37" fontId="86" fillId="0" borderId="0" xfId="25" applyNumberFormat="1" applyFont="1" applyAlignment="1">
      <alignment horizontal="right"/>
    </xf>
    <xf numFmtId="0" fontId="86" fillId="0" borderId="0" xfId="25" applyFont="1" applyAlignment="1">
      <alignment horizontal="left" wrapText="1"/>
    </xf>
    <xf numFmtId="170" fontId="86" fillId="0" borderId="0" xfId="25" applyNumberFormat="1" applyFont="1" applyAlignment="1">
      <alignment horizontal="right"/>
    </xf>
    <xf numFmtId="39" fontId="86" fillId="0" borderId="0" xfId="25" applyNumberFormat="1" applyFont="1" applyAlignment="1">
      <alignment horizontal="right"/>
    </xf>
    <xf numFmtId="37" fontId="8" fillId="0" borderId="21" xfId="25" applyNumberFormat="1" applyFont="1" applyBorder="1" applyAlignment="1">
      <alignment horizontal="right"/>
    </xf>
    <xf numFmtId="0" fontId="8" fillId="0" borderId="21" xfId="25" applyFont="1" applyBorder="1" applyAlignment="1">
      <alignment horizontal="left" wrapText="1"/>
    </xf>
    <xf numFmtId="0" fontId="8" fillId="0" borderId="21" xfId="25" applyFont="1" applyBorder="1" applyAlignment="1">
      <alignment horizontal="center" wrapText="1"/>
    </xf>
    <xf numFmtId="170" fontId="8" fillId="0" borderId="21" xfId="25" applyNumberFormat="1" applyFont="1" applyBorder="1" applyAlignment="1">
      <alignment horizontal="right"/>
    </xf>
    <xf numFmtId="39" fontId="8" fillId="0" borderId="21" xfId="25" applyNumberFormat="1" applyFont="1" applyBorder="1" applyAlignment="1">
      <alignment horizontal="right"/>
    </xf>
    <xf numFmtId="0" fontId="87" fillId="0" borderId="0" xfId="25" applyFont="1" applyAlignment="1">
      <alignment horizontal="left" vertical="top"/>
    </xf>
    <xf numFmtId="0" fontId="37" fillId="0" borderId="32" xfId="25" applyFont="1" applyBorder="1" applyAlignment="1">
      <alignment horizontal="left"/>
    </xf>
    <xf numFmtId="0" fontId="66" fillId="0" borderId="33" xfId="25" applyFont="1" applyBorder="1" applyAlignment="1">
      <alignment horizontal="center"/>
    </xf>
    <xf numFmtId="170" fontId="66" fillId="0" borderId="33" xfId="25" applyNumberFormat="1" applyFont="1" applyBorder="1" applyAlignment="1">
      <alignment horizontal="right"/>
    </xf>
    <xf numFmtId="39" fontId="8" fillId="0" borderId="33" xfId="25" applyNumberFormat="1" applyFont="1" applyBorder="1" applyAlignment="1">
      <alignment horizontal="right"/>
    </xf>
    <xf numFmtId="39" fontId="48" fillId="0" borderId="0" xfId="25" applyNumberFormat="1" applyFont="1" applyAlignment="1">
      <alignment horizontal="center"/>
    </xf>
    <xf numFmtId="37" fontId="66" fillId="0" borderId="0" xfId="25" applyNumberFormat="1" applyFont="1" applyAlignment="1">
      <alignment horizontal="right"/>
    </xf>
    <xf numFmtId="0" fontId="66" fillId="0" borderId="0" xfId="25" applyFont="1" applyAlignment="1">
      <alignment horizontal="left" wrapText="1"/>
    </xf>
    <xf numFmtId="0" fontId="8" fillId="0" borderId="0" xfId="25" applyFont="1" applyAlignment="1">
      <alignment horizontal="left" wrapText="1"/>
    </xf>
    <xf numFmtId="0" fontId="66" fillId="0" borderId="0" xfId="25" applyFont="1" applyAlignment="1">
      <alignment horizontal="center" wrapText="1"/>
    </xf>
    <xf numFmtId="170" fontId="66" fillId="0" borderId="0" xfId="25" applyNumberFormat="1" applyFont="1" applyAlignment="1">
      <alignment horizontal="right"/>
    </xf>
    <xf numFmtId="39" fontId="66" fillId="0" borderId="0" xfId="25" applyNumberFormat="1" applyFont="1" applyAlignment="1">
      <alignment horizontal="right"/>
    </xf>
    <xf numFmtId="39" fontId="8" fillId="0" borderId="0" xfId="25" applyNumberFormat="1" applyFont="1" applyAlignment="1">
      <alignment horizontal="right"/>
    </xf>
    <xf numFmtId="0" fontId="9" fillId="0" borderId="0" xfId="21" applyFont="1" applyAlignment="1">
      <alignment horizontal="center" vertical="center" wrapText="1"/>
    </xf>
    <xf numFmtId="0" fontId="36" fillId="0" borderId="0" xfId="28" applyFont="1" applyAlignment="1" applyProtection="1">
      <alignment horizontal="left"/>
    </xf>
    <xf numFmtId="0" fontId="11" fillId="0" borderId="0" xfId="28" applyAlignment="1">
      <alignment vertical="top"/>
      <protection locked="0"/>
    </xf>
    <xf numFmtId="0" fontId="11" fillId="0" borderId="0" xfId="28" applyAlignment="1" applyProtection="1">
      <alignment vertical="top"/>
    </xf>
    <xf numFmtId="0" fontId="49" fillId="0" borderId="30" xfId="28" applyFont="1" applyBorder="1" applyAlignment="1" applyProtection="1">
      <alignment horizontal="left"/>
    </xf>
    <xf numFmtId="0" fontId="9" fillId="0" borderId="30" xfId="28" applyFont="1" applyBorder="1" applyAlignment="1" applyProtection="1">
      <alignment wrapText="1"/>
    </xf>
    <xf numFmtId="0" fontId="50" fillId="0" borderId="30" xfId="28" applyFont="1" applyBorder="1" applyAlignment="1">
      <alignment horizontal="left" wrapText="1"/>
      <protection locked="0"/>
    </xf>
    <xf numFmtId="2" fontId="8" fillId="0" borderId="30" xfId="28" applyNumberFormat="1" applyFont="1" applyBorder="1" applyAlignment="1">
      <alignment horizontal="right"/>
      <protection locked="0"/>
    </xf>
    <xf numFmtId="0" fontId="52" fillId="0" borderId="0" xfId="28" applyFont="1" applyAlignment="1">
      <alignment horizontal="left" vertical="center"/>
      <protection locked="0"/>
    </xf>
    <xf numFmtId="0" fontId="11" fillId="0" borderId="0" xfId="28" applyAlignment="1">
      <alignment horizontal="left" vertical="center"/>
      <protection locked="0"/>
    </xf>
    <xf numFmtId="0" fontId="53" fillId="0" borderId="0" xfId="28" applyFont="1" applyAlignment="1">
      <alignment horizontal="left" vertical="center"/>
      <protection locked="0"/>
    </xf>
    <xf numFmtId="0" fontId="53" fillId="0" borderId="0" xfId="28" applyFont="1" applyAlignment="1">
      <alignment horizontal="left" vertical="top"/>
      <protection locked="0"/>
    </xf>
    <xf numFmtId="0" fontId="49" fillId="0" borderId="30" xfId="28" applyFont="1" applyBorder="1" applyAlignment="1" applyProtection="1"/>
    <xf numFmtId="39" fontId="8" fillId="0" borderId="30" xfId="28" applyNumberFormat="1" applyFont="1" applyBorder="1" applyAlignment="1">
      <alignment horizontal="right"/>
      <protection locked="0"/>
    </xf>
    <xf numFmtId="0" fontId="60" fillId="0" borderId="0" xfId="28" applyFont="1" applyAlignment="1">
      <alignment horizontal="left" vertical="center"/>
      <protection locked="0"/>
    </xf>
    <xf numFmtId="0" fontId="11" fillId="0" borderId="0" xfId="28" applyAlignment="1">
      <alignment horizontal="left" vertical="top"/>
      <protection locked="0"/>
    </xf>
    <xf numFmtId="169" fontId="28" fillId="0" borderId="30" xfId="3" applyNumberFormat="1" applyFont="1" applyBorder="1" applyAlignment="1" applyProtection="1">
      <alignment horizontal="right"/>
      <protection locked="0"/>
    </xf>
    <xf numFmtId="169" fontId="8" fillId="0" borderId="30" xfId="3" applyNumberFormat="1" applyFont="1" applyBorder="1" applyAlignment="1" applyProtection="1">
      <alignment horizontal="right" wrapText="1"/>
      <protection locked="0"/>
    </xf>
    <xf numFmtId="39" fontId="8" fillId="0" borderId="30" xfId="28" applyNumberFormat="1" applyFont="1" applyBorder="1" applyAlignment="1">
      <alignment horizontal="center"/>
      <protection locked="0"/>
    </xf>
    <xf numFmtId="0" fontId="63" fillId="0" borderId="0" xfId="33" applyFill="1" applyAlignment="1" applyProtection="1">
      <alignment horizontal="left" vertical="top"/>
      <protection locked="0"/>
    </xf>
    <xf numFmtId="49" fontId="8" fillId="0" borderId="30" xfId="28" applyNumberFormat="1" applyFont="1" applyBorder="1" applyAlignment="1">
      <alignment horizontal="right"/>
      <protection locked="0"/>
    </xf>
    <xf numFmtId="49" fontId="8" fillId="0" borderId="30" xfId="28" applyNumberFormat="1" applyFont="1" applyBorder="1" applyAlignment="1">
      <alignment horizontal="left" wrapText="1"/>
      <protection locked="0"/>
    </xf>
    <xf numFmtId="0" fontId="37" fillId="0" borderId="30" xfId="28" applyFont="1" applyBorder="1" applyAlignment="1">
      <alignment horizontal="left" wrapText="1"/>
      <protection locked="0"/>
    </xf>
    <xf numFmtId="4" fontId="8" fillId="0" borderId="30" xfId="28" applyNumberFormat="1" applyFont="1" applyBorder="1" applyAlignment="1">
      <alignment horizontal="right"/>
      <protection locked="0"/>
    </xf>
    <xf numFmtId="0" fontId="80" fillId="0" borderId="0" xfId="28" applyFont="1" applyAlignment="1">
      <alignment horizontal="left" vertical="center"/>
      <protection locked="0"/>
    </xf>
    <xf numFmtId="0" fontId="11" fillId="0" borderId="0" xfId="28" applyAlignment="1" applyProtection="1"/>
    <xf numFmtId="0" fontId="8" fillId="0" borderId="30" xfId="28" applyFont="1" applyBorder="1" applyAlignment="1">
      <alignment horizontal="left" wrapText="1"/>
      <protection locked="0"/>
    </xf>
    <xf numFmtId="2" fontId="81" fillId="0" borderId="0" xfId="28" applyNumberFormat="1" applyFont="1" applyAlignment="1">
      <alignment horizontal="left" vertical="center"/>
      <protection locked="0"/>
    </xf>
    <xf numFmtId="49" fontId="66" fillId="0" borderId="30" xfId="28" applyNumberFormat="1" applyFont="1" applyBorder="1" applyAlignment="1">
      <alignment horizontal="right"/>
      <protection locked="0"/>
    </xf>
    <xf numFmtId="49" fontId="66" fillId="0" borderId="30" xfId="28" applyNumberFormat="1" applyFont="1" applyBorder="1" applyAlignment="1">
      <alignment horizontal="left" wrapText="1"/>
      <protection locked="0"/>
    </xf>
    <xf numFmtId="0" fontId="66" fillId="0" borderId="30" xfId="28" applyFont="1" applyBorder="1" applyAlignment="1">
      <alignment horizontal="left" wrapText="1"/>
      <protection locked="0"/>
    </xf>
    <xf numFmtId="0" fontId="28" fillId="0" borderId="30" xfId="28" applyFont="1" applyBorder="1" applyAlignment="1">
      <alignment horizontal="left" wrapText="1"/>
      <protection locked="0"/>
    </xf>
    <xf numFmtId="167" fontId="28" fillId="0" borderId="30" xfId="28" applyNumberFormat="1" applyFont="1" applyBorder="1" applyAlignment="1">
      <alignment horizontal="right" wrapText="1"/>
      <protection locked="0"/>
    </xf>
    <xf numFmtId="0" fontId="11" fillId="0" borderId="30" xfId="28" applyBorder="1" applyAlignment="1">
      <alignment horizontal="left" vertical="top"/>
      <protection locked="0"/>
    </xf>
    <xf numFmtId="169" fontId="82" fillId="0" borderId="0" xfId="28" applyNumberFormat="1" applyFont="1" applyAlignment="1">
      <alignment horizontal="left" vertical="top"/>
      <protection locked="0"/>
    </xf>
    <xf numFmtId="0" fontId="80" fillId="0" borderId="0" xfId="28" applyFont="1" applyAlignment="1">
      <alignment horizontal="left" vertical="top"/>
      <protection locked="0"/>
    </xf>
    <xf numFmtId="0" fontId="80" fillId="0" borderId="0" xfId="28" applyFont="1" applyAlignment="1" applyProtection="1"/>
    <xf numFmtId="0" fontId="82" fillId="0" borderId="0" xfId="28" applyFont="1" applyAlignment="1">
      <alignment horizontal="left" vertical="top"/>
      <protection locked="0"/>
    </xf>
    <xf numFmtId="49" fontId="72" fillId="0" borderId="30" xfId="28" applyNumberFormat="1" applyFont="1" applyBorder="1" applyAlignment="1">
      <alignment horizontal="right"/>
      <protection locked="0"/>
    </xf>
    <xf numFmtId="0" fontId="72" fillId="0" borderId="30" xfId="28" applyFont="1" applyBorder="1" applyAlignment="1">
      <alignment horizontal="left" wrapText="1"/>
      <protection locked="0"/>
    </xf>
    <xf numFmtId="167" fontId="28" fillId="0" borderId="30" xfId="28" applyNumberFormat="1" applyFont="1" applyBorder="1" applyAlignment="1">
      <alignment horizontal="right"/>
      <protection locked="0"/>
    </xf>
    <xf numFmtId="4" fontId="28" fillId="5" borderId="30" xfId="28" applyNumberFormat="1" applyFont="1" applyFill="1" applyBorder="1" applyAlignment="1">
      <alignment horizontal="right"/>
      <protection locked="0"/>
    </xf>
    <xf numFmtId="49" fontId="28" fillId="0" borderId="30" xfId="28" applyNumberFormat="1" applyFont="1" applyBorder="1" applyAlignment="1">
      <alignment horizontal="right"/>
      <protection locked="0"/>
    </xf>
    <xf numFmtId="0" fontId="88" fillId="0" borderId="0" xfId="33" applyFont="1" applyFill="1" applyAlignment="1" applyProtection="1">
      <alignment vertical="center"/>
    </xf>
    <xf numFmtId="39" fontId="8" fillId="0" borderId="30" xfId="25" applyNumberFormat="1" applyFont="1" applyBorder="1" applyAlignment="1" applyProtection="1">
      <alignment horizontal="right"/>
      <protection locked="0"/>
    </xf>
    <xf numFmtId="0" fontId="89" fillId="0" borderId="0" xfId="34" applyFont="1" applyAlignment="1" applyProtection="1">
      <alignment horizontal="left" vertical="top"/>
      <protection locked="0"/>
    </xf>
    <xf numFmtId="169" fontId="28" fillId="0" borderId="30" xfId="32" applyNumberFormat="1" applyFont="1" applyBorder="1" applyAlignment="1" applyProtection="1">
      <alignment horizontal="right"/>
      <protection locked="0"/>
    </xf>
    <xf numFmtId="0" fontId="7" fillId="0" borderId="0" xfId="25" applyAlignment="1">
      <alignment horizontal="left" vertical="center"/>
    </xf>
    <xf numFmtId="0" fontId="10" fillId="0" borderId="0" xfId="3" applyAlignment="1">
      <alignment horizontal="left"/>
    </xf>
    <xf numFmtId="169" fontId="28" fillId="0" borderId="30" xfId="25" applyNumberFormat="1" applyFont="1" applyBorder="1" applyAlignment="1" applyProtection="1">
      <alignment horizontal="right"/>
      <protection locked="0"/>
    </xf>
    <xf numFmtId="0" fontId="26" fillId="0" borderId="0" xfId="34" applyFont="1" applyAlignment="1" applyProtection="1">
      <alignment horizontal="left" vertical="top"/>
      <protection locked="0"/>
    </xf>
    <xf numFmtId="0" fontId="10" fillId="0" borderId="0" xfId="3" applyAlignment="1">
      <alignment horizontal="right"/>
    </xf>
    <xf numFmtId="169" fontId="28" fillId="0" borderId="30" xfId="34" applyNumberFormat="1" applyFont="1" applyBorder="1" applyAlignment="1" applyProtection="1">
      <alignment horizontal="right"/>
      <protection locked="0"/>
    </xf>
    <xf numFmtId="169" fontId="37" fillId="0" borderId="30" xfId="3" applyNumberFormat="1" applyFont="1" applyBorder="1" applyAlignment="1" applyProtection="1">
      <alignment horizontal="right"/>
      <protection locked="0"/>
    </xf>
    <xf numFmtId="0" fontId="28" fillId="0" borderId="30" xfId="40" applyFont="1" applyBorder="1" applyAlignment="1">
      <alignment horizontal="left" wrapText="1"/>
      <protection locked="0"/>
    </xf>
    <xf numFmtId="49" fontId="8" fillId="0" borderId="30" xfId="3" applyNumberFormat="1" applyFont="1" applyBorder="1" applyAlignment="1" applyProtection="1">
      <alignment horizontal="right" wrapText="1"/>
      <protection locked="0"/>
    </xf>
    <xf numFmtId="49" fontId="8" fillId="0" borderId="30" xfId="3" applyNumberFormat="1" applyFont="1" applyBorder="1" applyAlignment="1" applyProtection="1">
      <alignment horizontal="left" wrapText="1"/>
      <protection locked="0"/>
    </xf>
    <xf numFmtId="0" fontId="91" fillId="0" borderId="0" xfId="41" applyFont="1" applyFill="1" applyBorder="1" applyAlignment="1" applyProtection="1">
      <alignment horizontal="left"/>
      <protection locked="0"/>
    </xf>
    <xf numFmtId="0" fontId="92" fillId="0" borderId="0" xfId="3" applyFont="1" applyAlignment="1" applyProtection="1">
      <alignment vertical="top"/>
      <protection locked="0"/>
    </xf>
    <xf numFmtId="0" fontId="92" fillId="0" borderId="0" xfId="3" applyFont="1" applyAlignment="1" applyProtection="1">
      <alignment vertical="top" wrapText="1"/>
      <protection locked="0"/>
    </xf>
    <xf numFmtId="0" fontId="28" fillId="0" borderId="0" xfId="3" applyFont="1" applyAlignment="1" applyProtection="1">
      <alignment horizontal="left" wrapText="1"/>
      <protection locked="0"/>
    </xf>
    <xf numFmtId="0" fontId="8" fillId="0" borderId="0" xfId="3" applyFont="1" applyAlignment="1" applyProtection="1">
      <alignment horizontal="left" wrapText="1"/>
      <protection locked="0"/>
    </xf>
    <xf numFmtId="2" fontId="8" fillId="0" borderId="0" xfId="3" applyNumberFormat="1" applyFont="1" applyAlignment="1" applyProtection="1">
      <alignment horizontal="right"/>
      <protection locked="0"/>
    </xf>
    <xf numFmtId="39" fontId="8" fillId="0" borderId="0" xfId="3" applyNumberFormat="1" applyFont="1" applyAlignment="1" applyProtection="1">
      <alignment horizontal="right"/>
      <protection locked="0"/>
    </xf>
    <xf numFmtId="39" fontId="8" fillId="0" borderId="0" xfId="3" applyNumberFormat="1" applyFont="1" applyAlignment="1" applyProtection="1">
      <alignment horizontal="center"/>
      <protection locked="0"/>
    </xf>
    <xf numFmtId="0" fontId="93" fillId="0" borderId="0" xfId="3" applyFont="1" applyAlignment="1" applyProtection="1">
      <alignment horizontal="left" vertical="center" textRotation="90" wrapText="1"/>
      <protection locked="0"/>
    </xf>
    <xf numFmtId="49" fontId="85" fillId="0" borderId="30" xfId="3" applyNumberFormat="1" applyFont="1" applyBorder="1" applyAlignment="1" applyProtection="1">
      <alignment horizontal="right"/>
      <protection locked="0"/>
    </xf>
    <xf numFmtId="49" fontId="85" fillId="0" borderId="30" xfId="3" applyNumberFormat="1" applyFont="1" applyBorder="1" applyAlignment="1" applyProtection="1">
      <alignment horizontal="left" wrapText="1"/>
      <protection locked="0"/>
    </xf>
    <xf numFmtId="0" fontId="85" fillId="0" borderId="30" xfId="3" applyFont="1" applyBorder="1" applyAlignment="1" applyProtection="1">
      <alignment horizontal="left" wrapText="1"/>
      <protection locked="0"/>
    </xf>
    <xf numFmtId="167" fontId="66" fillId="0" borderId="30" xfId="3" applyNumberFormat="1" applyFont="1" applyBorder="1" applyAlignment="1" applyProtection="1">
      <alignment horizontal="right"/>
      <protection locked="0"/>
    </xf>
    <xf numFmtId="4" fontId="8" fillId="0" borderId="30" xfId="3" applyNumberFormat="1" applyFont="1" applyBorder="1" applyAlignment="1" applyProtection="1">
      <alignment horizontal="right"/>
      <protection locked="0"/>
    </xf>
    <xf numFmtId="0" fontId="94" fillId="0" borderId="30" xfId="3" applyFont="1" applyBorder="1" applyAlignment="1" applyProtection="1">
      <alignment horizontal="right" vertical="center"/>
      <protection locked="0"/>
    </xf>
    <xf numFmtId="0" fontId="95" fillId="0" borderId="0" xfId="3" applyFont="1" applyAlignment="1" applyProtection="1">
      <alignment horizontal="left" vertical="center"/>
      <protection locked="0"/>
    </xf>
    <xf numFmtId="49" fontId="72" fillId="0" borderId="30" xfId="3" applyNumberFormat="1" applyFont="1" applyBorder="1" applyAlignment="1" applyProtection="1">
      <alignment horizontal="right"/>
      <protection locked="0"/>
    </xf>
    <xf numFmtId="4" fontId="72" fillId="5" borderId="30" xfId="3" applyNumberFormat="1" applyFont="1" applyFill="1" applyBorder="1" applyAlignment="1" applyProtection="1">
      <alignment horizontal="right"/>
      <protection locked="0"/>
    </xf>
    <xf numFmtId="0" fontId="11" fillId="0" borderId="0" xfId="3" applyFont="1" applyAlignment="1" applyProtection="1">
      <alignment horizontal="right" vertical="center"/>
      <protection locked="0"/>
    </xf>
    <xf numFmtId="0" fontId="11" fillId="0" borderId="0" xfId="3" applyFont="1" applyAlignment="1" applyProtection="1">
      <alignment horizontal="left" vertical="center"/>
      <protection locked="0"/>
    </xf>
    <xf numFmtId="0" fontId="8" fillId="0" borderId="0" xfId="3" applyFont="1" applyAlignment="1" applyProtection="1">
      <alignment horizontal="left" vertical="center" wrapText="1"/>
      <protection locked="0"/>
    </xf>
    <xf numFmtId="2" fontId="8" fillId="0" borderId="0" xfId="3" applyNumberFormat="1" applyFont="1" applyAlignment="1" applyProtection="1">
      <alignment horizontal="right" vertical="center"/>
      <protection locked="0"/>
    </xf>
    <xf numFmtId="49" fontId="85" fillId="0" borderId="30" xfId="25" applyNumberFormat="1" applyFont="1" applyBorder="1" applyAlignment="1" applyProtection="1">
      <alignment horizontal="left" wrapText="1"/>
      <protection locked="0"/>
    </xf>
    <xf numFmtId="2" fontId="72" fillId="5" borderId="30" xfId="25" applyNumberFormat="1" applyFont="1" applyFill="1" applyBorder="1" applyAlignment="1" applyProtection="1">
      <alignment horizontal="right"/>
      <protection locked="0"/>
    </xf>
    <xf numFmtId="0" fontId="11" fillId="0" borderId="0" xfId="25" applyFont="1" applyAlignment="1" applyProtection="1">
      <alignment horizontal="right" vertical="center"/>
      <protection locked="0"/>
    </xf>
    <xf numFmtId="0" fontId="11" fillId="0" borderId="0" xfId="25" applyFont="1" applyAlignment="1" applyProtection="1">
      <alignment horizontal="left" vertical="center"/>
      <protection locked="0"/>
    </xf>
    <xf numFmtId="37" fontId="8" fillId="0" borderId="0" xfId="25" applyNumberFormat="1" applyFont="1" applyAlignment="1" applyProtection="1">
      <alignment horizontal="right" vertical="center"/>
      <protection locked="0"/>
    </xf>
    <xf numFmtId="0" fontId="8" fillId="0" borderId="0" xfId="25" applyFont="1" applyAlignment="1" applyProtection="1">
      <alignment horizontal="left" vertical="center" wrapText="1"/>
      <protection locked="0"/>
    </xf>
    <xf numFmtId="0" fontId="28" fillId="0" borderId="0" xfId="25" applyFont="1" applyAlignment="1" applyProtection="1">
      <alignment horizontal="left" vertical="center" wrapText="1"/>
      <protection locked="0"/>
    </xf>
    <xf numFmtId="0" fontId="11" fillId="0" borderId="0" xfId="42" applyFont="1" applyAlignment="1" applyProtection="1">
      <alignment horizontal="left" vertical="top"/>
      <protection locked="0"/>
    </xf>
    <xf numFmtId="0" fontId="60" fillId="0" borderId="0" xfId="25" applyFont="1" applyAlignment="1" applyProtection="1">
      <alignment horizontal="right" vertical="center"/>
      <protection locked="0"/>
    </xf>
    <xf numFmtId="0" fontId="8" fillId="0" borderId="0" xfId="3" applyFont="1" applyAlignment="1" applyProtection="1">
      <alignment horizontal="left" vertical="center"/>
      <protection locked="0"/>
    </xf>
    <xf numFmtId="0" fontId="96" fillId="0" borderId="30" xfId="3" applyFont="1" applyBorder="1" applyAlignment="1" applyProtection="1">
      <alignment horizontal="left" wrapText="1"/>
      <protection locked="0"/>
    </xf>
    <xf numFmtId="4" fontId="96" fillId="0" borderId="30" xfId="3" applyNumberFormat="1" applyFont="1" applyBorder="1" applyAlignment="1" applyProtection="1">
      <alignment horizontal="right"/>
      <protection locked="0"/>
    </xf>
    <xf numFmtId="0" fontId="10" fillId="0" borderId="30" xfId="3" applyBorder="1" applyAlignment="1" applyProtection="1">
      <alignment horizontal="left" vertical="top"/>
      <protection locked="0"/>
    </xf>
    <xf numFmtId="0" fontId="97" fillId="0" borderId="0" xfId="3" applyFont="1" applyAlignment="1" applyProtection="1">
      <alignment horizontal="left" vertical="center"/>
      <protection locked="0"/>
    </xf>
    <xf numFmtId="0" fontId="97" fillId="0" borderId="0" xfId="3" applyFont="1" applyAlignment="1" applyProtection="1">
      <alignment horizontal="center" vertical="center"/>
      <protection locked="0"/>
    </xf>
    <xf numFmtId="0" fontId="28" fillId="0" borderId="30" xfId="43" applyFont="1" applyBorder="1" applyAlignment="1" applyProtection="1">
      <alignment horizontal="left" wrapText="1"/>
      <protection locked="0"/>
    </xf>
    <xf numFmtId="4" fontId="54" fillId="0" borderId="30" xfId="3" applyNumberFormat="1" applyFont="1" applyBorder="1" applyAlignment="1" applyProtection="1">
      <alignment horizontal="right"/>
      <protection locked="0"/>
    </xf>
    <xf numFmtId="39" fontId="83" fillId="0" borderId="0" xfId="3" applyNumberFormat="1" applyFont="1" applyAlignment="1" applyProtection="1">
      <alignment horizontal="left" vertical="center"/>
      <protection locked="0"/>
    </xf>
    <xf numFmtId="0" fontId="64" fillId="0" borderId="0" xfId="3" applyFont="1" applyAlignment="1" applyProtection="1">
      <alignment horizontal="right" vertical="top"/>
      <protection locked="0"/>
    </xf>
    <xf numFmtId="37" fontId="8" fillId="0" borderId="0" xfId="3" applyNumberFormat="1" applyFont="1" applyAlignment="1" applyProtection="1">
      <alignment horizontal="right"/>
      <protection locked="0"/>
    </xf>
    <xf numFmtId="0" fontId="57" fillId="0" borderId="30" xfId="3" applyFont="1" applyBorder="1" applyAlignment="1" applyProtection="1">
      <alignment horizontal="left" wrapText="1"/>
      <protection locked="0"/>
    </xf>
    <xf numFmtId="167" fontId="57" fillId="0" borderId="30" xfId="3" applyNumberFormat="1" applyFont="1" applyBorder="1" applyAlignment="1" applyProtection="1">
      <alignment horizontal="right"/>
      <protection locked="0"/>
    </xf>
    <xf numFmtId="0" fontId="71" fillId="0" borderId="0" xfId="32" applyFont="1" applyAlignment="1" applyProtection="1">
      <alignment horizontal="left" vertical="center"/>
      <protection locked="0"/>
    </xf>
    <xf numFmtId="0" fontId="51" fillId="0" borderId="0" xfId="32" applyAlignment="1" applyProtection="1">
      <alignment horizontal="left" vertical="center"/>
      <protection locked="0"/>
    </xf>
    <xf numFmtId="0" fontId="7" fillId="0" borderId="0" xfId="25" applyAlignment="1" applyProtection="1">
      <alignment horizontal="left" vertical="center"/>
      <protection locked="0"/>
    </xf>
    <xf numFmtId="0" fontId="28" fillId="0" borderId="30" xfId="44" applyFont="1" applyBorder="1" applyAlignment="1">
      <alignment horizontal="left" wrapText="1"/>
      <protection locked="0"/>
    </xf>
    <xf numFmtId="49" fontId="8" fillId="0" borderId="30" xfId="43" applyNumberFormat="1" applyFont="1" applyBorder="1" applyAlignment="1" applyProtection="1">
      <alignment horizontal="right" wrapText="1"/>
      <protection locked="0"/>
    </xf>
    <xf numFmtId="49" fontId="8" fillId="0" borderId="30" xfId="43" applyNumberFormat="1" applyFont="1" applyBorder="1" applyAlignment="1" applyProtection="1">
      <alignment horizontal="left" wrapText="1"/>
      <protection locked="0"/>
    </xf>
    <xf numFmtId="39" fontId="8" fillId="0" borderId="30" xfId="43" applyNumberFormat="1" applyFont="1" applyBorder="1" applyAlignment="1" applyProtection="1">
      <alignment horizontal="right"/>
      <protection locked="0"/>
    </xf>
    <xf numFmtId="39" fontId="8" fillId="0" borderId="30" xfId="43" applyNumberFormat="1" applyFont="1" applyBorder="1" applyAlignment="1" applyProtection="1">
      <alignment horizontal="center"/>
      <protection locked="0"/>
    </xf>
    <xf numFmtId="0" fontId="98" fillId="0" borderId="0" xfId="28" applyFont="1" applyAlignment="1">
      <alignment horizontal="left" vertical="center"/>
      <protection locked="0"/>
    </xf>
    <xf numFmtId="49" fontId="7" fillId="0" borderId="30" xfId="43" applyNumberFormat="1" applyBorder="1" applyAlignment="1" applyProtection="1">
      <alignment vertical="top"/>
      <protection locked="0"/>
    </xf>
    <xf numFmtId="0" fontId="7" fillId="0" borderId="30" xfId="43" applyBorder="1" applyAlignment="1" applyProtection="1">
      <alignment vertical="top"/>
      <protection locked="0"/>
    </xf>
    <xf numFmtId="167" fontId="28" fillId="0" borderId="30" xfId="43" applyNumberFormat="1" applyFont="1" applyBorder="1" applyAlignment="1" applyProtection="1">
      <alignment horizontal="right"/>
      <protection locked="0"/>
    </xf>
    <xf numFmtId="0" fontId="94" fillId="0" borderId="30" xfId="43" applyFont="1" applyBorder="1" applyAlignment="1" applyProtection="1">
      <alignment horizontal="right" vertical="center"/>
      <protection locked="0"/>
    </xf>
    <xf numFmtId="0" fontId="78" fillId="0" borderId="0" xfId="28" applyFont="1" applyAlignment="1">
      <alignment horizontal="left" vertical="center"/>
      <protection locked="0"/>
    </xf>
    <xf numFmtId="49" fontId="54" fillId="0" borderId="30" xfId="40" applyNumberFormat="1" applyFont="1" applyBorder="1" applyAlignment="1">
      <alignment horizontal="right" vertical="center"/>
      <protection locked="0"/>
    </xf>
    <xf numFmtId="0" fontId="54" fillId="0" borderId="30" xfId="40" applyFont="1" applyBorder="1" applyAlignment="1">
      <alignment horizontal="left" vertical="center" wrapText="1"/>
      <protection locked="0"/>
    </xf>
    <xf numFmtId="0" fontId="28" fillId="0" borderId="30" xfId="43" applyFont="1" applyBorder="1" applyAlignment="1" applyProtection="1">
      <alignment horizontal="left" vertical="center" wrapText="1"/>
      <protection locked="0"/>
    </xf>
    <xf numFmtId="0" fontId="8" fillId="0" borderId="30" xfId="28" applyFont="1" applyBorder="1" applyAlignment="1">
      <alignment horizontal="left" vertical="center" wrapText="1"/>
      <protection locked="0"/>
    </xf>
    <xf numFmtId="167" fontId="99" fillId="0" borderId="30" xfId="43" applyNumberFormat="1" applyFont="1" applyBorder="1" applyAlignment="1" applyProtection="1">
      <alignment horizontal="right" vertical="center" wrapText="1"/>
      <protection locked="0"/>
    </xf>
    <xf numFmtId="39" fontId="66" fillId="0" borderId="30" xfId="43" applyNumberFormat="1" applyFont="1" applyBorder="1" applyAlignment="1" applyProtection="1">
      <alignment horizontal="right" vertical="center"/>
      <protection locked="0"/>
    </xf>
    <xf numFmtId="0" fontId="7" fillId="0" borderId="30" xfId="43" applyBorder="1" applyAlignment="1" applyProtection="1">
      <alignment horizontal="left" vertical="center"/>
      <protection locked="0"/>
    </xf>
    <xf numFmtId="0" fontId="7" fillId="0" borderId="0" xfId="43" applyAlignment="1" applyProtection="1">
      <alignment vertical="center"/>
      <protection locked="0"/>
    </xf>
    <xf numFmtId="167" fontId="99" fillId="0" borderId="30" xfId="43" applyNumberFormat="1" applyFont="1" applyBorder="1" applyAlignment="1" applyProtection="1">
      <alignment horizontal="right" wrapText="1"/>
      <protection locked="0"/>
    </xf>
    <xf numFmtId="39" fontId="66" fillId="0" borderId="30" xfId="43" applyNumberFormat="1" applyFont="1" applyBorder="1" applyAlignment="1" applyProtection="1">
      <alignment horizontal="right"/>
      <protection locked="0"/>
    </xf>
    <xf numFmtId="0" fontId="7" fillId="0" borderId="30" xfId="43" applyBorder="1" applyAlignment="1" applyProtection="1">
      <alignment horizontal="left" vertical="top"/>
      <protection locked="0"/>
    </xf>
    <xf numFmtId="0" fontId="7" fillId="0" borderId="0" xfId="43" applyAlignment="1" applyProtection="1">
      <alignment vertical="top"/>
      <protection locked="0"/>
    </xf>
    <xf numFmtId="169" fontId="79" fillId="0" borderId="30" xfId="3" applyNumberFormat="1" applyFont="1" applyBorder="1" applyAlignment="1" applyProtection="1">
      <alignment horizontal="right"/>
      <protection locked="0"/>
    </xf>
    <xf numFmtId="169" fontId="28" fillId="0" borderId="30" xfId="28" applyNumberFormat="1" applyFont="1" applyBorder="1" applyAlignment="1">
      <alignment horizontal="right" wrapText="1"/>
      <protection locked="0"/>
    </xf>
    <xf numFmtId="169" fontId="28" fillId="0" borderId="30" xfId="28" applyNumberFormat="1" applyFont="1" applyBorder="1" applyAlignment="1">
      <alignment horizontal="right"/>
      <protection locked="0"/>
    </xf>
    <xf numFmtId="169" fontId="28" fillId="0" borderId="30" xfId="38" applyNumberFormat="1" applyFont="1" applyBorder="1" applyAlignment="1" applyProtection="1">
      <alignment horizontal="right"/>
      <protection locked="0"/>
    </xf>
    <xf numFmtId="169" fontId="28" fillId="0" borderId="30" xfId="39" applyNumberFormat="1" applyFont="1" applyBorder="1" applyAlignment="1">
      <alignment horizontal="right" wrapText="1"/>
      <protection locked="0"/>
    </xf>
    <xf numFmtId="0" fontId="8" fillId="0" borderId="30" xfId="32" applyFont="1" applyBorder="1" applyAlignment="1" applyProtection="1">
      <alignment horizontal="left" wrapText="1"/>
      <protection locked="0"/>
    </xf>
    <xf numFmtId="0" fontId="11" fillId="0" borderId="0" xfId="28" applyAlignment="1">
      <protection locked="0"/>
    </xf>
    <xf numFmtId="49" fontId="66" fillId="0" borderId="30" xfId="45" applyNumberFormat="1" applyFont="1" applyBorder="1" applyAlignment="1">
      <alignment horizontal="right"/>
      <protection locked="0"/>
    </xf>
    <xf numFmtId="49" fontId="66" fillId="0" borderId="30" xfId="45" applyNumberFormat="1" applyFont="1" applyBorder="1" applyAlignment="1">
      <alignment horizontal="left" wrapText="1"/>
      <protection locked="0"/>
    </xf>
    <xf numFmtId="0" fontId="66" fillId="0" borderId="30" xfId="45" applyFont="1" applyBorder="1" applyAlignment="1">
      <alignment horizontal="left" wrapText="1"/>
      <protection locked="0"/>
    </xf>
    <xf numFmtId="0" fontId="28" fillId="0" borderId="30" xfId="45" applyFont="1" applyBorder="1" applyAlignment="1">
      <alignment horizontal="left" wrapText="1"/>
      <protection locked="0"/>
    </xf>
    <xf numFmtId="167" fontId="28" fillId="0" borderId="30" xfId="45" applyNumberFormat="1" applyFont="1" applyBorder="1" applyAlignment="1">
      <alignment horizontal="right" wrapText="1"/>
      <protection locked="0"/>
    </xf>
    <xf numFmtId="4" fontId="66" fillId="7" borderId="30" xfId="45" applyNumberFormat="1" applyFont="1" applyFill="1" applyBorder="1" applyAlignment="1">
      <alignment horizontal="right"/>
      <protection locked="0"/>
    </xf>
    <xf numFmtId="0" fontId="11" fillId="0" borderId="30" xfId="45" applyFont="1" applyBorder="1" applyAlignment="1">
      <alignment horizontal="center" vertical="center"/>
      <protection locked="0"/>
    </xf>
    <xf numFmtId="0" fontId="31" fillId="0" borderId="0" xfId="45" applyAlignment="1">
      <alignment vertical="top"/>
      <protection locked="0"/>
    </xf>
    <xf numFmtId="0" fontId="31" fillId="0" borderId="0" xfId="45" applyAlignment="1">
      <alignment horizontal="left" vertical="top"/>
      <protection locked="0"/>
    </xf>
    <xf numFmtId="2" fontId="31" fillId="0" borderId="0" xfId="45" applyNumberFormat="1" applyAlignment="1">
      <alignment horizontal="left" vertical="top"/>
      <protection locked="0"/>
    </xf>
    <xf numFmtId="167" fontId="99" fillId="0" borderId="30" xfId="28" applyNumberFormat="1" applyFont="1" applyBorder="1" applyAlignment="1">
      <alignment horizontal="right" wrapText="1"/>
      <protection locked="0"/>
    </xf>
    <xf numFmtId="0" fontId="11" fillId="0" borderId="0" xfId="26" applyFont="1" applyAlignment="1" applyProtection="1">
      <alignment horizontal="left" vertical="center"/>
      <protection locked="0"/>
    </xf>
    <xf numFmtId="4" fontId="28" fillId="5" borderId="30" xfId="45" applyNumberFormat="1" applyFont="1" applyFill="1" applyBorder="1" applyAlignment="1">
      <alignment horizontal="right"/>
      <protection locked="0"/>
    </xf>
    <xf numFmtId="0" fontId="11" fillId="0" borderId="0" xfId="28" applyAlignment="1">
      <alignment vertical="center"/>
      <protection locked="0"/>
    </xf>
    <xf numFmtId="4" fontId="28" fillId="5" borderId="30" xfId="35" applyNumberFormat="1" applyFont="1" applyFill="1" applyBorder="1" applyAlignment="1">
      <alignment horizontal="right"/>
      <protection locked="0"/>
    </xf>
    <xf numFmtId="4" fontId="66" fillId="0" borderId="30" xfId="28" applyNumberFormat="1" applyFont="1" applyBorder="1" applyAlignment="1">
      <alignment horizontal="right"/>
      <protection locked="0"/>
    </xf>
    <xf numFmtId="2" fontId="11" fillId="0" borderId="30" xfId="28" applyNumberFormat="1" applyBorder="1" applyAlignment="1">
      <alignment horizontal="left" vertical="top"/>
      <protection locked="0"/>
    </xf>
    <xf numFmtId="2" fontId="78" fillId="0" borderId="0" xfId="28" applyNumberFormat="1" applyFont="1" applyAlignment="1">
      <alignment vertical="center"/>
      <protection locked="0"/>
    </xf>
    <xf numFmtId="2" fontId="11" fillId="0" borderId="0" xfId="28" applyNumberFormat="1" applyAlignment="1">
      <alignment horizontal="left" vertical="center"/>
      <protection locked="0"/>
    </xf>
    <xf numFmtId="2" fontId="11" fillId="0" borderId="0" xfId="28" applyNumberFormat="1" applyAlignment="1">
      <alignment horizontal="left" vertical="top"/>
      <protection locked="0"/>
    </xf>
    <xf numFmtId="4" fontId="66" fillId="7" borderId="30" xfId="28" applyNumberFormat="1" applyFont="1" applyFill="1" applyBorder="1" applyAlignment="1">
      <alignment horizontal="right"/>
      <protection locked="0"/>
    </xf>
    <xf numFmtId="4" fontId="28" fillId="5" borderId="30" xfId="43" applyNumberFormat="1" applyFont="1" applyFill="1" applyBorder="1" applyAlignment="1" applyProtection="1">
      <alignment horizontal="right"/>
      <protection locked="0"/>
    </xf>
    <xf numFmtId="2" fontId="11" fillId="0" borderId="0" xfId="28" applyNumberFormat="1" applyAlignment="1">
      <alignment vertical="top"/>
      <protection locked="0"/>
    </xf>
    <xf numFmtId="0" fontId="82" fillId="0" borderId="30" xfId="28" applyFont="1" applyBorder="1" applyAlignment="1">
      <alignment horizontal="right" vertical="center"/>
      <protection locked="0"/>
    </xf>
    <xf numFmtId="2" fontId="11" fillId="0" borderId="30" xfId="28" applyNumberFormat="1" applyBorder="1" applyAlignment="1">
      <alignment horizontal="right" vertical="center"/>
      <protection locked="0"/>
    </xf>
    <xf numFmtId="0" fontId="100" fillId="0" borderId="0" xfId="28" applyFont="1" applyAlignment="1">
      <alignment horizontal="left" vertical="center"/>
      <protection locked="0"/>
    </xf>
    <xf numFmtId="0" fontId="32" fillId="0" borderId="0" xfId="25" applyFont="1" applyAlignment="1">
      <alignment vertical="center"/>
    </xf>
    <xf numFmtId="0" fontId="60" fillId="0" borderId="0" xfId="28" applyFont="1" applyAlignment="1">
      <alignment horizontal="left" vertical="top"/>
      <protection locked="0"/>
    </xf>
    <xf numFmtId="0" fontId="101" fillId="0" borderId="0" xfId="28" applyFont="1" applyAlignment="1">
      <alignment horizontal="left" vertical="top"/>
      <protection locked="0"/>
    </xf>
    <xf numFmtId="0" fontId="23" fillId="0" borderId="0" xfId="34" applyAlignment="1">
      <alignment vertical="center"/>
    </xf>
    <xf numFmtId="0" fontId="35" fillId="0" borderId="0" xfId="12" applyFont="1" applyAlignment="1" applyProtection="1">
      <alignment horizontal="left"/>
    </xf>
    <xf numFmtId="0" fontId="11" fillId="0" borderId="0" xfId="25" applyFont="1" applyAlignment="1" applyProtection="1">
      <alignment horizontal="left" vertical="top"/>
      <protection locked="0"/>
    </xf>
    <xf numFmtId="0" fontId="90" fillId="0" borderId="0" xfId="41" applyFill="1"/>
    <xf numFmtId="0" fontId="31" fillId="0" borderId="0" xfId="46" applyAlignment="1">
      <alignment vertical="top"/>
      <protection locked="0"/>
    </xf>
    <xf numFmtId="0" fontId="36" fillId="0" borderId="0" xfId="29" applyFont="1" applyAlignment="1">
      <alignment horizontal="left"/>
    </xf>
    <xf numFmtId="0" fontId="43" fillId="0" borderId="0" xfId="29" applyFont="1" applyAlignment="1">
      <alignment horizontal="left"/>
    </xf>
    <xf numFmtId="0" fontId="36" fillId="0" borderId="0" xfId="29" applyFont="1" applyAlignment="1">
      <alignment horizontal="center"/>
    </xf>
    <xf numFmtId="0" fontId="44" fillId="0" borderId="0" xfId="29" applyFont="1" applyAlignment="1">
      <alignment horizontal="right" vertical="top"/>
    </xf>
    <xf numFmtId="0" fontId="45" fillId="0" borderId="31" xfId="29" applyFont="1" applyBorder="1" applyAlignment="1">
      <alignment horizontal="center" vertical="center" wrapText="1"/>
    </xf>
    <xf numFmtId="0" fontId="45" fillId="0" borderId="12" xfId="29" applyFont="1" applyBorder="1" applyAlignment="1">
      <alignment horizontal="center" vertical="center" wrapText="1"/>
    </xf>
    <xf numFmtId="37" fontId="8" fillId="7" borderId="37" xfId="29" applyNumberFormat="1" applyFont="1" applyFill="1" applyBorder="1" applyAlignment="1" applyProtection="1">
      <alignment horizontal="right"/>
      <protection locked="0"/>
    </xf>
    <xf numFmtId="0" fontId="37" fillId="0" borderId="0" xfId="3" applyFont="1" applyAlignment="1" applyProtection="1">
      <alignment horizontal="left" wrapText="1"/>
      <protection locked="0"/>
    </xf>
    <xf numFmtId="0" fontId="37" fillId="7" borderId="37" xfId="29" applyFont="1" applyFill="1" applyBorder="1" applyAlignment="1" applyProtection="1">
      <alignment horizontal="left" wrapText="1"/>
      <protection locked="0"/>
    </xf>
    <xf numFmtId="2" fontId="37" fillId="0" borderId="37" xfId="29" applyNumberFormat="1" applyFont="1" applyBorder="1" applyAlignment="1" applyProtection="1">
      <alignment horizontal="right"/>
      <protection locked="0"/>
    </xf>
    <xf numFmtId="39" fontId="37" fillId="0" borderId="37" xfId="29" applyNumberFormat="1" applyFont="1" applyBorder="1" applyAlignment="1" applyProtection="1">
      <alignment horizontal="right"/>
      <protection locked="0"/>
    </xf>
    <xf numFmtId="39" fontId="48" fillId="7" borderId="37" xfId="29" applyNumberFormat="1" applyFont="1" applyFill="1" applyBorder="1" applyAlignment="1" applyProtection="1">
      <alignment horizontal="center"/>
      <protection locked="0"/>
    </xf>
    <xf numFmtId="0" fontId="37" fillId="7" borderId="30" xfId="3" applyFont="1" applyFill="1" applyBorder="1" applyAlignment="1">
      <alignment horizontal="left" wrapText="1"/>
    </xf>
    <xf numFmtId="0" fontId="10" fillId="0" borderId="0" xfId="3" applyAlignment="1" applyProtection="1">
      <alignment vertical="top"/>
      <protection locked="0"/>
    </xf>
    <xf numFmtId="49" fontId="8" fillId="0" borderId="30" xfId="27" applyNumberFormat="1" applyFont="1" applyBorder="1" applyAlignment="1">
      <alignment horizontal="right"/>
      <protection locked="0"/>
    </xf>
    <xf numFmtId="0" fontId="8" fillId="0" borderId="30" xfId="38" applyFont="1" applyBorder="1" applyAlignment="1" applyProtection="1">
      <alignment horizontal="left" wrapText="1"/>
      <protection locked="0"/>
    </xf>
    <xf numFmtId="0" fontId="8" fillId="0" borderId="30" xfId="27" applyFont="1" applyBorder="1" applyAlignment="1">
      <alignment horizontal="left" wrapText="1"/>
      <protection locked="0"/>
    </xf>
    <xf numFmtId="167" fontId="8" fillId="0" borderId="30" xfId="27" applyNumberFormat="1" applyFont="1" applyBorder="1" applyAlignment="1">
      <alignment horizontal="right" wrapText="1"/>
      <protection locked="0"/>
    </xf>
    <xf numFmtId="4" fontId="8" fillId="0" borderId="30" xfId="27" applyNumberFormat="1" applyFont="1" applyBorder="1" applyAlignment="1">
      <alignment horizontal="right"/>
      <protection locked="0"/>
    </xf>
    <xf numFmtId="0" fontId="69" fillId="0" borderId="0" xfId="41" applyFont="1" applyFill="1" applyAlignment="1" applyProtection="1">
      <alignment vertical="center"/>
    </xf>
    <xf numFmtId="49" fontId="8" fillId="0" borderId="30" xfId="38" applyNumberFormat="1" applyFont="1" applyBorder="1" applyAlignment="1" applyProtection="1">
      <alignment horizontal="right"/>
      <protection locked="0"/>
    </xf>
    <xf numFmtId="4" fontId="8" fillId="0" borderId="30" xfId="38" applyNumberFormat="1" applyFont="1" applyBorder="1" applyAlignment="1" applyProtection="1">
      <alignment horizontal="right"/>
      <protection locked="0"/>
    </xf>
    <xf numFmtId="49" fontId="8" fillId="0" borderId="30" xfId="3" applyNumberFormat="1" applyFont="1" applyBorder="1" applyAlignment="1">
      <alignment horizontal="right"/>
    </xf>
    <xf numFmtId="167" fontId="8" fillId="0" borderId="30" xfId="47" applyNumberFormat="1" applyFont="1" applyBorder="1" applyAlignment="1">
      <alignment horizontal="right"/>
      <protection locked="0"/>
    </xf>
    <xf numFmtId="4" fontId="8" fillId="0" borderId="30" xfId="3" applyNumberFormat="1" applyFont="1" applyBorder="1" applyAlignment="1">
      <alignment horizontal="right"/>
    </xf>
    <xf numFmtId="0" fontId="10" fillId="7" borderId="0" xfId="3" applyFill="1" applyAlignment="1" applyProtection="1">
      <alignment horizontal="left" vertical="top"/>
      <protection locked="0"/>
    </xf>
    <xf numFmtId="0" fontId="68" fillId="0" borderId="0" xfId="32" applyFont="1" applyAlignment="1" applyProtection="1">
      <alignment horizontal="left" vertical="center"/>
      <protection locked="0"/>
    </xf>
    <xf numFmtId="39" fontId="28" fillId="0" borderId="30" xfId="3" applyNumberFormat="1" applyFont="1" applyBorder="1" applyAlignment="1" applyProtection="1">
      <alignment horizontal="right"/>
      <protection locked="0"/>
    </xf>
    <xf numFmtId="169" fontId="98" fillId="0" borderId="0" xfId="32" applyNumberFormat="1" applyFont="1" applyAlignment="1" applyProtection="1">
      <alignment horizontal="right" vertical="center"/>
      <protection locked="0"/>
    </xf>
    <xf numFmtId="0" fontId="10" fillId="0" borderId="30" xfId="3" applyBorder="1" applyAlignment="1" applyProtection="1">
      <alignment vertical="top"/>
      <protection locked="0"/>
    </xf>
    <xf numFmtId="0" fontId="104" fillId="0" borderId="0" xfId="3" applyFont="1" applyAlignment="1" applyProtection="1">
      <alignment horizontal="left" vertical="center"/>
      <protection locked="0"/>
    </xf>
    <xf numFmtId="49" fontId="66" fillId="0" borderId="30" xfId="3" applyNumberFormat="1" applyFont="1" applyBorder="1" applyAlignment="1" applyProtection="1">
      <alignment horizontal="right"/>
      <protection locked="0"/>
    </xf>
    <xf numFmtId="0" fontId="66" fillId="0" borderId="30" xfId="3" applyFont="1" applyBorder="1" applyAlignment="1" applyProtection="1">
      <alignment horizontal="left" wrapText="1"/>
      <protection locked="0"/>
    </xf>
    <xf numFmtId="4" fontId="28" fillId="5" borderId="30" xfId="3" applyNumberFormat="1" applyFont="1" applyFill="1" applyBorder="1" applyAlignment="1" applyProtection="1">
      <alignment horizontal="right"/>
      <protection locked="0"/>
    </xf>
    <xf numFmtId="167" fontId="8" fillId="0" borderId="30" xfId="3" applyNumberFormat="1" applyFont="1" applyBorder="1" applyAlignment="1" applyProtection="1">
      <alignment horizontal="left" wrapText="1"/>
      <protection locked="0"/>
    </xf>
    <xf numFmtId="4" fontId="8" fillId="7" borderId="30" xfId="3" applyNumberFormat="1" applyFont="1" applyFill="1" applyBorder="1" applyAlignment="1" applyProtection="1">
      <alignment horizontal="right"/>
      <protection locked="0"/>
    </xf>
    <xf numFmtId="39" fontId="8" fillId="7" borderId="30" xfId="3" applyNumberFormat="1" applyFont="1" applyFill="1" applyBorder="1" applyAlignment="1" applyProtection="1">
      <alignment horizontal="center"/>
      <protection locked="0"/>
    </xf>
    <xf numFmtId="0" fontId="84" fillId="0" borderId="0" xfId="48" applyFont="1" applyAlignment="1">
      <alignment horizontal="left" vertical="center"/>
      <protection locked="0"/>
    </xf>
    <xf numFmtId="0" fontId="28" fillId="0" borderId="30" xfId="38" applyFont="1" applyBorder="1" applyAlignment="1" applyProtection="1">
      <alignment horizontal="left" wrapText="1"/>
      <protection locked="0"/>
    </xf>
    <xf numFmtId="4" fontId="28" fillId="0" borderId="30" xfId="3" applyNumberFormat="1" applyFont="1" applyBorder="1" applyAlignment="1" applyProtection="1">
      <alignment horizontal="right"/>
      <protection locked="0"/>
    </xf>
    <xf numFmtId="49" fontId="72" fillId="0" borderId="30" xfId="38" applyNumberFormat="1" applyFont="1" applyBorder="1" applyAlignment="1" applyProtection="1">
      <alignment horizontal="right"/>
      <protection locked="0"/>
    </xf>
    <xf numFmtId="0" fontId="72" fillId="0" borderId="30" xfId="38" applyFont="1" applyBorder="1" applyAlignment="1" applyProtection="1">
      <alignment horizontal="left" wrapText="1"/>
      <protection locked="0"/>
    </xf>
    <xf numFmtId="2" fontId="28" fillId="0" borderId="30" xfId="38" applyNumberFormat="1" applyFont="1" applyBorder="1" applyAlignment="1" applyProtection="1">
      <alignment horizontal="right"/>
      <protection locked="0"/>
    </xf>
    <xf numFmtId="4" fontId="28" fillId="0" borderId="30" xfId="38" applyNumberFormat="1" applyFont="1" applyBorder="1" applyAlignment="1" applyProtection="1">
      <alignment horizontal="right"/>
      <protection locked="0"/>
    </xf>
    <xf numFmtId="39" fontId="8" fillId="0" borderId="30" xfId="38" applyNumberFormat="1" applyFont="1" applyBorder="1" applyAlignment="1" applyProtection="1">
      <alignment horizontal="center"/>
      <protection locked="0"/>
    </xf>
    <xf numFmtId="2" fontId="10" fillId="0" borderId="0" xfId="38" applyNumberFormat="1" applyAlignment="1" applyProtection="1">
      <alignment horizontal="left" vertical="top"/>
      <protection locked="0"/>
    </xf>
    <xf numFmtId="0" fontId="10" fillId="0" borderId="0" xfId="38" applyAlignment="1" applyProtection="1">
      <alignment horizontal="left" vertical="top"/>
      <protection locked="0"/>
    </xf>
    <xf numFmtId="169" fontId="8" fillId="0" borderId="30" xfId="3" applyNumberFormat="1" applyFont="1" applyBorder="1" applyAlignment="1" applyProtection="1">
      <alignment horizontal="right"/>
      <protection locked="0"/>
    </xf>
    <xf numFmtId="169" fontId="71" fillId="0" borderId="0" xfId="26" applyNumberFormat="1" applyFont="1" applyAlignment="1" applyProtection="1">
      <alignment horizontal="left" vertical="center"/>
      <protection locked="0"/>
    </xf>
    <xf numFmtId="49" fontId="8" fillId="0" borderId="30" xfId="34" applyNumberFormat="1" applyFont="1" applyBorder="1" applyAlignment="1" applyProtection="1">
      <alignment horizontal="right"/>
      <protection locked="0"/>
    </xf>
    <xf numFmtId="49" fontId="8" fillId="0" borderId="30" xfId="34" applyNumberFormat="1" applyFont="1" applyBorder="1" applyAlignment="1" applyProtection="1">
      <alignment horizontal="left" wrapText="1"/>
      <protection locked="0"/>
    </xf>
    <xf numFmtId="0" fontId="37" fillId="0" borderId="30" xfId="34" applyFont="1" applyBorder="1" applyAlignment="1" applyProtection="1">
      <alignment horizontal="left" wrapText="1"/>
      <protection locked="0"/>
    </xf>
    <xf numFmtId="39" fontId="8" fillId="0" borderId="30" xfId="34" applyNumberFormat="1" applyFont="1" applyBorder="1" applyAlignment="1" applyProtection="1">
      <alignment horizontal="right"/>
      <protection locked="0"/>
    </xf>
    <xf numFmtId="39" fontId="8" fillId="0" borderId="30" xfId="34" applyNumberFormat="1" applyFont="1" applyBorder="1" applyAlignment="1" applyProtection="1">
      <alignment horizontal="center"/>
      <protection locked="0"/>
    </xf>
    <xf numFmtId="0" fontId="80" fillId="0" borderId="0" xfId="34" applyFont="1" applyAlignment="1" applyProtection="1">
      <alignment horizontal="left" vertical="center"/>
      <protection locked="0"/>
    </xf>
    <xf numFmtId="49" fontId="66" fillId="0" borderId="30" xfId="26" applyNumberFormat="1" applyFont="1" applyBorder="1" applyAlignment="1" applyProtection="1">
      <alignment horizontal="right"/>
      <protection locked="0"/>
    </xf>
    <xf numFmtId="49" fontId="66" fillId="0" borderId="30" xfId="26" applyNumberFormat="1" applyFont="1" applyBorder="1" applyAlignment="1" applyProtection="1">
      <alignment horizontal="left" wrapText="1"/>
      <protection locked="0"/>
    </xf>
    <xf numFmtId="0" fontId="66" fillId="0" borderId="30" xfId="26" applyFont="1" applyBorder="1" applyAlignment="1" applyProtection="1">
      <alignment horizontal="left" wrapText="1"/>
      <protection locked="0"/>
    </xf>
    <xf numFmtId="167" fontId="28" fillId="0" borderId="30" xfId="26" applyNumberFormat="1" applyFont="1" applyBorder="1" applyAlignment="1" applyProtection="1">
      <alignment horizontal="right" wrapText="1"/>
      <protection locked="0"/>
    </xf>
    <xf numFmtId="0" fontId="12" fillId="0" borderId="30" xfId="26" applyBorder="1" applyAlignment="1" applyProtection="1">
      <alignment horizontal="left" vertical="top"/>
      <protection locked="0"/>
    </xf>
    <xf numFmtId="0" fontId="105" fillId="0" borderId="0" xfId="26" applyFont="1" applyAlignment="1" applyProtection="1">
      <alignment horizontal="left" vertical="top"/>
      <protection locked="0"/>
    </xf>
    <xf numFmtId="0" fontId="80" fillId="0" borderId="0" xfId="26" applyFont="1" applyAlignment="1" applyProtection="1">
      <alignment horizontal="left" vertical="top"/>
      <protection locked="0"/>
    </xf>
    <xf numFmtId="0" fontId="80" fillId="0" borderId="0" xfId="26" applyFont="1"/>
    <xf numFmtId="2" fontId="23" fillId="0" borderId="0" xfId="34" applyNumberFormat="1" applyAlignment="1" applyProtection="1">
      <alignment horizontal="left" vertical="top"/>
      <protection locked="0"/>
    </xf>
    <xf numFmtId="49" fontId="72" fillId="0" borderId="30" xfId="26" applyNumberFormat="1" applyFont="1" applyBorder="1" applyAlignment="1" applyProtection="1">
      <alignment horizontal="right"/>
      <protection locked="0"/>
    </xf>
    <xf numFmtId="0" fontId="72" fillId="0" borderId="30" xfId="26" applyFont="1" applyBorder="1" applyAlignment="1" applyProtection="1">
      <alignment horizontal="left" wrapText="1"/>
      <protection locked="0"/>
    </xf>
    <xf numFmtId="167" fontId="28" fillId="0" borderId="30" xfId="26" applyNumberFormat="1" applyFont="1" applyBorder="1" applyAlignment="1" applyProtection="1">
      <alignment horizontal="right"/>
      <protection locked="0"/>
    </xf>
    <xf numFmtId="4" fontId="28" fillId="5" borderId="30" xfId="26" applyNumberFormat="1" applyFont="1" applyFill="1" applyBorder="1" applyAlignment="1" applyProtection="1">
      <alignment horizontal="right"/>
      <protection locked="0"/>
    </xf>
    <xf numFmtId="49" fontId="8" fillId="7" borderId="30" xfId="25" applyNumberFormat="1" applyFont="1" applyFill="1" applyBorder="1" applyAlignment="1" applyProtection="1">
      <alignment horizontal="right"/>
      <protection locked="0"/>
    </xf>
    <xf numFmtId="0" fontId="8" fillId="7" borderId="30" xfId="25" applyFont="1" applyFill="1" applyBorder="1" applyAlignment="1" applyProtection="1">
      <alignment horizontal="left" wrapText="1"/>
      <protection locked="0"/>
    </xf>
    <xf numFmtId="0" fontId="37" fillId="7" borderId="30" xfId="25" applyFont="1" applyFill="1" applyBorder="1" applyAlignment="1" applyProtection="1">
      <alignment horizontal="left" wrapText="1"/>
      <protection locked="0"/>
    </xf>
    <xf numFmtId="0" fontId="37" fillId="0" borderId="30" xfId="25" applyFont="1" applyBorder="1" applyAlignment="1" applyProtection="1">
      <alignment horizontal="left" wrapText="1"/>
      <protection locked="0"/>
    </xf>
    <xf numFmtId="167" fontId="37" fillId="0" borderId="30" xfId="25" applyNumberFormat="1" applyFont="1" applyBorder="1" applyAlignment="1" applyProtection="1">
      <alignment horizontal="right"/>
      <protection locked="0"/>
    </xf>
    <xf numFmtId="39" fontId="37" fillId="0" borderId="30" xfId="25" applyNumberFormat="1" applyFont="1" applyBorder="1" applyAlignment="1" applyProtection="1">
      <alignment horizontal="right"/>
      <protection locked="0"/>
    </xf>
    <xf numFmtId="39" fontId="8" fillId="7" borderId="30" xfId="25" applyNumberFormat="1" applyFont="1" applyFill="1" applyBorder="1" applyAlignment="1" applyProtection="1">
      <alignment horizontal="center"/>
      <protection locked="0"/>
    </xf>
    <xf numFmtId="0" fontId="106" fillId="0" borderId="0" xfId="25" applyFont="1" applyAlignment="1" applyProtection="1">
      <alignment horizontal="left" vertical="top"/>
      <protection locked="0"/>
    </xf>
    <xf numFmtId="0" fontId="16" fillId="0" borderId="0" xfId="3" applyFont="1"/>
    <xf numFmtId="39" fontId="37" fillId="7" borderId="30" xfId="25" applyNumberFormat="1" applyFont="1" applyFill="1" applyBorder="1" applyAlignment="1" applyProtection="1">
      <alignment horizontal="right"/>
      <protection locked="0"/>
    </xf>
    <xf numFmtId="0" fontId="52" fillId="0" borderId="0" xfId="32" applyFont="1" applyAlignment="1" applyProtection="1">
      <alignment horizontal="center" vertical="center"/>
      <protection locked="0"/>
    </xf>
    <xf numFmtId="39" fontId="28" fillId="5" borderId="30" xfId="3" applyNumberFormat="1" applyFont="1" applyFill="1" applyBorder="1" applyAlignment="1" applyProtection="1">
      <alignment horizontal="right"/>
      <protection locked="0"/>
    </xf>
    <xf numFmtId="49" fontId="8" fillId="0" borderId="30" xfId="47" applyNumberFormat="1" applyFont="1" applyBorder="1" applyAlignment="1">
      <alignment horizontal="right"/>
      <protection locked="0"/>
    </xf>
    <xf numFmtId="0" fontId="49" fillId="0" borderId="15" xfId="3" applyFont="1" applyBorder="1"/>
    <xf numFmtId="0" fontId="8" fillId="0" borderId="30" xfId="47" applyFont="1" applyBorder="1" applyAlignment="1">
      <alignment horizontal="left" wrapText="1"/>
      <protection locked="0"/>
    </xf>
    <xf numFmtId="39" fontId="8" fillId="0" borderId="30" xfId="47" applyNumberFormat="1" applyFont="1" applyBorder="1" applyAlignment="1">
      <alignment horizontal="right"/>
      <protection locked="0"/>
    </xf>
    <xf numFmtId="0" fontId="108" fillId="0" borderId="0" xfId="47" applyFont="1" applyAlignment="1">
      <alignment horizontal="center" vertical="center"/>
      <protection locked="0"/>
    </xf>
    <xf numFmtId="0" fontId="11" fillId="0" borderId="0" xfId="47" applyAlignment="1">
      <alignment horizontal="left" vertical="top"/>
      <protection locked="0"/>
    </xf>
    <xf numFmtId="167" fontId="28" fillId="0" borderId="30" xfId="12" applyNumberFormat="1" applyFont="1" applyBorder="1" applyAlignment="1">
      <alignment horizontal="right"/>
      <protection locked="0"/>
    </xf>
    <xf numFmtId="0" fontId="11" fillId="0" borderId="15" xfId="47" applyBorder="1" applyAlignment="1">
      <alignment horizontal="left" vertical="top"/>
      <protection locked="0"/>
    </xf>
    <xf numFmtId="167" fontId="8" fillId="0" borderId="30" xfId="47" applyNumberFormat="1" applyFont="1" applyBorder="1" applyAlignment="1">
      <alignment horizontal="left" wrapText="1"/>
      <protection locked="0"/>
    </xf>
    <xf numFmtId="0" fontId="66" fillId="0" borderId="30" xfId="47" applyFont="1" applyBorder="1" applyAlignment="1">
      <alignment horizontal="left" wrapText="1"/>
      <protection locked="0"/>
    </xf>
    <xf numFmtId="167" fontId="28" fillId="0" borderId="30" xfId="47" applyNumberFormat="1" applyFont="1" applyBorder="1" applyAlignment="1">
      <alignment horizontal="right"/>
      <protection locked="0"/>
    </xf>
    <xf numFmtId="0" fontId="71" fillId="0" borderId="0" xfId="3" applyFont="1" applyAlignment="1" applyProtection="1">
      <alignment horizontal="left" vertical="center"/>
      <protection locked="0"/>
    </xf>
    <xf numFmtId="167" fontId="28" fillId="0" borderId="30" xfId="48" applyNumberFormat="1" applyFont="1" applyBorder="1" applyAlignment="1">
      <alignment horizontal="right"/>
      <protection locked="0"/>
    </xf>
    <xf numFmtId="0" fontId="83" fillId="0" borderId="0" xfId="3" applyFont="1" applyAlignment="1">
      <alignment vertical="center"/>
    </xf>
    <xf numFmtId="0" fontId="48" fillId="0" borderId="30" xfId="3" applyFont="1" applyBorder="1" applyAlignment="1" applyProtection="1">
      <alignment horizontal="left" wrapText="1"/>
      <protection locked="0"/>
    </xf>
    <xf numFmtId="167" fontId="28" fillId="0" borderId="30" xfId="3" applyNumberFormat="1" applyFont="1" applyBorder="1" applyProtection="1">
      <protection locked="0"/>
    </xf>
    <xf numFmtId="39" fontId="48" fillId="0" borderId="30" xfId="3" applyNumberFormat="1" applyFont="1" applyBorder="1" applyAlignment="1" applyProtection="1">
      <alignment horizontal="right"/>
      <protection locked="0"/>
    </xf>
    <xf numFmtId="0" fontId="109" fillId="0" borderId="0" xfId="3" applyFont="1"/>
    <xf numFmtId="49" fontId="37" fillId="0" borderId="30" xfId="3" applyNumberFormat="1" applyFont="1" applyBorder="1" applyAlignment="1">
      <alignment horizontal="right"/>
    </xf>
    <xf numFmtId="0" fontId="37" fillId="0" borderId="30" xfId="3" applyFont="1" applyBorder="1" applyAlignment="1">
      <alignment horizontal="left" wrapText="1"/>
    </xf>
    <xf numFmtId="167" fontId="37" fillId="0" borderId="30" xfId="3" applyNumberFormat="1" applyFont="1" applyBorder="1" applyAlignment="1">
      <alignment horizontal="right"/>
    </xf>
    <xf numFmtId="39" fontId="37" fillId="0" borderId="30" xfId="3" applyNumberFormat="1" applyFont="1" applyBorder="1" applyAlignment="1">
      <alignment horizontal="right"/>
    </xf>
    <xf numFmtId="0" fontId="10" fillId="0" borderId="30" xfId="3" applyBorder="1" applyAlignment="1">
      <alignment horizontal="left" vertical="top"/>
    </xf>
    <xf numFmtId="49" fontId="37" fillId="0" borderId="30" xfId="49" applyNumberFormat="1" applyFont="1" applyBorder="1" applyAlignment="1" applyProtection="1">
      <alignment horizontal="right"/>
      <protection locked="0"/>
    </xf>
    <xf numFmtId="49" fontId="37" fillId="0" borderId="30" xfId="49" applyNumberFormat="1" applyFont="1" applyBorder="1" applyAlignment="1" applyProtection="1">
      <alignment horizontal="left" wrapText="1"/>
      <protection locked="0"/>
    </xf>
    <xf numFmtId="0" fontId="37" fillId="0" borderId="30" xfId="49" applyFont="1" applyBorder="1" applyAlignment="1" applyProtection="1">
      <alignment horizontal="left" wrapText="1"/>
      <protection locked="0"/>
    </xf>
    <xf numFmtId="167" fontId="37" fillId="0" borderId="30" xfId="49" applyNumberFormat="1" applyFont="1" applyBorder="1" applyAlignment="1" applyProtection="1">
      <alignment horizontal="right"/>
      <protection locked="0"/>
    </xf>
    <xf numFmtId="39" fontId="37" fillId="0" borderId="30" xfId="49" applyNumberFormat="1" applyFont="1" applyBorder="1" applyAlignment="1" applyProtection="1">
      <alignment horizontal="right"/>
      <protection locked="0"/>
    </xf>
    <xf numFmtId="0" fontId="94" fillId="0" borderId="30" xfId="49" applyFont="1" applyBorder="1" applyAlignment="1" applyProtection="1">
      <alignment horizontal="right" vertical="center"/>
      <protection locked="0"/>
    </xf>
    <xf numFmtId="0" fontId="38" fillId="0" borderId="0" xfId="49" applyAlignment="1" applyProtection="1">
      <alignment horizontal="left" vertical="top"/>
      <protection locked="0"/>
    </xf>
    <xf numFmtId="0" fontId="73" fillId="0" borderId="30" xfId="32" applyFont="1" applyBorder="1" applyAlignment="1" applyProtection="1">
      <alignment horizontal="left" wrapText="1"/>
      <protection locked="0"/>
    </xf>
    <xf numFmtId="0" fontId="51" fillId="0" borderId="0" xfId="32" applyAlignment="1" applyProtection="1">
      <alignment horizontal="right" vertical="top"/>
      <protection locked="0"/>
    </xf>
    <xf numFmtId="167" fontId="10" fillId="0" borderId="0" xfId="3" applyNumberFormat="1"/>
    <xf numFmtId="49" fontId="37" fillId="0" borderId="30" xfId="3" applyNumberFormat="1" applyFont="1" applyBorder="1" applyAlignment="1" applyProtection="1">
      <alignment horizontal="right"/>
      <protection locked="0"/>
    </xf>
    <xf numFmtId="4" fontId="37" fillId="0" borderId="30" xfId="3" applyNumberFormat="1" applyFont="1" applyBorder="1" applyAlignment="1" applyProtection="1">
      <alignment horizontal="right"/>
      <protection locked="0"/>
    </xf>
    <xf numFmtId="0" fontId="11" fillId="0" borderId="30" xfId="3" applyFont="1" applyBorder="1" applyAlignment="1" applyProtection="1">
      <alignment horizontal="left" vertical="top"/>
      <protection locked="0"/>
    </xf>
    <xf numFmtId="0" fontId="11" fillId="0" borderId="0" xfId="3" applyFont="1" applyAlignment="1" applyProtection="1">
      <alignment horizontal="left" vertical="top"/>
      <protection locked="0"/>
    </xf>
    <xf numFmtId="39" fontId="8" fillId="0" borderId="30" xfId="50" applyNumberFormat="1" applyFont="1" applyBorder="1" applyAlignment="1" applyProtection="1">
      <alignment horizontal="center"/>
      <protection locked="0"/>
    </xf>
    <xf numFmtId="167" fontId="11" fillId="0" borderId="0" xfId="3" applyNumberFormat="1" applyFont="1" applyAlignment="1" applyProtection="1">
      <alignment horizontal="left" vertical="top"/>
      <protection locked="0"/>
    </xf>
    <xf numFmtId="49" fontId="8" fillId="0" borderId="30" xfId="50" applyNumberFormat="1" applyFont="1" applyBorder="1" applyAlignment="1" applyProtection="1">
      <alignment horizontal="right"/>
      <protection locked="0"/>
    </xf>
    <xf numFmtId="0" fontId="8" fillId="0" borderId="30" xfId="50" applyFont="1" applyBorder="1" applyAlignment="1" applyProtection="1">
      <alignment horizontal="left" wrapText="1"/>
      <protection locked="0"/>
    </xf>
    <xf numFmtId="39" fontId="8" fillId="0" borderId="30" xfId="50" applyNumberFormat="1" applyFont="1" applyBorder="1" applyAlignment="1" applyProtection="1">
      <alignment horizontal="right"/>
      <protection locked="0"/>
    </xf>
    <xf numFmtId="0" fontId="11" fillId="0" borderId="0" xfId="50" applyFont="1" applyAlignment="1" applyProtection="1">
      <alignment horizontal="left" vertical="top"/>
      <protection locked="0"/>
    </xf>
    <xf numFmtId="0" fontId="28" fillId="0" borderId="30" xfId="50" applyFont="1" applyBorder="1" applyAlignment="1" applyProtection="1">
      <alignment horizontal="left" wrapText="1"/>
      <protection locked="0"/>
    </xf>
    <xf numFmtId="167" fontId="28" fillId="0" borderId="30" xfId="50" applyNumberFormat="1" applyFont="1" applyBorder="1" applyAlignment="1" applyProtection="1">
      <alignment horizontal="right"/>
      <protection locked="0"/>
    </xf>
    <xf numFmtId="4" fontId="66" fillId="0" borderId="30" xfId="3" applyNumberFormat="1" applyFont="1" applyBorder="1" applyAlignment="1" applyProtection="1">
      <alignment horizontal="right"/>
      <protection locked="0"/>
    </xf>
    <xf numFmtId="4" fontId="37" fillId="7" borderId="30" xfId="3" applyNumberFormat="1" applyFont="1" applyFill="1" applyBorder="1" applyAlignment="1" applyProtection="1">
      <alignment horizontal="right"/>
      <protection locked="0"/>
    </xf>
    <xf numFmtId="0" fontId="53" fillId="0" borderId="30" xfId="3" applyFont="1" applyBorder="1" applyAlignment="1" applyProtection="1">
      <alignment horizontal="left" vertical="top"/>
      <protection locked="0"/>
    </xf>
    <xf numFmtId="0" fontId="53" fillId="0" borderId="0" xfId="3" applyFont="1" applyAlignment="1" applyProtection="1">
      <alignment horizontal="left" vertical="top"/>
      <protection locked="0"/>
    </xf>
    <xf numFmtId="0" fontId="90" fillId="0" borderId="0" xfId="41" applyFill="1" applyAlignment="1" applyProtection="1">
      <alignment horizontal="left" vertical="top"/>
      <protection locked="0"/>
    </xf>
    <xf numFmtId="4" fontId="48" fillId="0" borderId="30" xfId="3" applyNumberFormat="1" applyFont="1" applyBorder="1" applyAlignment="1" applyProtection="1">
      <alignment horizontal="right"/>
      <protection locked="0"/>
    </xf>
    <xf numFmtId="37" fontId="86" fillId="0" borderId="0" xfId="29" applyNumberFormat="1" applyFont="1" applyAlignment="1">
      <alignment horizontal="right"/>
    </xf>
    <xf numFmtId="0" fontId="86" fillId="0" borderId="0" xfId="29" applyFont="1" applyAlignment="1">
      <alignment horizontal="left" wrapText="1"/>
    </xf>
    <xf numFmtId="170" fontId="86" fillId="0" borderId="0" xfId="29" applyNumberFormat="1" applyFont="1" applyAlignment="1">
      <alignment horizontal="right"/>
    </xf>
    <xf numFmtId="39" fontId="86" fillId="0" borderId="0" xfId="29" applyNumberFormat="1" applyFont="1" applyAlignment="1">
      <alignment horizontal="right"/>
    </xf>
    <xf numFmtId="37" fontId="8" fillId="0" borderId="21" xfId="29" applyNumberFormat="1" applyFont="1" applyBorder="1" applyAlignment="1">
      <alignment horizontal="right"/>
    </xf>
    <xf numFmtId="0" fontId="8" fillId="0" borderId="21" xfId="29" applyFont="1" applyBorder="1" applyAlignment="1">
      <alignment horizontal="left" wrapText="1"/>
    </xf>
    <xf numFmtId="0" fontId="8" fillId="0" borderId="21" xfId="29" applyFont="1" applyBorder="1" applyAlignment="1">
      <alignment horizontal="center" wrapText="1"/>
    </xf>
    <xf numFmtId="170" fontId="8" fillId="0" borderId="21" xfId="29" applyNumberFormat="1" applyFont="1" applyBorder="1" applyAlignment="1">
      <alignment horizontal="right"/>
    </xf>
    <xf numFmtId="39" fontId="8" fillId="0" borderId="21" xfId="29" applyNumberFormat="1" applyFont="1" applyBorder="1" applyAlignment="1">
      <alignment horizontal="right"/>
    </xf>
    <xf numFmtId="0" fontId="87" fillId="0" borderId="0" xfId="29" applyFont="1" applyAlignment="1">
      <alignment horizontal="left" vertical="top"/>
    </xf>
    <xf numFmtId="0" fontId="37" fillId="0" borderId="32" xfId="3" applyFont="1" applyBorder="1" applyAlignment="1" applyProtection="1">
      <alignment horizontal="left"/>
      <protection locked="0"/>
    </xf>
    <xf numFmtId="0" fontId="66" fillId="0" borderId="33" xfId="29" applyFont="1" applyBorder="1" applyAlignment="1">
      <alignment horizontal="center"/>
    </xf>
    <xf numFmtId="170" fontId="66" fillId="0" borderId="33" xfId="29" applyNumberFormat="1" applyFont="1" applyBorder="1" applyAlignment="1">
      <alignment horizontal="right"/>
    </xf>
    <xf numFmtId="39" fontId="8" fillId="0" borderId="33" xfId="29" applyNumberFormat="1" applyFont="1" applyBorder="1" applyAlignment="1">
      <alignment horizontal="right"/>
    </xf>
    <xf numFmtId="39" fontId="48" fillId="0" borderId="0" xfId="29" applyNumberFormat="1" applyFont="1" applyAlignment="1">
      <alignment horizontal="center"/>
    </xf>
    <xf numFmtId="37" fontId="66" fillId="0" borderId="0" xfId="29" applyNumberFormat="1" applyFont="1" applyAlignment="1">
      <alignment horizontal="right"/>
    </xf>
    <xf numFmtId="0" fontId="66" fillId="0" borderId="0" xfId="29" applyFont="1" applyAlignment="1">
      <alignment horizontal="left" wrapText="1"/>
    </xf>
    <xf numFmtId="0" fontId="8" fillId="0" borderId="0" xfId="29" applyFont="1" applyAlignment="1">
      <alignment horizontal="left" wrapText="1"/>
    </xf>
    <xf numFmtId="0" fontId="66" fillId="0" borderId="0" xfId="29" applyFont="1" applyAlignment="1">
      <alignment horizontal="center" wrapText="1"/>
    </xf>
    <xf numFmtId="170" fontId="66" fillId="0" borderId="0" xfId="29" applyNumberFormat="1" applyFont="1" applyAlignment="1">
      <alignment horizontal="right"/>
    </xf>
    <xf numFmtId="39" fontId="66" fillId="0" borderId="0" xfId="29" applyNumberFormat="1" applyFont="1" applyAlignment="1">
      <alignment horizontal="right"/>
    </xf>
    <xf numFmtId="39" fontId="8" fillId="0" borderId="0" xfId="29" applyNumberFormat="1" applyFont="1" applyAlignment="1">
      <alignment horizontal="right"/>
    </xf>
    <xf numFmtId="0" fontId="9" fillId="0" borderId="0" xfId="16" applyFont="1" applyAlignment="1">
      <alignment vertical="center"/>
    </xf>
    <xf numFmtId="0" fontId="9" fillId="0" borderId="0" xfId="16" applyFont="1" applyAlignment="1">
      <alignment horizontal="center" vertical="center" wrapText="1"/>
    </xf>
    <xf numFmtId="0" fontId="35" fillId="0" borderId="0" xfId="28" applyFont="1" applyAlignment="1" applyProtection="1">
      <alignment horizontal="left"/>
    </xf>
    <xf numFmtId="0" fontId="37" fillId="0" borderId="0" xfId="28" applyFont="1" applyAlignment="1" applyProtection="1">
      <alignment horizontal="left"/>
    </xf>
    <xf numFmtId="0" fontId="8" fillId="0" borderId="0" xfId="28" applyFont="1" applyAlignment="1" applyProtection="1">
      <alignment horizontal="left"/>
    </xf>
    <xf numFmtId="0" fontId="8" fillId="0" borderId="21" xfId="28" applyFont="1" applyBorder="1" applyAlignment="1" applyProtection="1">
      <alignment horizontal="center" vertical="center" wrapText="1"/>
    </xf>
    <xf numFmtId="0" fontId="8" fillId="0" borderId="22" xfId="28" applyFont="1" applyBorder="1" applyAlignment="1" applyProtection="1">
      <alignment horizontal="center" vertical="center" wrapText="1"/>
    </xf>
    <xf numFmtId="0" fontId="8" fillId="0" borderId="23" xfId="28" applyFont="1" applyBorder="1" applyAlignment="1" applyProtection="1">
      <alignment horizontal="center" vertical="center" wrapText="1"/>
    </xf>
    <xf numFmtId="0" fontId="70" fillId="0" borderId="0" xfId="28" applyFont="1" applyAlignment="1">
      <alignment vertical="center"/>
      <protection locked="0"/>
    </xf>
    <xf numFmtId="0" fontId="62" fillId="0" borderId="0" xfId="28" applyFont="1" applyAlignment="1">
      <alignment vertical="center"/>
      <protection locked="0"/>
    </xf>
    <xf numFmtId="166" fontId="8" fillId="0" borderId="25" xfId="28" applyNumberFormat="1" applyFont="1" applyBorder="1" applyAlignment="1" applyProtection="1">
      <alignment horizontal="center" vertical="center"/>
    </xf>
    <xf numFmtId="166" fontId="8" fillId="0" borderId="26" xfId="28" applyNumberFormat="1" applyFont="1" applyBorder="1" applyAlignment="1" applyProtection="1">
      <alignment horizontal="center" vertical="center"/>
    </xf>
    <xf numFmtId="0" fontId="11" fillId="0" borderId="28" xfId="28" applyBorder="1" applyAlignment="1" applyProtection="1">
      <alignment horizontal="left"/>
    </xf>
    <xf numFmtId="0" fontId="11" fillId="0" borderId="29" xfId="28" applyBorder="1" applyAlignment="1" applyProtection="1">
      <alignment horizontal="left"/>
    </xf>
    <xf numFmtId="0" fontId="40" fillId="0" borderId="30" xfId="28" applyFont="1" applyBorder="1" applyAlignment="1" applyProtection="1">
      <alignment horizontal="center"/>
    </xf>
    <xf numFmtId="0" fontId="40" fillId="0" borderId="30" xfId="28" applyFont="1" applyBorder="1" applyAlignment="1" applyProtection="1">
      <alignment horizontal="left"/>
    </xf>
    <xf numFmtId="0" fontId="41" fillId="0" borderId="30" xfId="28" applyFont="1" applyBorder="1" applyAlignment="1" applyProtection="1">
      <alignment horizontal="left" vertical="center"/>
    </xf>
    <xf numFmtId="0" fontId="42" fillId="0" borderId="30" xfId="27" applyFont="1" applyBorder="1" applyAlignment="1" applyProtection="1">
      <alignment horizontal="left" vertical="center"/>
    </xf>
    <xf numFmtId="0" fontId="36" fillId="0" borderId="0" xfId="28" applyFont="1" applyAlignment="1" applyProtection="1">
      <alignment horizontal="center"/>
    </xf>
    <xf numFmtId="0" fontId="11" fillId="0" borderId="0" xfId="24" applyFont="1" applyAlignment="1" applyProtection="1">
      <alignment horizontal="left" vertical="top"/>
      <protection locked="0"/>
    </xf>
    <xf numFmtId="0" fontId="47" fillId="0" borderId="0" xfId="24" applyFont="1" applyAlignment="1" applyProtection="1">
      <alignment horizontal="left" vertical="center"/>
      <protection locked="0"/>
    </xf>
    <xf numFmtId="0" fontId="38" fillId="0" borderId="0" xfId="24" applyAlignment="1" applyProtection="1">
      <alignment horizontal="left" vertical="top"/>
      <protection locked="0"/>
    </xf>
    <xf numFmtId="0" fontId="102" fillId="0" borderId="0" xfId="24" applyFont="1" applyAlignment="1" applyProtection="1">
      <alignment horizontal="left" vertical="top"/>
      <protection locked="0"/>
    </xf>
    <xf numFmtId="0" fontId="47" fillId="0" borderId="0" xfId="24" applyFont="1"/>
    <xf numFmtId="0" fontId="36" fillId="0" borderId="0" xfId="24" applyFont="1" applyAlignment="1">
      <alignment horizontal="center"/>
    </xf>
    <xf numFmtId="0" fontId="44" fillId="0" borderId="0" xfId="24" applyFont="1" applyAlignment="1" applyProtection="1">
      <alignment horizontal="right" vertical="top"/>
      <protection locked="0"/>
    </xf>
    <xf numFmtId="0" fontId="45" fillId="7" borderId="31" xfId="24" applyFont="1" applyFill="1" applyBorder="1" applyAlignment="1">
      <alignment horizontal="center" vertical="center" wrapText="1"/>
    </xf>
    <xf numFmtId="0" fontId="45" fillId="7" borderId="12" xfId="24" applyFont="1" applyFill="1" applyBorder="1" applyAlignment="1">
      <alignment horizontal="center" vertical="center" wrapText="1"/>
    </xf>
    <xf numFmtId="0" fontId="46" fillId="0" borderId="0" xfId="24" applyFont="1" applyAlignment="1">
      <alignment horizontal="left" vertical="center"/>
    </xf>
    <xf numFmtId="0" fontId="110" fillId="0" borderId="0" xfId="24" applyFont="1" applyAlignment="1">
      <alignment horizontal="left" vertical="center" wrapText="1"/>
    </xf>
    <xf numFmtId="0" fontId="110" fillId="0" borderId="0" xfId="24" applyFont="1" applyAlignment="1">
      <alignment horizontal="left" vertical="center"/>
    </xf>
    <xf numFmtId="37" fontId="37" fillId="7" borderId="0" xfId="24" applyNumberFormat="1" applyFont="1" applyFill="1" applyAlignment="1" applyProtection="1">
      <alignment horizontal="right"/>
      <protection locked="0"/>
    </xf>
    <xf numFmtId="0" fontId="37" fillId="7" borderId="0" xfId="24" applyFont="1" applyFill="1" applyAlignment="1" applyProtection="1">
      <alignment horizontal="left" wrapText="1"/>
      <protection locked="0"/>
    </xf>
    <xf numFmtId="170" fontId="37" fillId="7" borderId="0" xfId="24" applyNumberFormat="1" applyFont="1" applyFill="1" applyAlignment="1" applyProtection="1">
      <alignment horizontal="right"/>
      <protection locked="0"/>
    </xf>
    <xf numFmtId="39" fontId="37" fillId="7" borderId="0" xfId="24" applyNumberFormat="1" applyFont="1" applyFill="1" applyAlignment="1" applyProtection="1">
      <alignment horizontal="right"/>
      <protection locked="0"/>
    </xf>
    <xf numFmtId="0" fontId="38" fillId="7" borderId="0" xfId="24" applyFill="1" applyAlignment="1" applyProtection="1">
      <alignment horizontal="left" vertical="top"/>
      <protection locked="0"/>
    </xf>
    <xf numFmtId="37" fontId="8" fillId="7" borderId="30" xfId="24" applyNumberFormat="1" applyFont="1" applyFill="1" applyBorder="1" applyAlignment="1" applyProtection="1">
      <alignment horizontal="right"/>
      <protection locked="0"/>
    </xf>
    <xf numFmtId="0" fontId="8" fillId="7" borderId="30" xfId="24" applyFont="1" applyFill="1" applyBorder="1" applyAlignment="1" applyProtection="1">
      <alignment horizontal="left" wrapText="1"/>
      <protection locked="0"/>
    </xf>
    <xf numFmtId="0" fontId="37" fillId="7" borderId="30" xfId="24" applyFont="1" applyFill="1" applyBorder="1" applyAlignment="1" applyProtection="1">
      <alignment horizontal="left" wrapText="1"/>
      <protection locked="0"/>
    </xf>
    <xf numFmtId="2" fontId="37" fillId="7" borderId="30" xfId="24" applyNumberFormat="1" applyFont="1" applyFill="1" applyBorder="1" applyAlignment="1" applyProtection="1">
      <alignment horizontal="right"/>
      <protection locked="0"/>
    </xf>
    <xf numFmtId="39" fontId="37" fillId="7" borderId="30" xfId="24" applyNumberFormat="1" applyFont="1" applyFill="1" applyBorder="1" applyAlignment="1" applyProtection="1">
      <alignment horizontal="right"/>
      <protection locked="0"/>
    </xf>
    <xf numFmtId="39" fontId="8" fillId="7" borderId="30" xfId="24" applyNumberFormat="1" applyFont="1" applyFill="1" applyBorder="1" applyAlignment="1" applyProtection="1">
      <alignment horizontal="center"/>
      <protection locked="0"/>
    </xf>
    <xf numFmtId="0" fontId="106" fillId="0" borderId="0" xfId="24" applyFont="1" applyAlignment="1" applyProtection="1">
      <alignment horizontal="left" vertical="top"/>
      <protection locked="0"/>
    </xf>
    <xf numFmtId="39" fontId="8" fillId="0" borderId="30" xfId="27" applyNumberFormat="1" applyFont="1" applyBorder="1" applyAlignment="1">
      <alignment horizontal="right"/>
      <protection locked="0"/>
    </xf>
    <xf numFmtId="39" fontId="8" fillId="0" borderId="30" xfId="40" applyNumberFormat="1" applyFont="1" applyBorder="1" applyAlignment="1">
      <alignment horizontal="center"/>
      <protection locked="0"/>
    </xf>
    <xf numFmtId="0" fontId="64" fillId="0" borderId="0" xfId="24" applyFont="1" applyAlignment="1" applyProtection="1">
      <alignment horizontal="right" vertical="top"/>
      <protection locked="0"/>
    </xf>
    <xf numFmtId="39" fontId="8" fillId="0" borderId="30" xfId="38" applyNumberFormat="1" applyFont="1" applyBorder="1" applyAlignment="1" applyProtection="1">
      <alignment horizontal="right"/>
      <protection locked="0"/>
    </xf>
    <xf numFmtId="167" fontId="8" fillId="0" borderId="30" xfId="24" applyNumberFormat="1" applyFont="1" applyBorder="1" applyAlignment="1" applyProtection="1">
      <alignment horizontal="right"/>
      <protection locked="0"/>
    </xf>
    <xf numFmtId="37" fontId="8" fillId="0" borderId="30" xfId="24" applyNumberFormat="1" applyFont="1" applyBorder="1" applyAlignment="1" applyProtection="1">
      <alignment horizontal="right"/>
      <protection locked="0"/>
    </xf>
    <xf numFmtId="49" fontId="8" fillId="0" borderId="30" xfId="24" applyNumberFormat="1" applyFont="1" applyBorder="1" applyAlignment="1" applyProtection="1">
      <alignment horizontal="left" wrapText="1"/>
      <protection locked="0"/>
    </xf>
    <xf numFmtId="0" fontId="8" fillId="0" borderId="30" xfId="24" applyFont="1" applyBorder="1" applyAlignment="1" applyProtection="1">
      <alignment horizontal="left" wrapText="1"/>
      <protection locked="0"/>
    </xf>
    <xf numFmtId="39" fontId="8" fillId="0" borderId="30" xfId="24" applyNumberFormat="1" applyFont="1" applyBorder="1" applyAlignment="1" applyProtection="1">
      <alignment horizontal="right"/>
      <protection locked="0"/>
    </xf>
    <xf numFmtId="39" fontId="8" fillId="0" borderId="30" xfId="24" applyNumberFormat="1" applyFont="1" applyBorder="1" applyAlignment="1" applyProtection="1">
      <alignment horizontal="center"/>
      <protection locked="0"/>
    </xf>
    <xf numFmtId="0" fontId="111" fillId="0" borderId="0" xfId="24" applyFont="1" applyAlignment="1" applyProtection="1">
      <alignment horizontal="left" vertical="center"/>
      <protection locked="0"/>
    </xf>
    <xf numFmtId="0" fontId="28" fillId="0" borderId="30" xfId="24" applyFont="1" applyBorder="1" applyAlignment="1" applyProtection="1">
      <alignment horizontal="left" wrapText="1"/>
      <protection locked="0"/>
    </xf>
    <xf numFmtId="167" fontId="28" fillId="0" borderId="30" xfId="24" applyNumberFormat="1" applyFont="1" applyBorder="1" applyAlignment="1" applyProtection="1">
      <alignment horizontal="right"/>
      <protection locked="0"/>
    </xf>
    <xf numFmtId="0" fontId="112" fillId="0" borderId="0" xfId="24" applyFont="1" applyAlignment="1" applyProtection="1">
      <alignment horizontal="left" vertical="center"/>
      <protection locked="0"/>
    </xf>
    <xf numFmtId="49" fontId="8" fillId="0" borderId="30" xfId="24" applyNumberFormat="1" applyFont="1" applyBorder="1" applyAlignment="1" applyProtection="1">
      <alignment horizontal="right" wrapText="1"/>
      <protection locked="0"/>
    </xf>
    <xf numFmtId="167" fontId="38" fillId="0" borderId="30" xfId="24" applyNumberFormat="1" applyBorder="1" applyAlignment="1" applyProtection="1">
      <alignment horizontal="left" vertical="top"/>
      <protection locked="0"/>
    </xf>
    <xf numFmtId="2" fontId="8" fillId="0" borderId="30" xfId="24" applyNumberFormat="1" applyFont="1" applyBorder="1" applyAlignment="1" applyProtection="1">
      <alignment horizontal="center"/>
      <protection locked="0"/>
    </xf>
    <xf numFmtId="0" fontId="113" fillId="0" borderId="0" xfId="28" applyFont="1" applyAlignment="1">
      <alignment horizontal="left" vertical="center"/>
      <protection locked="0"/>
    </xf>
    <xf numFmtId="37" fontId="28" fillId="0" borderId="30" xfId="28" applyNumberFormat="1" applyFont="1" applyBorder="1" applyAlignment="1">
      <alignment horizontal="right"/>
      <protection locked="0"/>
    </xf>
    <xf numFmtId="0" fontId="38" fillId="0" borderId="0" xfId="24" applyAlignment="1" applyProtection="1">
      <alignment horizontal="left" vertical="center"/>
      <protection locked="0"/>
    </xf>
    <xf numFmtId="1" fontId="8" fillId="0" borderId="30" xfId="32" applyNumberFormat="1" applyFont="1" applyBorder="1" applyAlignment="1" applyProtection="1">
      <alignment horizontal="right" wrapText="1"/>
      <protection locked="0"/>
    </xf>
    <xf numFmtId="0" fontId="51" fillId="0" borderId="0" xfId="32" applyAlignment="1" applyProtection="1">
      <alignment horizontal="center" vertical="center"/>
      <protection locked="0"/>
    </xf>
    <xf numFmtId="4" fontId="85" fillId="0" borderId="30" xfId="32" applyNumberFormat="1" applyFont="1" applyBorder="1" applyAlignment="1" applyProtection="1">
      <alignment horizontal="right"/>
      <protection locked="0"/>
    </xf>
    <xf numFmtId="169" fontId="114" fillId="0" borderId="0" xfId="32" applyNumberFormat="1" applyFont="1" applyAlignment="1" applyProtection="1">
      <alignment horizontal="right" vertical="center"/>
      <protection locked="0"/>
    </xf>
    <xf numFmtId="169" fontId="51" fillId="0" borderId="0" xfId="32" applyNumberFormat="1" applyAlignment="1" applyProtection="1">
      <alignment horizontal="left" vertical="top"/>
      <protection locked="0"/>
    </xf>
    <xf numFmtId="2" fontId="51" fillId="0" borderId="0" xfId="32" applyNumberFormat="1" applyAlignment="1" applyProtection="1">
      <alignment horizontal="left" vertical="top"/>
      <protection locked="0"/>
    </xf>
    <xf numFmtId="2" fontId="98" fillId="0" borderId="0" xfId="32" applyNumberFormat="1" applyFont="1" applyAlignment="1" applyProtection="1">
      <alignment horizontal="right" vertical="center"/>
      <protection locked="0"/>
    </xf>
    <xf numFmtId="171" fontId="68" fillId="0" borderId="0" xfId="32" applyNumberFormat="1" applyFont="1" applyAlignment="1" applyProtection="1">
      <alignment horizontal="left" vertical="center"/>
      <protection locked="0"/>
    </xf>
    <xf numFmtId="2" fontId="62" fillId="0" borderId="0" xfId="32" applyNumberFormat="1" applyFont="1" applyAlignment="1" applyProtection="1">
      <alignment horizontal="left" vertical="center"/>
      <protection locked="0"/>
    </xf>
    <xf numFmtId="2" fontId="81" fillId="0" borderId="0" xfId="32" applyNumberFormat="1" applyFont="1" applyAlignment="1" applyProtection="1">
      <alignment horizontal="left" vertical="center"/>
      <protection locked="0"/>
    </xf>
    <xf numFmtId="2" fontId="114" fillId="0" borderId="0" xfId="32" applyNumberFormat="1" applyFont="1" applyAlignment="1" applyProtection="1">
      <alignment horizontal="right" vertical="center"/>
      <protection locked="0"/>
    </xf>
    <xf numFmtId="0" fontId="81" fillId="0" borderId="0" xfId="32" applyFont="1" applyAlignment="1" applyProtection="1">
      <alignment horizontal="left" vertical="center"/>
      <protection locked="0"/>
    </xf>
    <xf numFmtId="169" fontId="10" fillId="0" borderId="0" xfId="3" applyNumberFormat="1"/>
    <xf numFmtId="167" fontId="62" fillId="0" borderId="0" xfId="32" applyNumberFormat="1" applyFont="1" applyAlignment="1" applyProtection="1">
      <alignment horizontal="left" vertical="center"/>
      <protection locked="0"/>
    </xf>
    <xf numFmtId="37" fontId="8" fillId="0" borderId="30" xfId="36" applyNumberFormat="1" applyFont="1" applyBorder="1" applyAlignment="1" applyProtection="1">
      <alignment horizontal="right"/>
      <protection locked="0"/>
    </xf>
    <xf numFmtId="0" fontId="70" fillId="0" borderId="0" xfId="24" applyFont="1" applyAlignment="1" applyProtection="1">
      <alignment horizontal="left" vertical="center"/>
      <protection locked="0"/>
    </xf>
    <xf numFmtId="39" fontId="8" fillId="0" borderId="0" xfId="24" applyNumberFormat="1" applyFont="1" applyAlignment="1" applyProtection="1">
      <alignment horizontal="center"/>
      <protection locked="0"/>
    </xf>
    <xf numFmtId="0" fontId="38" fillId="0" borderId="30" xfId="24" applyBorder="1" applyAlignment="1" applyProtection="1">
      <alignment vertical="top"/>
      <protection locked="0"/>
    </xf>
    <xf numFmtId="39" fontId="83" fillId="0" borderId="0" xfId="24" applyNumberFormat="1" applyFont="1" applyAlignment="1" applyProtection="1">
      <alignment horizontal="left" vertical="center"/>
      <protection locked="0"/>
    </xf>
    <xf numFmtId="0" fontId="64" fillId="0" borderId="0" xfId="32" applyFont="1" applyAlignment="1" applyProtection="1">
      <alignment horizontal="left" vertical="center"/>
      <protection locked="0"/>
    </xf>
    <xf numFmtId="2" fontId="115" fillId="0" borderId="0" xfId="32" applyNumberFormat="1" applyFont="1" applyAlignment="1" applyProtection="1">
      <alignment horizontal="right" vertical="center"/>
      <protection locked="0"/>
    </xf>
    <xf numFmtId="2" fontId="116" fillId="0" borderId="0" xfId="32" applyNumberFormat="1" applyFont="1" applyAlignment="1" applyProtection="1">
      <alignment horizontal="right" vertical="center"/>
      <protection locked="0"/>
    </xf>
    <xf numFmtId="2" fontId="51" fillId="0" borderId="0" xfId="32" applyNumberFormat="1" applyAlignment="1" applyProtection="1">
      <alignment horizontal="left" vertical="center"/>
      <protection locked="0"/>
    </xf>
    <xf numFmtId="2" fontId="68" fillId="0" borderId="0" xfId="32" applyNumberFormat="1" applyFont="1" applyAlignment="1" applyProtection="1">
      <alignment horizontal="left" vertical="center"/>
      <protection locked="0"/>
    </xf>
    <xf numFmtId="0" fontId="117" fillId="0" borderId="0" xfId="32" applyFont="1" applyAlignment="1" applyProtection="1">
      <alignment horizontal="left" vertical="center"/>
      <protection locked="0"/>
    </xf>
    <xf numFmtId="37" fontId="54" fillId="0" borderId="30" xfId="3" applyNumberFormat="1" applyFont="1" applyBorder="1" applyAlignment="1" applyProtection="1">
      <alignment horizontal="right"/>
      <protection locked="0"/>
    </xf>
    <xf numFmtId="167" fontId="54" fillId="0" borderId="30" xfId="24" applyNumberFormat="1" applyFont="1" applyBorder="1" applyAlignment="1" applyProtection="1">
      <alignment horizontal="right"/>
      <protection locked="0"/>
    </xf>
    <xf numFmtId="1" fontId="54" fillId="0" borderId="30" xfId="32" applyNumberFormat="1" applyFont="1" applyBorder="1" applyAlignment="1" applyProtection="1">
      <alignment horizontal="right" wrapText="1"/>
      <protection locked="0"/>
    </xf>
    <xf numFmtId="49" fontId="54" fillId="0" borderId="30" xfId="32" applyNumberFormat="1" applyFont="1" applyBorder="1" applyAlignment="1" applyProtection="1">
      <alignment horizontal="left" wrapText="1"/>
      <protection locked="0"/>
    </xf>
    <xf numFmtId="0" fontId="57" fillId="0" borderId="30" xfId="32" applyFont="1" applyBorder="1" applyAlignment="1" applyProtection="1">
      <alignment horizontal="left" wrapText="1"/>
      <protection locked="0"/>
    </xf>
    <xf numFmtId="0" fontId="57" fillId="0" borderId="30" xfId="37" applyFont="1" applyBorder="1" applyAlignment="1">
      <alignment horizontal="left" wrapText="1"/>
    </xf>
    <xf numFmtId="4" fontId="57" fillId="0" borderId="30" xfId="32" applyNumberFormat="1" applyFont="1" applyBorder="1" applyAlignment="1" applyProtection="1">
      <alignment horizontal="right"/>
      <protection locked="0"/>
    </xf>
    <xf numFmtId="4" fontId="54" fillId="0" borderId="30" xfId="32" applyNumberFormat="1" applyFont="1" applyBorder="1" applyAlignment="1" applyProtection="1">
      <alignment horizontal="right"/>
      <protection locked="0"/>
    </xf>
    <xf numFmtId="39" fontId="54" fillId="0" borderId="30" xfId="32" applyNumberFormat="1" applyFont="1" applyBorder="1" applyAlignment="1" applyProtection="1">
      <alignment horizontal="center"/>
      <protection locked="0"/>
    </xf>
    <xf numFmtId="169" fontId="68" fillId="0" borderId="0" xfId="32" applyNumberFormat="1" applyFont="1" applyAlignment="1" applyProtection="1">
      <alignment horizontal="left" vertical="center"/>
      <protection locked="0"/>
    </xf>
    <xf numFmtId="1" fontId="8" fillId="0" borderId="30" xfId="24" applyNumberFormat="1" applyFont="1" applyBorder="1" applyAlignment="1" applyProtection="1">
      <alignment horizontal="right"/>
      <protection locked="0"/>
    </xf>
    <xf numFmtId="4" fontId="8" fillId="0" borderId="30" xfId="24" applyNumberFormat="1" applyFont="1" applyBorder="1" applyAlignment="1" applyProtection="1">
      <alignment horizontal="right"/>
      <protection locked="0"/>
    </xf>
    <xf numFmtId="4" fontId="76" fillId="0" borderId="0" xfId="24" applyNumberFormat="1" applyFont="1" applyAlignment="1" applyProtection="1">
      <alignment horizontal="center" vertical="center"/>
      <protection locked="0"/>
    </xf>
    <xf numFmtId="4" fontId="77" fillId="0" borderId="0" xfId="24" applyNumberFormat="1" applyFont="1" applyAlignment="1" applyProtection="1">
      <alignment horizontal="center" vertical="center"/>
      <protection locked="0"/>
    </xf>
    <xf numFmtId="37" fontId="8" fillId="0" borderId="30" xfId="28" applyNumberFormat="1" applyFont="1" applyBorder="1" applyAlignment="1">
      <alignment horizontal="right"/>
      <protection locked="0"/>
    </xf>
    <xf numFmtId="37" fontId="66" fillId="0" borderId="30" xfId="24" applyNumberFormat="1" applyFont="1" applyBorder="1" applyAlignment="1" applyProtection="1">
      <alignment horizontal="right"/>
      <protection locked="0"/>
    </xf>
    <xf numFmtId="49" fontId="66" fillId="0" borderId="30" xfId="24" applyNumberFormat="1" applyFont="1" applyBorder="1" applyAlignment="1" applyProtection="1">
      <alignment horizontal="left" wrapText="1"/>
      <protection locked="0"/>
    </xf>
    <xf numFmtId="0" fontId="66" fillId="0" borderId="30" xfId="24" applyFont="1" applyBorder="1" applyAlignment="1" applyProtection="1">
      <alignment horizontal="left" wrapText="1"/>
      <protection locked="0"/>
    </xf>
    <xf numFmtId="0" fontId="38" fillId="0" borderId="30" xfId="24" applyBorder="1" applyAlignment="1" applyProtection="1">
      <alignment horizontal="left" vertical="top"/>
      <protection locked="0"/>
    </xf>
    <xf numFmtId="1" fontId="72" fillId="0" borderId="30" xfId="24" applyNumberFormat="1" applyFont="1" applyBorder="1" applyAlignment="1" applyProtection="1">
      <alignment horizontal="right"/>
      <protection locked="0"/>
    </xf>
    <xf numFmtId="0" fontId="72" fillId="0" borderId="30" xfId="24" applyFont="1" applyBorder="1" applyAlignment="1" applyProtection="1">
      <alignment horizontal="left" wrapText="1"/>
      <protection locked="0"/>
    </xf>
    <xf numFmtId="4" fontId="28" fillId="5" borderId="30" xfId="24" applyNumberFormat="1" applyFont="1" applyFill="1" applyBorder="1" applyAlignment="1" applyProtection="1">
      <alignment horizontal="right"/>
      <protection locked="0"/>
    </xf>
    <xf numFmtId="37" fontId="28" fillId="0" borderId="30" xfId="24" applyNumberFormat="1" applyFont="1" applyBorder="1" applyAlignment="1" applyProtection="1">
      <alignment horizontal="right"/>
      <protection locked="0"/>
    </xf>
    <xf numFmtId="0" fontId="11" fillId="0" borderId="0" xfId="24" applyFont="1" applyAlignment="1" applyProtection="1">
      <alignment horizontal="left" vertical="center"/>
      <protection locked="0"/>
    </xf>
    <xf numFmtId="0" fontId="84" fillId="0" borderId="0" xfId="48" applyFont="1" applyAlignment="1">
      <alignment horizontal="right" vertical="center"/>
      <protection locked="0"/>
    </xf>
    <xf numFmtId="167" fontId="8" fillId="0" borderId="30" xfId="24" applyNumberFormat="1" applyFont="1" applyBorder="1" applyAlignment="1" applyProtection="1">
      <alignment horizontal="left" wrapText="1"/>
      <protection locked="0"/>
    </xf>
    <xf numFmtId="4" fontId="8" fillId="7" borderId="30" xfId="24" applyNumberFormat="1" applyFont="1" applyFill="1" applyBorder="1" applyAlignment="1" applyProtection="1">
      <alignment horizontal="right"/>
      <protection locked="0"/>
    </xf>
    <xf numFmtId="2" fontId="119" fillId="0" borderId="0" xfId="28" applyNumberFormat="1" applyFont="1" applyAlignment="1">
      <alignment horizontal="left" vertical="center"/>
      <protection locked="0"/>
    </xf>
    <xf numFmtId="2" fontId="28" fillId="0" borderId="30" xfId="24" applyNumberFormat="1" applyFont="1" applyBorder="1" applyAlignment="1" applyProtection="1">
      <alignment horizontal="right"/>
      <protection locked="0"/>
    </xf>
    <xf numFmtId="4" fontId="28" fillId="0" borderId="30" xfId="24" applyNumberFormat="1" applyFont="1" applyBorder="1" applyAlignment="1" applyProtection="1">
      <alignment horizontal="right"/>
      <protection locked="0"/>
    </xf>
    <xf numFmtId="37" fontId="8" fillId="0" borderId="30" xfId="26" applyNumberFormat="1" applyFont="1" applyBorder="1" applyAlignment="1" applyProtection="1">
      <alignment horizontal="right"/>
      <protection locked="0"/>
    </xf>
    <xf numFmtId="37" fontId="8" fillId="0" borderId="30" xfId="34" applyNumberFormat="1" applyFont="1" applyBorder="1" applyAlignment="1" applyProtection="1">
      <alignment horizontal="right"/>
      <protection locked="0"/>
    </xf>
    <xf numFmtId="37" fontId="66" fillId="0" borderId="30" xfId="26" applyNumberFormat="1" applyFont="1" applyBorder="1" applyAlignment="1" applyProtection="1">
      <alignment horizontal="right"/>
      <protection locked="0"/>
    </xf>
    <xf numFmtId="1" fontId="72" fillId="0" borderId="30" xfId="38" applyNumberFormat="1" applyFont="1" applyBorder="1" applyAlignment="1" applyProtection="1">
      <alignment horizontal="right"/>
      <protection locked="0"/>
    </xf>
    <xf numFmtId="37" fontId="72" fillId="0" borderId="30" xfId="26" applyNumberFormat="1" applyFont="1" applyBorder="1" applyAlignment="1" applyProtection="1">
      <alignment horizontal="right"/>
      <protection locked="0"/>
    </xf>
    <xf numFmtId="37" fontId="72" fillId="0" borderId="30" xfId="39" applyNumberFormat="1" applyFont="1" applyBorder="1" applyAlignment="1">
      <alignment horizontal="right"/>
      <protection locked="0"/>
    </xf>
    <xf numFmtId="37" fontId="66" fillId="0" borderId="30" xfId="34" applyNumberFormat="1" applyFont="1" applyBorder="1" applyAlignment="1" applyProtection="1">
      <alignment horizontal="right"/>
      <protection locked="0"/>
    </xf>
    <xf numFmtId="37" fontId="8" fillId="0" borderId="30" xfId="25" applyNumberFormat="1" applyFont="1" applyBorder="1" applyAlignment="1" applyProtection="1">
      <alignment horizontal="right"/>
      <protection locked="0"/>
    </xf>
    <xf numFmtId="0" fontId="64" fillId="0" borderId="0" xfId="24" applyFont="1" applyAlignment="1" applyProtection="1">
      <alignment horizontal="left" vertical="top"/>
      <protection locked="0"/>
    </xf>
    <xf numFmtId="2" fontId="98" fillId="0" borderId="0" xfId="32" applyNumberFormat="1" applyFont="1" applyAlignment="1" applyProtection="1">
      <alignment horizontal="left" vertical="center"/>
      <protection locked="0"/>
    </xf>
    <xf numFmtId="0" fontId="120" fillId="0" borderId="0" xfId="24" applyFont="1" applyAlignment="1">
      <alignment vertical="center"/>
    </xf>
    <xf numFmtId="0" fontId="55" fillId="0" borderId="0" xfId="24" applyFont="1" applyAlignment="1">
      <alignment vertical="center"/>
    </xf>
    <xf numFmtId="0" fontId="58" fillId="0" borderId="0" xfId="24" applyFont="1" applyAlignment="1">
      <alignment horizontal="right" vertical="center"/>
    </xf>
    <xf numFmtId="173" fontId="37" fillId="0" borderId="30" xfId="24" applyNumberFormat="1" applyFont="1" applyBorder="1" applyAlignment="1" applyProtection="1">
      <alignment horizontal="right"/>
      <protection locked="0"/>
    </xf>
    <xf numFmtId="0" fontId="71" fillId="0" borderId="0" xfId="24" applyFont="1" applyAlignment="1" applyProtection="1">
      <alignment vertical="center"/>
      <protection locked="0"/>
    </xf>
    <xf numFmtId="0" fontId="38" fillId="0" borderId="0" xfId="24" applyAlignment="1" applyProtection="1">
      <alignment horizontal="right" vertical="center"/>
      <protection locked="0"/>
    </xf>
    <xf numFmtId="0" fontId="71" fillId="0" borderId="0" xfId="32" applyFont="1" applyAlignment="1" applyProtection="1">
      <alignment vertical="center"/>
      <protection locked="0"/>
    </xf>
    <xf numFmtId="0" fontId="121" fillId="0" borderId="30" xfId="32" applyFont="1" applyBorder="1" applyAlignment="1" applyProtection="1">
      <alignment horizontal="right" vertical="center" wrapText="1"/>
      <protection locked="0"/>
    </xf>
    <xf numFmtId="0" fontId="122" fillId="0" borderId="30" xfId="32" applyFont="1" applyBorder="1" applyAlignment="1" applyProtection="1">
      <alignment horizontal="left" wrapText="1"/>
      <protection locked="0"/>
    </xf>
    <xf numFmtId="0" fontId="28" fillId="0" borderId="30" xfId="24" applyFont="1" applyBorder="1" applyAlignment="1" applyProtection="1">
      <alignment horizontal="left" vertical="center" wrapText="1"/>
      <protection locked="0"/>
    </xf>
    <xf numFmtId="39" fontId="37" fillId="0" borderId="30" xfId="32" applyNumberFormat="1" applyFont="1" applyBorder="1" applyAlignment="1" applyProtection="1">
      <alignment horizontal="right"/>
      <protection locked="0"/>
    </xf>
    <xf numFmtId="0" fontId="69" fillId="0" borderId="0" xfId="51" applyFont="1" applyFill="1" applyAlignment="1" applyProtection="1">
      <alignment vertical="center"/>
    </xf>
    <xf numFmtId="0" fontId="124" fillId="0" borderId="0" xfId="32" applyFont="1" applyAlignment="1" applyProtection="1">
      <alignment horizontal="left" vertical="top"/>
      <protection locked="0"/>
    </xf>
    <xf numFmtId="1" fontId="66" fillId="0" borderId="30" xfId="24" applyNumberFormat="1" applyFont="1" applyBorder="1" applyAlignment="1" applyProtection="1">
      <alignment horizontal="right"/>
      <protection locked="0"/>
    </xf>
    <xf numFmtId="0" fontId="81" fillId="0" borderId="0" xfId="32" applyFont="1" applyAlignment="1" applyProtection="1">
      <alignment horizontal="left" vertical="top"/>
      <protection locked="0"/>
    </xf>
    <xf numFmtId="167" fontId="51" fillId="0" borderId="0" xfId="32" applyNumberFormat="1" applyAlignment="1" applyProtection="1">
      <alignment horizontal="left" vertical="top"/>
      <protection locked="0"/>
    </xf>
    <xf numFmtId="4" fontId="109" fillId="0" borderId="0" xfId="3" applyNumberFormat="1" applyFont="1"/>
    <xf numFmtId="167" fontId="109" fillId="0" borderId="0" xfId="3" applyNumberFormat="1" applyFont="1"/>
    <xf numFmtId="39" fontId="37" fillId="7" borderId="30" xfId="3" applyNumberFormat="1" applyFont="1" applyFill="1" applyBorder="1" applyAlignment="1" applyProtection="1">
      <alignment horizontal="right"/>
      <protection locked="0"/>
    </xf>
    <xf numFmtId="37" fontId="86" fillId="0" borderId="0" xfId="24" applyNumberFormat="1" applyFont="1" applyAlignment="1" applyProtection="1">
      <alignment horizontal="right"/>
      <protection locked="0"/>
    </xf>
    <xf numFmtId="0" fontId="86" fillId="0" borderId="0" xfId="24" applyFont="1" applyAlignment="1" applyProtection="1">
      <alignment horizontal="left" wrapText="1"/>
      <protection locked="0"/>
    </xf>
    <xf numFmtId="170" fontId="86" fillId="0" borderId="0" xfId="24" applyNumberFormat="1" applyFont="1" applyAlignment="1" applyProtection="1">
      <alignment horizontal="right"/>
      <protection locked="0"/>
    </xf>
    <xf numFmtId="39" fontId="86" fillId="0" borderId="0" xfId="24" applyNumberFormat="1" applyFont="1" applyAlignment="1" applyProtection="1">
      <alignment horizontal="right"/>
      <protection locked="0"/>
    </xf>
    <xf numFmtId="37" fontId="8" fillId="0" borderId="21" xfId="24" applyNumberFormat="1" applyFont="1" applyBorder="1" applyAlignment="1" applyProtection="1">
      <alignment horizontal="right"/>
      <protection locked="0"/>
    </xf>
    <xf numFmtId="0" fontId="8" fillId="0" borderId="21" xfId="24" applyFont="1" applyBorder="1" applyAlignment="1" applyProtection="1">
      <alignment horizontal="left" wrapText="1"/>
      <protection locked="0"/>
    </xf>
    <xf numFmtId="0" fontId="8" fillId="0" borderId="21" xfId="24" applyFont="1" applyBorder="1" applyAlignment="1" applyProtection="1">
      <alignment horizontal="center" wrapText="1"/>
      <protection locked="0"/>
    </xf>
    <xf numFmtId="170" fontId="8" fillId="0" borderId="21" xfId="24" applyNumberFormat="1" applyFont="1" applyBorder="1" applyAlignment="1" applyProtection="1">
      <alignment horizontal="right"/>
      <protection locked="0"/>
    </xf>
    <xf numFmtId="39" fontId="8" fillId="0" borderId="21" xfId="24" applyNumberFormat="1" applyFont="1" applyBorder="1" applyAlignment="1" applyProtection="1">
      <alignment horizontal="right"/>
      <protection locked="0"/>
    </xf>
    <xf numFmtId="0" fontId="87" fillId="0" borderId="0" xfId="24" applyFont="1" applyAlignment="1" applyProtection="1">
      <alignment horizontal="left" vertical="top"/>
      <protection locked="0"/>
    </xf>
    <xf numFmtId="0" fontId="37" fillId="0" borderId="32" xfId="24" applyFont="1" applyBorder="1" applyAlignment="1" applyProtection="1">
      <alignment horizontal="left"/>
      <protection locked="0"/>
    </xf>
    <xf numFmtId="0" fontId="66" fillId="0" borderId="33" xfId="24" applyFont="1" applyBorder="1" applyAlignment="1" applyProtection="1">
      <alignment horizontal="center"/>
      <protection locked="0"/>
    </xf>
    <xf numFmtId="170" fontId="66" fillId="0" borderId="33" xfId="24" applyNumberFormat="1" applyFont="1" applyBorder="1" applyAlignment="1" applyProtection="1">
      <alignment horizontal="right"/>
      <protection locked="0"/>
    </xf>
    <xf numFmtId="39" fontId="8" fillId="0" borderId="33" xfId="24" applyNumberFormat="1" applyFont="1" applyBorder="1" applyAlignment="1" applyProtection="1">
      <alignment horizontal="right"/>
      <protection locked="0"/>
    </xf>
    <xf numFmtId="39" fontId="48" fillId="0" borderId="0" xfId="24" applyNumberFormat="1" applyFont="1" applyAlignment="1" applyProtection="1">
      <alignment horizontal="center"/>
      <protection locked="0"/>
    </xf>
    <xf numFmtId="37" fontId="66" fillId="0" borderId="0" xfId="24" applyNumberFormat="1" applyFont="1" applyAlignment="1" applyProtection="1">
      <alignment horizontal="right"/>
      <protection locked="0"/>
    </xf>
    <xf numFmtId="0" fontId="66" fillId="0" borderId="0" xfId="24" applyFont="1" applyAlignment="1" applyProtection="1">
      <alignment horizontal="left" wrapText="1"/>
      <protection locked="0"/>
    </xf>
    <xf numFmtId="0" fontId="8" fillId="0" borderId="0" xfId="24" applyFont="1" applyAlignment="1" applyProtection="1">
      <alignment horizontal="left" wrapText="1"/>
      <protection locked="0"/>
    </xf>
    <xf numFmtId="0" fontId="66" fillId="0" borderId="0" xfId="24" applyFont="1" applyAlignment="1" applyProtection="1">
      <alignment horizontal="center" wrapText="1"/>
      <protection locked="0"/>
    </xf>
    <xf numFmtId="170" fontId="66" fillId="0" borderId="0" xfId="24" applyNumberFormat="1" applyFont="1" applyAlignment="1" applyProtection="1">
      <alignment horizontal="right"/>
      <protection locked="0"/>
    </xf>
    <xf numFmtId="39" fontId="66" fillId="0" borderId="0" xfId="24" applyNumberFormat="1" applyFont="1" applyAlignment="1" applyProtection="1">
      <alignment horizontal="right"/>
      <protection locked="0"/>
    </xf>
    <xf numFmtId="39" fontId="8" fillId="0" borderId="0" xfId="24" applyNumberFormat="1" applyFont="1" applyAlignment="1" applyProtection="1">
      <alignment horizontal="right"/>
      <protection locked="0"/>
    </xf>
    <xf numFmtId="0" fontId="38" fillId="0" borderId="0" xfId="24" applyAlignment="1" applyProtection="1">
      <alignment vertical="top"/>
      <protection locked="0"/>
    </xf>
    <xf numFmtId="0" fontId="53" fillId="0" borderId="0" xfId="24" applyFont="1" applyAlignment="1" applyProtection="1">
      <alignment horizontal="left" vertical="top"/>
      <protection locked="0"/>
    </xf>
    <xf numFmtId="0" fontId="87" fillId="0" borderId="0" xfId="24" applyFont="1" applyAlignment="1" applyProtection="1">
      <alignment vertical="top"/>
      <protection locked="0"/>
    </xf>
    <xf numFmtId="2" fontId="87" fillId="0" borderId="0" xfId="24" applyNumberFormat="1" applyFont="1" applyAlignment="1" applyProtection="1">
      <alignment vertical="top"/>
      <protection locked="0"/>
    </xf>
    <xf numFmtId="2" fontId="48" fillId="0" borderId="0" xfId="24" applyNumberFormat="1" applyFont="1" applyAlignment="1" applyProtection="1">
      <alignment horizontal="center"/>
      <protection locked="0"/>
    </xf>
    <xf numFmtId="0" fontId="11" fillId="0" borderId="0" xfId="24" applyFont="1" applyAlignment="1" applyProtection="1">
      <alignment vertical="top"/>
      <protection locked="0"/>
    </xf>
    <xf numFmtId="0" fontId="37" fillId="0" borderId="30" xfId="24" applyFont="1" applyBorder="1" applyAlignment="1" applyProtection="1">
      <alignment horizontal="left" wrapText="1"/>
      <protection locked="0"/>
    </xf>
    <xf numFmtId="2" fontId="37" fillId="0" borderId="30" xfId="24" applyNumberFormat="1" applyFont="1" applyBorder="1" applyAlignment="1" applyProtection="1">
      <alignment horizontal="right"/>
      <protection locked="0"/>
    </xf>
    <xf numFmtId="39" fontId="37" fillId="0" borderId="30" xfId="24" applyNumberFormat="1" applyFont="1" applyBorder="1" applyAlignment="1" applyProtection="1">
      <alignment horizontal="right"/>
      <protection locked="0"/>
    </xf>
    <xf numFmtId="171" fontId="51" fillId="0" borderId="0" xfId="32" applyNumberFormat="1" applyAlignment="1" applyProtection="1">
      <alignment horizontal="left" vertical="top"/>
      <protection locked="0"/>
    </xf>
    <xf numFmtId="39" fontId="68" fillId="0" borderId="0" xfId="32" applyNumberFormat="1" applyFont="1" applyAlignment="1" applyProtection="1">
      <alignment horizontal="left" vertical="center"/>
      <protection locked="0"/>
    </xf>
    <xf numFmtId="167" fontId="68" fillId="0" borderId="0" xfId="32" applyNumberFormat="1" applyFont="1" applyAlignment="1" applyProtection="1">
      <alignment horizontal="left" vertical="center"/>
      <protection locked="0"/>
    </xf>
    <xf numFmtId="172" fontId="68" fillId="0" borderId="0" xfId="32" applyNumberFormat="1" applyFont="1" applyAlignment="1" applyProtection="1">
      <alignment horizontal="left" vertical="center"/>
      <protection locked="0"/>
    </xf>
    <xf numFmtId="167" fontId="115" fillId="0" borderId="0" xfId="32" applyNumberFormat="1" applyFont="1" applyAlignment="1" applyProtection="1">
      <alignment horizontal="right" vertical="center"/>
      <protection locked="0"/>
    </xf>
    <xf numFmtId="167" fontId="116" fillId="0" borderId="0" xfId="32" applyNumberFormat="1" applyFont="1" applyAlignment="1" applyProtection="1">
      <alignment horizontal="right" vertical="center"/>
      <protection locked="0"/>
    </xf>
    <xf numFmtId="0" fontId="125" fillId="0" borderId="0" xfId="32" applyFont="1" applyAlignment="1" applyProtection="1">
      <alignment horizontal="left" vertical="top"/>
      <protection locked="0"/>
    </xf>
    <xf numFmtId="0" fontId="126" fillId="0" borderId="0" xfId="32" applyFont="1" applyAlignment="1" applyProtection="1">
      <alignment horizontal="right" vertical="top"/>
      <protection locked="0"/>
    </xf>
    <xf numFmtId="0" fontId="126" fillId="0" borderId="0" xfId="32" applyFont="1" applyAlignment="1" applyProtection="1">
      <alignment horizontal="left" vertical="top"/>
      <protection locked="0"/>
    </xf>
    <xf numFmtId="168" fontId="126" fillId="0" borderId="0" xfId="32" applyNumberFormat="1" applyFont="1" applyAlignment="1" applyProtection="1">
      <alignment horizontal="left" vertical="top"/>
      <protection locked="0"/>
    </xf>
    <xf numFmtId="0" fontId="125" fillId="0" borderId="0" xfId="32" applyFont="1" applyAlignment="1" applyProtection="1">
      <alignment horizontal="left" vertical="center"/>
      <protection locked="0"/>
    </xf>
    <xf numFmtId="4" fontId="127" fillId="0" borderId="30" xfId="32" applyNumberFormat="1" applyFont="1" applyBorder="1" applyAlignment="1" applyProtection="1">
      <alignment horizontal="right"/>
      <protection locked="0"/>
    </xf>
    <xf numFmtId="169" fontId="125" fillId="0" borderId="0" xfId="32" applyNumberFormat="1" applyFont="1" applyAlignment="1" applyProtection="1">
      <alignment horizontal="left" vertical="top"/>
      <protection locked="0"/>
    </xf>
    <xf numFmtId="0" fontId="128" fillId="0" borderId="0" xfId="32" applyFont="1" applyAlignment="1" applyProtection="1">
      <alignment horizontal="left" vertical="center"/>
      <protection locked="0"/>
    </xf>
    <xf numFmtId="169" fontId="129" fillId="0" borderId="0" xfId="32" applyNumberFormat="1" applyFont="1" applyAlignment="1" applyProtection="1">
      <alignment horizontal="right" vertical="center"/>
      <protection locked="0"/>
    </xf>
    <xf numFmtId="169" fontId="130" fillId="0" borderId="0" xfId="32" applyNumberFormat="1" applyFont="1" applyAlignment="1" applyProtection="1">
      <alignment horizontal="right" vertical="center"/>
      <protection locked="0"/>
    </xf>
    <xf numFmtId="169" fontId="126" fillId="0" borderId="0" xfId="32" applyNumberFormat="1" applyFont="1" applyAlignment="1" applyProtection="1">
      <alignment horizontal="left" vertical="top"/>
      <protection locked="0"/>
    </xf>
    <xf numFmtId="2" fontId="126" fillId="0" borderId="0" xfId="32" applyNumberFormat="1" applyFont="1" applyAlignment="1" applyProtection="1">
      <alignment horizontal="left" vertical="top"/>
      <protection locked="0"/>
    </xf>
    <xf numFmtId="2" fontId="129" fillId="0" borderId="0" xfId="32" applyNumberFormat="1" applyFont="1" applyAlignment="1" applyProtection="1">
      <alignment horizontal="right" vertical="center"/>
      <protection locked="0"/>
    </xf>
    <xf numFmtId="171" fontId="128" fillId="0" borderId="0" xfId="32" applyNumberFormat="1" applyFont="1" applyAlignment="1" applyProtection="1">
      <alignment horizontal="left" vertical="center"/>
      <protection locked="0"/>
    </xf>
    <xf numFmtId="2" fontId="131" fillId="0" borderId="0" xfId="32" applyNumberFormat="1" applyFont="1" applyAlignment="1" applyProtection="1">
      <alignment horizontal="left" vertical="center"/>
      <protection locked="0"/>
    </xf>
    <xf numFmtId="171" fontId="126" fillId="0" borderId="0" xfId="32" applyNumberFormat="1" applyFont="1" applyAlignment="1" applyProtection="1">
      <alignment horizontal="left" vertical="top"/>
      <protection locked="0"/>
    </xf>
    <xf numFmtId="39" fontId="128" fillId="0" borderId="0" xfId="32" applyNumberFormat="1" applyFont="1" applyAlignment="1" applyProtection="1">
      <alignment horizontal="left" vertical="center"/>
      <protection locked="0"/>
    </xf>
    <xf numFmtId="2" fontId="132" fillId="0" borderId="0" xfId="32" applyNumberFormat="1" applyFont="1" applyAlignment="1" applyProtection="1">
      <alignment horizontal="left" vertical="center"/>
      <protection locked="0"/>
    </xf>
    <xf numFmtId="37" fontId="8" fillId="7" borderId="30" xfId="25" applyNumberFormat="1" applyFont="1" applyFill="1" applyBorder="1" applyAlignment="1" applyProtection="1">
      <alignment horizontal="right"/>
      <protection locked="0"/>
    </xf>
    <xf numFmtId="0" fontId="133" fillId="0" borderId="0" xfId="24" applyFont="1" applyAlignment="1" applyProtection="1">
      <alignment horizontal="left" vertical="center"/>
      <protection locked="0"/>
    </xf>
    <xf numFmtId="0" fontId="103" fillId="0" borderId="0" xfId="24" applyFont="1" applyAlignment="1" applyProtection="1">
      <alignment vertical="top"/>
      <protection locked="0"/>
    </xf>
    <xf numFmtId="0" fontId="64" fillId="0" borderId="0" xfId="25" applyFont="1" applyAlignment="1" applyProtection="1">
      <alignment horizontal="left" vertical="top"/>
      <protection locked="0"/>
    </xf>
    <xf numFmtId="0" fontId="32" fillId="0" borderId="0" xfId="25" applyFont="1" applyAlignment="1" applyProtection="1">
      <alignment horizontal="left" vertical="top"/>
      <protection locked="0"/>
    </xf>
    <xf numFmtId="0" fontId="117" fillId="0" borderId="0" xfId="25" applyFont="1" applyAlignment="1" applyProtection="1">
      <alignment horizontal="left" vertical="center"/>
      <protection locked="0"/>
    </xf>
    <xf numFmtId="0" fontId="28" fillId="0" borderId="30" xfId="37" applyFont="1" applyBorder="1" applyAlignment="1">
      <alignment horizontal="left" vertical="center" wrapText="1"/>
    </xf>
    <xf numFmtId="37" fontId="8" fillId="7" borderId="30" xfId="3" applyNumberFormat="1" applyFont="1" applyFill="1" applyBorder="1" applyAlignment="1" applyProtection="1">
      <alignment horizontal="right"/>
      <protection locked="0"/>
    </xf>
    <xf numFmtId="0" fontId="37" fillId="7" borderId="30" xfId="3" applyFont="1" applyFill="1" applyBorder="1" applyAlignment="1" applyProtection="1">
      <alignment horizontal="left" wrapText="1"/>
      <protection locked="0"/>
    </xf>
    <xf numFmtId="39" fontId="48" fillId="7" borderId="30" xfId="3" applyNumberFormat="1" applyFont="1" applyFill="1" applyBorder="1" applyAlignment="1" applyProtection="1">
      <alignment horizontal="center"/>
      <protection locked="0"/>
    </xf>
    <xf numFmtId="0" fontId="10" fillId="7" borderId="30" xfId="3" applyFill="1" applyBorder="1" applyAlignment="1" applyProtection="1">
      <alignment horizontal="left" vertical="top"/>
      <protection locked="0"/>
    </xf>
    <xf numFmtId="0" fontId="36" fillId="0" borderId="0" xfId="3" applyFont="1" applyAlignment="1">
      <alignment horizontal="left"/>
    </xf>
    <xf numFmtId="0" fontId="134" fillId="0" borderId="0" xfId="3" applyFont="1" applyAlignment="1">
      <alignment horizontal="left" vertical="center"/>
    </xf>
    <xf numFmtId="0" fontId="36" fillId="0" borderId="0" xfId="3" applyFont="1" applyAlignment="1">
      <alignment horizontal="center"/>
    </xf>
    <xf numFmtId="0" fontId="44" fillId="0" borderId="0" xfId="3" applyFont="1" applyAlignment="1">
      <alignment horizontal="right" vertical="top"/>
    </xf>
    <xf numFmtId="0" fontId="45" fillId="0" borderId="31" xfId="3" applyFont="1" applyBorder="1" applyAlignment="1">
      <alignment horizontal="center" vertical="center" wrapText="1"/>
    </xf>
    <xf numFmtId="0" fontId="45" fillId="0" borderId="12" xfId="3" applyFont="1" applyBorder="1" applyAlignment="1">
      <alignment horizontal="center" vertical="center" wrapText="1"/>
    </xf>
    <xf numFmtId="0" fontId="83" fillId="0" borderId="0" xfId="3" applyFont="1" applyAlignment="1">
      <alignment horizontal="left" vertical="center"/>
    </xf>
    <xf numFmtId="37" fontId="37" fillId="0" borderId="0" xfId="3" applyNumberFormat="1" applyFont="1" applyAlignment="1">
      <alignment horizontal="right"/>
    </xf>
    <xf numFmtId="0" fontId="37" fillId="0" borderId="0" xfId="3" applyFont="1" applyAlignment="1">
      <alignment horizontal="left" wrapText="1"/>
    </xf>
    <xf numFmtId="170" fontId="37" fillId="0" borderId="0" xfId="3" applyNumberFormat="1" applyFont="1" applyAlignment="1">
      <alignment horizontal="right"/>
    </xf>
    <xf numFmtId="39" fontId="37" fillId="0" borderId="0" xfId="3" applyNumberFormat="1" applyFont="1" applyAlignment="1">
      <alignment horizontal="right"/>
    </xf>
    <xf numFmtId="0" fontId="10" fillId="0" borderId="0" xfId="3" applyAlignment="1">
      <alignment horizontal="left" vertical="top"/>
    </xf>
    <xf numFmtId="37" fontId="37" fillId="0" borderId="30" xfId="3" applyNumberFormat="1" applyFont="1" applyBorder="1" applyAlignment="1">
      <alignment horizontal="right"/>
    </xf>
    <xf numFmtId="0" fontId="37" fillId="0" borderId="30" xfId="3" applyFont="1" applyBorder="1" applyAlignment="1">
      <alignment horizontal="center" wrapText="1"/>
    </xf>
    <xf numFmtId="170" fontId="37" fillId="0" borderId="30" xfId="3" applyNumberFormat="1" applyFont="1" applyBorder="1" applyAlignment="1">
      <alignment horizontal="right"/>
    </xf>
    <xf numFmtId="39" fontId="37" fillId="7" borderId="30" xfId="3" applyNumberFormat="1" applyFont="1" applyFill="1" applyBorder="1" applyAlignment="1">
      <alignment horizontal="right"/>
    </xf>
    <xf numFmtId="0" fontId="11" fillId="7" borderId="30" xfId="3" applyFont="1" applyFill="1" applyBorder="1" applyAlignment="1">
      <alignment horizontal="left" vertical="top"/>
    </xf>
    <xf numFmtId="0" fontId="43" fillId="0" borderId="0" xfId="3" applyFont="1" applyAlignment="1">
      <alignment vertical="center"/>
    </xf>
    <xf numFmtId="167" fontId="43" fillId="0" borderId="0" xfId="3" applyNumberFormat="1" applyFont="1" applyAlignment="1">
      <alignment vertical="center"/>
    </xf>
    <xf numFmtId="0" fontId="28" fillId="0" borderId="30" xfId="52" applyFont="1" applyBorder="1" applyAlignment="1" applyProtection="1">
      <alignment horizontal="left" wrapText="1"/>
      <protection locked="0"/>
    </xf>
    <xf numFmtId="0" fontId="8" fillId="0" borderId="30" xfId="43" applyFont="1" applyBorder="1" applyAlignment="1" applyProtection="1">
      <alignment horizontal="left" wrapText="1"/>
      <protection locked="0"/>
    </xf>
    <xf numFmtId="2" fontId="71" fillId="0" borderId="0" xfId="43" applyNumberFormat="1" applyFont="1" applyAlignment="1" applyProtection="1">
      <alignment horizontal="left" vertical="center"/>
      <protection locked="0"/>
    </xf>
    <xf numFmtId="0" fontId="7" fillId="0" borderId="0" xfId="43" applyAlignment="1" applyProtection="1">
      <alignment horizontal="left" vertical="top"/>
      <protection locked="0"/>
    </xf>
    <xf numFmtId="0" fontId="135" fillId="0" borderId="0" xfId="43" applyFont="1" applyAlignment="1" applyProtection="1">
      <alignment horizontal="center" vertical="center" wrapText="1"/>
      <protection locked="0"/>
    </xf>
    <xf numFmtId="0" fontId="71" fillId="0" borderId="0" xfId="43" applyFont="1" applyAlignment="1" applyProtection="1">
      <alignment horizontal="left" vertical="center"/>
      <protection locked="0"/>
    </xf>
    <xf numFmtId="39" fontId="37" fillId="0" borderId="0" xfId="24" applyNumberFormat="1" applyFont="1" applyAlignment="1" applyProtection="1">
      <alignment horizontal="left"/>
      <protection locked="0"/>
    </xf>
    <xf numFmtId="0" fontId="73" fillId="0" borderId="0" xfId="24" applyFont="1" applyAlignment="1" applyProtection="1">
      <alignment horizontal="right" vertical="center"/>
      <protection locked="0"/>
    </xf>
    <xf numFmtId="1" fontId="8" fillId="0" borderId="30" xfId="52" applyNumberFormat="1" applyFont="1" applyBorder="1" applyAlignment="1" applyProtection="1">
      <alignment horizontal="right"/>
      <protection locked="0"/>
    </xf>
    <xf numFmtId="49" fontId="8" fillId="0" borderId="30" xfId="52" applyNumberFormat="1" applyFont="1" applyBorder="1" applyAlignment="1" applyProtection="1">
      <alignment horizontal="left" wrapText="1"/>
      <protection locked="0"/>
    </xf>
    <xf numFmtId="0" fontId="8" fillId="0" borderId="30" xfId="52" applyFont="1" applyBorder="1" applyAlignment="1" applyProtection="1">
      <alignment horizontal="left" wrapText="1"/>
      <protection locked="0"/>
    </xf>
    <xf numFmtId="4" fontId="8" fillId="0" borderId="30" xfId="52" applyNumberFormat="1" applyFont="1" applyBorder="1" applyAlignment="1" applyProtection="1">
      <alignment horizontal="right"/>
      <protection locked="0"/>
    </xf>
    <xf numFmtId="0" fontId="47" fillId="0" borderId="0" xfId="52" applyFont="1" applyAlignment="1" applyProtection="1">
      <alignment horizontal="left" vertical="center"/>
      <protection locked="0"/>
    </xf>
    <xf numFmtId="0" fontId="7" fillId="0" borderId="0" xfId="52" applyAlignment="1" applyProtection="1">
      <alignment horizontal="left" vertical="top"/>
      <protection locked="0"/>
    </xf>
    <xf numFmtId="1" fontId="28" fillId="0" borderId="30" xfId="52" applyNumberFormat="1" applyFont="1" applyBorder="1" applyAlignment="1" applyProtection="1">
      <alignment horizontal="right"/>
      <protection locked="0"/>
    </xf>
    <xf numFmtId="0" fontId="72" fillId="0" borderId="30" xfId="52" applyFont="1" applyBorder="1" applyAlignment="1" applyProtection="1">
      <alignment horizontal="left" wrapText="1"/>
      <protection locked="0"/>
    </xf>
    <xf numFmtId="167" fontId="72" fillId="0" borderId="30" xfId="52" applyNumberFormat="1" applyFont="1" applyBorder="1" applyAlignment="1" applyProtection="1">
      <alignment horizontal="right"/>
      <protection locked="0"/>
    </xf>
    <xf numFmtId="4" fontId="28" fillId="0" borderId="30" xfId="52" applyNumberFormat="1" applyFont="1" applyBorder="1" applyAlignment="1" applyProtection="1">
      <alignment horizontal="right"/>
      <protection locked="0"/>
    </xf>
    <xf numFmtId="0" fontId="7" fillId="0" borderId="30" xfId="52" applyBorder="1" applyAlignment="1" applyProtection="1">
      <alignment horizontal="center" vertical="top"/>
      <protection locked="0"/>
    </xf>
    <xf numFmtId="0" fontId="53" fillId="0" borderId="0" xfId="52" applyFont="1" applyAlignment="1" applyProtection="1">
      <alignment horizontal="left" vertical="top"/>
      <protection locked="0"/>
    </xf>
    <xf numFmtId="39" fontId="8" fillId="0" borderId="30" xfId="27" applyNumberFormat="1" applyFont="1" applyBorder="1" applyAlignment="1">
      <alignment horizontal="center"/>
      <protection locked="0"/>
    </xf>
    <xf numFmtId="37" fontId="8" fillId="0" borderId="30" xfId="52" applyNumberFormat="1" applyFont="1" applyBorder="1" applyAlignment="1" applyProtection="1">
      <alignment horizontal="right"/>
      <protection locked="0"/>
    </xf>
    <xf numFmtId="39" fontId="8" fillId="0" borderId="30" xfId="52" applyNumberFormat="1" applyFont="1" applyBorder="1" applyAlignment="1" applyProtection="1">
      <alignment horizontal="right"/>
      <protection locked="0"/>
    </xf>
    <xf numFmtId="0" fontId="103" fillId="0" borderId="0" xfId="52" applyFont="1" applyAlignment="1">
      <alignment vertical="center"/>
    </xf>
    <xf numFmtId="0" fontId="7" fillId="0" borderId="0" xfId="52" applyAlignment="1">
      <alignment vertical="center"/>
    </xf>
    <xf numFmtId="0" fontId="7" fillId="0" borderId="0" xfId="52"/>
    <xf numFmtId="0" fontId="28" fillId="0" borderId="30" xfId="52" applyFont="1" applyBorder="1" applyAlignment="1">
      <alignment horizontal="left" vertical="center" wrapText="1"/>
    </xf>
    <xf numFmtId="0" fontId="28" fillId="0" borderId="30" xfId="52" applyFont="1" applyBorder="1" applyAlignment="1">
      <alignment horizontal="left" wrapText="1"/>
    </xf>
    <xf numFmtId="39" fontId="8" fillId="0" borderId="30" xfId="52" applyNumberFormat="1" applyFont="1" applyBorder="1" applyAlignment="1" applyProtection="1">
      <alignment horizontal="center"/>
      <protection locked="0"/>
    </xf>
    <xf numFmtId="0" fontId="123" fillId="0" borderId="0" xfId="51" applyFill="1" applyAlignment="1" applyProtection="1">
      <alignment vertical="center"/>
    </xf>
    <xf numFmtId="37" fontId="8" fillId="0" borderId="30" xfId="27" applyNumberFormat="1" applyFont="1" applyBorder="1" applyAlignment="1" applyProtection="1">
      <alignment horizontal="right"/>
    </xf>
    <xf numFmtId="0" fontId="8" fillId="0" borderId="30" xfId="27" applyFont="1" applyBorder="1" applyAlignment="1" applyProtection="1">
      <alignment horizontal="left" wrapText="1"/>
    </xf>
    <xf numFmtId="167" fontId="28" fillId="0" borderId="30" xfId="27" applyNumberFormat="1" applyFont="1" applyBorder="1" applyAlignment="1">
      <alignment horizontal="right"/>
      <protection locked="0"/>
    </xf>
    <xf numFmtId="39" fontId="8" fillId="0" borderId="30" xfId="27" applyNumberFormat="1" applyFont="1" applyBorder="1" applyAlignment="1" applyProtection="1">
      <alignment horizontal="right"/>
    </xf>
    <xf numFmtId="39" fontId="8" fillId="0" borderId="30" xfId="27" applyNumberFormat="1" applyFont="1" applyBorder="1" applyAlignment="1" applyProtection="1">
      <alignment horizontal="center"/>
    </xf>
    <xf numFmtId="0" fontId="11" fillId="0" borderId="0" xfId="27" applyAlignment="1">
      <alignment horizontal="left" vertical="top"/>
      <protection locked="0"/>
    </xf>
    <xf numFmtId="0" fontId="11" fillId="0" borderId="0" xfId="27" applyAlignment="1">
      <alignment vertical="top"/>
      <protection locked="0"/>
    </xf>
    <xf numFmtId="0" fontId="136" fillId="0" borderId="30" xfId="27" applyFont="1" applyBorder="1" applyAlignment="1" applyProtection="1">
      <alignment horizontal="left" vertical="center"/>
    </xf>
    <xf numFmtId="37" fontId="8" fillId="0" borderId="30" xfId="27" applyNumberFormat="1" applyFont="1" applyBorder="1" applyAlignment="1">
      <alignment horizontal="right"/>
      <protection locked="0"/>
    </xf>
    <xf numFmtId="0" fontId="11" fillId="0" borderId="0" xfId="27" applyAlignment="1">
      <alignment horizontal="left" vertical="center"/>
      <protection locked="0"/>
    </xf>
    <xf numFmtId="167" fontId="28" fillId="0" borderId="30" xfId="52" applyNumberFormat="1" applyFont="1" applyBorder="1" applyProtection="1">
      <protection locked="0"/>
    </xf>
    <xf numFmtId="0" fontId="48" fillId="0" borderId="30" xfId="52" applyFont="1" applyBorder="1" applyAlignment="1" applyProtection="1">
      <alignment horizontal="left" wrapText="1"/>
      <protection locked="0"/>
    </xf>
    <xf numFmtId="167" fontId="28" fillId="0" borderId="30" xfId="27" applyNumberFormat="1" applyFont="1" applyBorder="1" applyAlignment="1">
      <protection locked="0"/>
    </xf>
    <xf numFmtId="39" fontId="48" fillId="0" borderId="30" xfId="52" applyNumberFormat="1" applyFont="1" applyBorder="1" applyAlignment="1" applyProtection="1">
      <alignment horizontal="right"/>
      <protection locked="0"/>
    </xf>
    <xf numFmtId="39" fontId="48" fillId="0" borderId="30" xfId="52" applyNumberFormat="1" applyFont="1" applyBorder="1" applyAlignment="1" applyProtection="1">
      <alignment horizontal="center"/>
      <protection locked="0"/>
    </xf>
    <xf numFmtId="0" fontId="104" fillId="0" borderId="0" xfId="27" applyFont="1" applyAlignment="1">
      <alignment horizontal="left" vertical="center"/>
      <protection locked="0"/>
    </xf>
    <xf numFmtId="37" fontId="37" fillId="0" borderId="30" xfId="32" applyNumberFormat="1" applyFont="1" applyBorder="1" applyAlignment="1" applyProtection="1">
      <alignment horizontal="right"/>
      <protection locked="0"/>
    </xf>
    <xf numFmtId="0" fontId="37" fillId="0" borderId="30" xfId="32" applyFont="1" applyBorder="1" applyAlignment="1" applyProtection="1">
      <alignment horizontal="left" wrapText="1"/>
      <protection locked="0"/>
    </xf>
    <xf numFmtId="167" fontId="37" fillId="0" borderId="30" xfId="32" applyNumberFormat="1" applyFont="1" applyBorder="1" applyAlignment="1" applyProtection="1">
      <alignment horizontal="right"/>
      <protection locked="0"/>
    </xf>
    <xf numFmtId="39" fontId="37" fillId="0" borderId="30" xfId="32" applyNumberFormat="1" applyFont="1" applyBorder="1" applyAlignment="1" applyProtection="1">
      <alignment horizontal="right" vertical="center"/>
      <protection locked="0"/>
    </xf>
    <xf numFmtId="0" fontId="67" fillId="0" borderId="35" xfId="32" applyFont="1" applyBorder="1" applyAlignment="1" applyProtection="1">
      <alignment horizontal="left" vertical="top"/>
      <protection locked="0"/>
    </xf>
    <xf numFmtId="0" fontId="67" fillId="0" borderId="0" xfId="32" applyFont="1" applyAlignment="1" applyProtection="1">
      <alignment horizontal="left" vertical="top"/>
      <protection locked="0"/>
    </xf>
    <xf numFmtId="37" fontId="37" fillId="7" borderId="30" xfId="52" applyNumberFormat="1" applyFont="1" applyFill="1" applyBorder="1" applyAlignment="1" applyProtection="1">
      <alignment horizontal="right"/>
      <protection locked="0"/>
    </xf>
    <xf numFmtId="0" fontId="37" fillId="7" borderId="30" xfId="52" applyFont="1" applyFill="1" applyBorder="1" applyAlignment="1" applyProtection="1">
      <alignment horizontal="left" wrapText="1"/>
      <protection locked="0"/>
    </xf>
    <xf numFmtId="0" fontId="37" fillId="0" borderId="30" xfId="52" applyFont="1" applyBorder="1" applyAlignment="1" applyProtection="1">
      <alignment horizontal="left" wrapText="1"/>
      <protection locked="0"/>
    </xf>
    <xf numFmtId="167" fontId="37" fillId="0" borderId="30" xfId="52" applyNumberFormat="1" applyFont="1" applyBorder="1" applyAlignment="1" applyProtection="1">
      <alignment horizontal="right"/>
      <protection locked="0"/>
    </xf>
    <xf numFmtId="39" fontId="37" fillId="7" borderId="30" xfId="52" applyNumberFormat="1" applyFont="1" applyFill="1" applyBorder="1" applyAlignment="1" applyProtection="1">
      <alignment horizontal="right"/>
      <protection locked="0"/>
    </xf>
    <xf numFmtId="0" fontId="7" fillId="7" borderId="35" xfId="52" applyFill="1" applyBorder="1" applyAlignment="1" applyProtection="1">
      <alignment horizontal="left" vertical="top"/>
      <protection locked="0"/>
    </xf>
    <xf numFmtId="37" fontId="8" fillId="0" borderId="30" xfId="53" applyNumberFormat="1" applyFont="1" applyBorder="1" applyAlignment="1" applyProtection="1">
      <alignment horizontal="right"/>
      <protection locked="0"/>
    </xf>
    <xf numFmtId="49" fontId="8" fillId="0" borderId="30" xfId="53" applyNumberFormat="1" applyFont="1" applyBorder="1" applyAlignment="1" applyProtection="1">
      <alignment horizontal="left" wrapText="1"/>
      <protection locked="0"/>
    </xf>
    <xf numFmtId="0" fontId="8" fillId="0" borderId="30" xfId="53" applyFont="1" applyBorder="1" applyAlignment="1" applyProtection="1">
      <alignment horizontal="left" wrapText="1"/>
      <protection locked="0"/>
    </xf>
    <xf numFmtId="39" fontId="8" fillId="0" borderId="30" xfId="53" applyNumberFormat="1" applyFont="1" applyBorder="1" applyAlignment="1" applyProtection="1">
      <alignment horizontal="center"/>
      <protection locked="0"/>
    </xf>
    <xf numFmtId="0" fontId="10" fillId="0" borderId="0" xfId="53" applyAlignment="1" applyProtection="1">
      <alignment horizontal="left" vertical="top"/>
      <protection locked="0"/>
    </xf>
    <xf numFmtId="0" fontId="28" fillId="0" borderId="30" xfId="53" applyFont="1" applyBorder="1" applyAlignment="1" applyProtection="1">
      <alignment horizontal="right" wrapText="1"/>
      <protection locked="0"/>
    </xf>
    <xf numFmtId="0" fontId="28" fillId="0" borderId="30" xfId="53" applyFont="1" applyBorder="1" applyAlignment="1">
      <alignment horizontal="left" wrapText="1"/>
    </xf>
    <xf numFmtId="0" fontId="28" fillId="0" borderId="30" xfId="53" applyFont="1" applyBorder="1" applyAlignment="1" applyProtection="1">
      <alignment horizontal="left" wrapText="1"/>
      <protection locked="0"/>
    </xf>
    <xf numFmtId="167" fontId="28" fillId="0" borderId="30" xfId="53" applyNumberFormat="1" applyFont="1" applyBorder="1" applyAlignment="1" applyProtection="1">
      <alignment horizontal="right"/>
      <protection locked="0"/>
    </xf>
    <xf numFmtId="4" fontId="28" fillId="0" borderId="30" xfId="53" applyNumberFormat="1" applyFont="1" applyBorder="1" applyAlignment="1" applyProtection="1">
      <alignment horizontal="right"/>
      <protection locked="0"/>
    </xf>
    <xf numFmtId="0" fontId="10" fillId="0" borderId="0" xfId="53"/>
    <xf numFmtId="0" fontId="72" fillId="0" borderId="30" xfId="53" applyFont="1" applyBorder="1" applyAlignment="1" applyProtection="1">
      <alignment horizontal="left"/>
      <protection locked="0"/>
    </xf>
    <xf numFmtId="39" fontId="72" fillId="0" borderId="30" xfId="53" applyNumberFormat="1" applyFont="1" applyBorder="1" applyAlignment="1" applyProtection="1">
      <alignment horizontal="center"/>
      <protection locked="0"/>
    </xf>
    <xf numFmtId="1" fontId="137" fillId="0" borderId="30" xfId="38" applyNumberFormat="1" applyFont="1" applyBorder="1" applyAlignment="1" applyProtection="1">
      <alignment horizontal="right"/>
      <protection locked="0"/>
    </xf>
    <xf numFmtId="9" fontId="54" fillId="0" borderId="30" xfId="38" applyNumberFormat="1" applyFont="1" applyBorder="1" applyAlignment="1" applyProtection="1">
      <alignment horizontal="left" wrapText="1"/>
      <protection locked="0"/>
    </xf>
    <xf numFmtId="0" fontId="137" fillId="0" borderId="30" xfId="53" applyFont="1" applyBorder="1" applyAlignment="1" applyProtection="1">
      <alignment horizontal="left"/>
      <protection locked="0"/>
    </xf>
    <xf numFmtId="0" fontId="57" fillId="0" borderId="30" xfId="38" applyFont="1" applyBorder="1" applyAlignment="1" applyProtection="1">
      <alignment horizontal="left" wrapText="1"/>
      <protection locked="0"/>
    </xf>
    <xf numFmtId="0" fontId="137" fillId="0" borderId="30" xfId="38" applyFont="1" applyBorder="1" applyAlignment="1" applyProtection="1">
      <alignment horizontal="left" wrapText="1"/>
      <protection locked="0"/>
    </xf>
    <xf numFmtId="167" fontId="57" fillId="0" borderId="30" xfId="38" applyNumberFormat="1" applyFont="1" applyBorder="1" applyAlignment="1" applyProtection="1">
      <alignment horizontal="right"/>
      <protection locked="0"/>
    </xf>
    <xf numFmtId="4" fontId="57" fillId="5" borderId="30" xfId="38" applyNumberFormat="1" applyFont="1" applyFill="1" applyBorder="1" applyAlignment="1" applyProtection="1">
      <alignment horizontal="right"/>
      <protection locked="0"/>
    </xf>
    <xf numFmtId="39" fontId="137" fillId="0" borderId="30" xfId="53" applyNumberFormat="1" applyFont="1" applyBorder="1" applyAlignment="1" applyProtection="1">
      <alignment horizontal="center"/>
      <protection locked="0"/>
    </xf>
    <xf numFmtId="0" fontId="137" fillId="0" borderId="30" xfId="3" applyFont="1" applyBorder="1" applyAlignment="1" applyProtection="1">
      <alignment horizontal="left" wrapText="1"/>
      <protection locked="0"/>
    </xf>
    <xf numFmtId="37" fontId="66" fillId="0" borderId="30" xfId="53" applyNumberFormat="1" applyFont="1" applyBorder="1" applyAlignment="1" applyProtection="1">
      <alignment horizontal="right"/>
      <protection locked="0"/>
    </xf>
    <xf numFmtId="0" fontId="66" fillId="0" borderId="30" xfId="53" applyFont="1" applyBorder="1" applyAlignment="1" applyProtection="1">
      <alignment horizontal="left" wrapText="1"/>
      <protection locked="0"/>
    </xf>
    <xf numFmtId="167" fontId="99" fillId="0" borderId="30" xfId="53" applyNumberFormat="1" applyFont="1" applyBorder="1" applyAlignment="1" applyProtection="1">
      <alignment horizontal="right" wrapText="1"/>
      <protection locked="0"/>
    </xf>
    <xf numFmtId="4" fontId="66" fillId="0" borderId="30" xfId="53" applyNumberFormat="1" applyFont="1" applyBorder="1" applyAlignment="1" applyProtection="1">
      <alignment horizontal="right"/>
      <protection locked="0"/>
    </xf>
    <xf numFmtId="0" fontId="7" fillId="0" borderId="30" xfId="53" applyFont="1" applyBorder="1" applyAlignment="1" applyProtection="1">
      <alignment horizontal="left" vertical="top"/>
      <protection locked="0"/>
    </xf>
    <xf numFmtId="0" fontId="138" fillId="0" borderId="0" xfId="53" applyFont="1" applyAlignment="1" applyProtection="1">
      <alignment horizontal="left" vertical="top"/>
      <protection locked="0"/>
    </xf>
    <xf numFmtId="49" fontId="8" fillId="0" borderId="30" xfId="52" applyNumberFormat="1" applyFont="1" applyBorder="1" applyAlignment="1" applyProtection="1">
      <alignment horizontal="right" wrapText="1"/>
      <protection locked="0"/>
    </xf>
    <xf numFmtId="167" fontId="28" fillId="0" borderId="30" xfId="52" applyNumberFormat="1" applyFont="1" applyBorder="1" applyAlignment="1" applyProtection="1">
      <alignment horizontal="right"/>
      <protection locked="0"/>
    </xf>
    <xf numFmtId="4" fontId="8" fillId="7" borderId="30" xfId="52" applyNumberFormat="1" applyFont="1" applyFill="1" applyBorder="1" applyAlignment="1" applyProtection="1">
      <alignment horizontal="right"/>
      <protection locked="0"/>
    </xf>
    <xf numFmtId="39" fontId="8" fillId="7" borderId="30" xfId="52" applyNumberFormat="1" applyFont="1" applyFill="1" applyBorder="1" applyAlignment="1" applyProtection="1">
      <alignment horizontal="center"/>
      <protection locked="0"/>
    </xf>
    <xf numFmtId="4" fontId="50" fillId="0" borderId="0" xfId="53" applyNumberFormat="1" applyFont="1" applyAlignment="1" applyProtection="1">
      <alignment horizontal="left" vertical="top"/>
      <protection locked="0"/>
    </xf>
    <xf numFmtId="37" fontId="86" fillId="0" borderId="0" xfId="3" applyNumberFormat="1" applyFont="1" applyAlignment="1">
      <alignment horizontal="right"/>
    </xf>
    <xf numFmtId="0" fontId="86" fillId="0" borderId="0" xfId="3" applyFont="1" applyAlignment="1">
      <alignment horizontal="left" wrapText="1"/>
    </xf>
    <xf numFmtId="170" fontId="86" fillId="0" borderId="0" xfId="3" applyNumberFormat="1" applyFont="1" applyAlignment="1">
      <alignment horizontal="right"/>
    </xf>
    <xf numFmtId="39" fontId="86" fillId="0" borderId="0" xfId="3" applyNumberFormat="1" applyFont="1" applyAlignment="1">
      <alignment horizontal="right"/>
    </xf>
    <xf numFmtId="37" fontId="8" fillId="0" borderId="21" xfId="3" applyNumberFormat="1" applyFont="1" applyBorder="1" applyAlignment="1">
      <alignment horizontal="right"/>
    </xf>
    <xf numFmtId="0" fontId="8" fillId="0" borderId="21" xfId="3" applyFont="1" applyBorder="1" applyAlignment="1">
      <alignment horizontal="left" wrapText="1"/>
    </xf>
    <xf numFmtId="0" fontId="8" fillId="0" borderId="21" xfId="3" applyFont="1" applyBorder="1" applyAlignment="1">
      <alignment horizontal="center" wrapText="1"/>
    </xf>
    <xf numFmtId="170" fontId="8" fillId="0" borderId="21" xfId="3" applyNumberFormat="1" applyFont="1" applyBorder="1" applyAlignment="1">
      <alignment horizontal="right"/>
    </xf>
    <xf numFmtId="39" fontId="8" fillId="0" borderId="21" xfId="3" applyNumberFormat="1" applyFont="1" applyBorder="1" applyAlignment="1">
      <alignment horizontal="right"/>
    </xf>
    <xf numFmtId="0" fontId="87" fillId="0" borderId="0" xfId="3" applyFont="1" applyAlignment="1">
      <alignment horizontal="left" vertical="top"/>
    </xf>
    <xf numFmtId="0" fontId="37" fillId="0" borderId="32" xfId="3" applyFont="1" applyBorder="1" applyAlignment="1">
      <alignment horizontal="left"/>
    </xf>
    <xf numFmtId="0" fontId="66" fillId="0" borderId="33" xfId="3" applyFont="1" applyBorder="1" applyAlignment="1">
      <alignment horizontal="center"/>
    </xf>
    <xf numFmtId="170" fontId="66" fillId="0" borderId="33" xfId="3" applyNumberFormat="1" applyFont="1" applyBorder="1" applyAlignment="1">
      <alignment horizontal="right"/>
    </xf>
    <xf numFmtId="39" fontId="8" fillId="0" borderId="33" xfId="3" applyNumberFormat="1" applyFont="1" applyBorder="1" applyAlignment="1">
      <alignment horizontal="right"/>
    </xf>
    <xf numFmtId="39" fontId="48" fillId="0" borderId="0" xfId="3" applyNumberFormat="1" applyFont="1" applyAlignment="1">
      <alignment horizontal="center"/>
    </xf>
    <xf numFmtId="37" fontId="66" fillId="0" borderId="0" xfId="3" applyNumberFormat="1" applyFont="1" applyAlignment="1">
      <alignment horizontal="right"/>
    </xf>
    <xf numFmtId="0" fontId="66" fillId="0" borderId="0" xfId="3" applyFont="1" applyAlignment="1">
      <alignment horizontal="left" wrapText="1"/>
    </xf>
    <xf numFmtId="0" fontId="8" fillId="0" borderId="0" xfId="3" applyFont="1" applyAlignment="1">
      <alignment horizontal="left" wrapText="1"/>
    </xf>
    <xf numFmtId="0" fontId="66" fillId="0" borderId="0" xfId="3" applyFont="1" applyAlignment="1">
      <alignment horizontal="center" wrapText="1"/>
    </xf>
    <xf numFmtId="170" fontId="66" fillId="0" borderId="0" xfId="3" applyNumberFormat="1" applyFont="1" applyAlignment="1">
      <alignment horizontal="right"/>
    </xf>
    <xf numFmtId="39" fontId="66" fillId="0" borderId="0" xfId="3" applyNumberFormat="1" applyFont="1" applyAlignment="1">
      <alignment horizontal="right"/>
    </xf>
    <xf numFmtId="39" fontId="8" fillId="0" borderId="0" xfId="3" applyNumberFormat="1" applyFont="1" applyAlignment="1">
      <alignment horizontal="right"/>
    </xf>
    <xf numFmtId="37" fontId="37" fillId="7" borderId="30" xfId="3" applyNumberFormat="1" applyFont="1" applyFill="1" applyBorder="1" applyAlignment="1">
      <alignment horizontal="right"/>
    </xf>
    <xf numFmtId="0" fontId="37" fillId="7" borderId="30" xfId="3" applyFont="1" applyFill="1" applyBorder="1" applyAlignment="1">
      <alignment horizontal="center" wrapText="1"/>
    </xf>
    <xf numFmtId="170" fontId="37" fillId="7" borderId="30" xfId="3" applyNumberFormat="1" applyFont="1" applyFill="1" applyBorder="1" applyAlignment="1">
      <alignment horizontal="right"/>
    </xf>
    <xf numFmtId="0" fontId="7" fillId="0" borderId="0" xfId="52" applyAlignment="1" applyProtection="1">
      <alignment horizontal="left" vertical="center"/>
      <protection locked="0"/>
    </xf>
    <xf numFmtId="0" fontId="38" fillId="0" borderId="30" xfId="24" applyBorder="1" applyAlignment="1" applyProtection="1">
      <alignment horizontal="right" vertical="top"/>
      <protection locked="0"/>
    </xf>
    <xf numFmtId="0" fontId="43" fillId="0" borderId="0" xfId="3" applyFont="1" applyAlignment="1">
      <alignment horizontal="center" vertical="center"/>
    </xf>
    <xf numFmtId="0" fontId="139" fillId="0" borderId="0" xfId="32" applyFont="1" applyAlignment="1" applyProtection="1">
      <alignment horizontal="center" vertical="center"/>
      <protection locked="0"/>
    </xf>
    <xf numFmtId="167" fontId="43" fillId="0" borderId="0" xfId="3" applyNumberFormat="1" applyFont="1" applyAlignment="1">
      <alignment horizontal="center" vertical="center"/>
    </xf>
    <xf numFmtId="0" fontId="51" fillId="0" borderId="0" xfId="32" applyAlignment="1" applyProtection="1">
      <alignment horizontal="center" vertical="top"/>
      <protection locked="0"/>
    </xf>
    <xf numFmtId="167" fontId="139" fillId="0" borderId="0" xfId="32" applyNumberFormat="1" applyFont="1" applyAlignment="1" applyProtection="1">
      <alignment horizontal="center" vertical="center"/>
      <protection locked="0"/>
    </xf>
    <xf numFmtId="167" fontId="115" fillId="0" borderId="0" xfId="32" applyNumberFormat="1" applyFont="1" applyAlignment="1" applyProtection="1">
      <alignment horizontal="center" vertical="center"/>
      <protection locked="0"/>
    </xf>
    <xf numFmtId="167" fontId="8" fillId="0" borderId="30" xfId="28" applyNumberFormat="1" applyFont="1" applyBorder="1" applyAlignment="1">
      <protection locked="0"/>
    </xf>
    <xf numFmtId="167" fontId="135" fillId="0" borderId="0" xfId="43" applyNumberFormat="1" applyFont="1" applyAlignment="1" applyProtection="1">
      <alignment horizontal="center" vertical="center" wrapText="1"/>
      <protection locked="0"/>
    </xf>
    <xf numFmtId="49" fontId="8" fillId="0" borderId="30" xfId="54" applyNumberFormat="1" applyFont="1" applyBorder="1" applyAlignment="1" applyProtection="1">
      <alignment horizontal="right" wrapText="1"/>
      <protection locked="0"/>
    </xf>
    <xf numFmtId="49" fontId="8" fillId="0" borderId="30" xfId="54" applyNumberFormat="1" applyFont="1" applyBorder="1" applyAlignment="1" applyProtection="1">
      <alignment horizontal="left" wrapText="1"/>
      <protection locked="0"/>
    </xf>
    <xf numFmtId="0" fontId="8" fillId="0" borderId="30" xfId="54" applyFont="1" applyBorder="1" applyAlignment="1" applyProtection="1">
      <alignment horizontal="left" wrapText="1"/>
      <protection locked="0"/>
    </xf>
    <xf numFmtId="39" fontId="8" fillId="0" borderId="30" xfId="54" applyNumberFormat="1" applyFont="1" applyBorder="1" applyAlignment="1" applyProtection="1">
      <alignment horizontal="right"/>
      <protection locked="0"/>
    </xf>
    <xf numFmtId="39" fontId="8" fillId="0" borderId="0" xfId="54" applyNumberFormat="1" applyFont="1" applyAlignment="1" applyProtection="1">
      <alignment horizontal="center"/>
      <protection locked="0"/>
    </xf>
    <xf numFmtId="0" fontId="7" fillId="0" borderId="0" xfId="54" applyAlignment="1" applyProtection="1">
      <alignment horizontal="left" vertical="top"/>
      <protection locked="0"/>
    </xf>
    <xf numFmtId="0" fontId="28" fillId="0" borderId="30" xfId="54" applyFont="1" applyBorder="1" applyAlignment="1" applyProtection="1">
      <alignment horizontal="left" wrapText="1"/>
      <protection locked="0"/>
    </xf>
    <xf numFmtId="0" fontId="7" fillId="0" borderId="30" xfId="54" applyBorder="1" applyAlignment="1" applyProtection="1">
      <alignment vertical="top"/>
      <protection locked="0"/>
    </xf>
    <xf numFmtId="39" fontId="83" fillId="0" borderId="0" xfId="54" applyNumberFormat="1" applyFont="1" applyAlignment="1" applyProtection="1">
      <alignment horizontal="left" vertical="center"/>
      <protection locked="0"/>
    </xf>
    <xf numFmtId="37" fontId="8" fillId="0" borderId="30" xfId="54" applyNumberFormat="1" applyFont="1" applyBorder="1" applyAlignment="1" applyProtection="1">
      <alignment horizontal="right"/>
      <protection locked="0"/>
    </xf>
    <xf numFmtId="0" fontId="64" fillId="0" borderId="0" xfId="54" applyFont="1" applyAlignment="1" applyProtection="1">
      <alignment horizontal="right" vertical="top"/>
      <protection locked="0"/>
    </xf>
    <xf numFmtId="0" fontId="7" fillId="7" borderId="0" xfId="54" applyFill="1" applyAlignment="1" applyProtection="1">
      <alignment horizontal="left" vertical="top"/>
      <protection locked="0"/>
    </xf>
    <xf numFmtId="0" fontId="38" fillId="0" borderId="0" xfId="55"/>
    <xf numFmtId="0" fontId="8" fillId="0" borderId="0" xfId="55" applyFont="1" applyAlignment="1">
      <alignment horizontal="left"/>
    </xf>
    <xf numFmtId="0" fontId="36" fillId="0" borderId="0" xfId="55" applyFont="1" applyAlignment="1">
      <alignment horizontal="left"/>
    </xf>
    <xf numFmtId="0" fontId="38" fillId="0" borderId="0" xfId="55" applyAlignment="1">
      <alignment horizontal="left" vertical="top"/>
    </xf>
    <xf numFmtId="0" fontId="11" fillId="0" borderId="0" xfId="55" applyFont="1" applyAlignment="1" applyProtection="1">
      <alignment horizontal="left" vertical="top"/>
      <protection locked="0"/>
    </xf>
    <xf numFmtId="0" fontId="47" fillId="0" borderId="0" xfId="55" applyFont="1" applyAlignment="1" applyProtection="1">
      <alignment horizontal="left" vertical="center"/>
      <protection locked="0"/>
    </xf>
    <xf numFmtId="0" fontId="38" fillId="0" borderId="0" xfId="55" applyAlignment="1" applyProtection="1">
      <alignment horizontal="left" vertical="top"/>
      <protection locked="0"/>
    </xf>
    <xf numFmtId="0" fontId="102" fillId="0" borderId="0" xfId="55" applyFont="1" applyAlignment="1" applyProtection="1">
      <alignment horizontal="left" vertical="top"/>
      <protection locked="0"/>
    </xf>
    <xf numFmtId="0" fontId="47" fillId="0" borderId="0" xfId="55" applyFont="1"/>
    <xf numFmtId="0" fontId="36" fillId="0" borderId="0" xfId="55" applyFont="1" applyAlignment="1">
      <alignment horizontal="center"/>
    </xf>
    <xf numFmtId="0" fontId="44" fillId="0" borderId="0" xfId="55" applyFont="1" applyAlignment="1" applyProtection="1">
      <alignment horizontal="right" vertical="top"/>
      <protection locked="0"/>
    </xf>
    <xf numFmtId="0" fontId="45" fillId="7" borderId="31" xfId="55" applyFont="1" applyFill="1" applyBorder="1" applyAlignment="1">
      <alignment horizontal="center" vertical="center" wrapText="1"/>
    </xf>
    <xf numFmtId="0" fontId="45" fillId="7" borderId="12" xfId="55" applyFont="1" applyFill="1" applyBorder="1" applyAlignment="1">
      <alignment horizontal="center" vertical="center" wrapText="1"/>
    </xf>
    <xf numFmtId="0" fontId="110" fillId="0" borderId="0" xfId="55" applyFont="1" applyAlignment="1">
      <alignment horizontal="left" vertical="center" wrapText="1"/>
    </xf>
    <xf numFmtId="0" fontId="110" fillId="0" borderId="0" xfId="55" applyFont="1" applyAlignment="1">
      <alignment horizontal="left" vertical="center"/>
    </xf>
    <xf numFmtId="37" fontId="37" fillId="7" borderId="0" xfId="55" applyNumberFormat="1" applyFont="1" applyFill="1" applyAlignment="1" applyProtection="1">
      <alignment horizontal="right"/>
      <protection locked="0"/>
    </xf>
    <xf numFmtId="0" fontId="37" fillId="7" borderId="0" xfId="55" applyFont="1" applyFill="1" applyAlignment="1" applyProtection="1">
      <alignment horizontal="left" wrapText="1"/>
      <protection locked="0"/>
    </xf>
    <xf numFmtId="170" fontId="37" fillId="7" borderId="0" xfId="55" applyNumberFormat="1" applyFont="1" applyFill="1" applyAlignment="1" applyProtection="1">
      <alignment horizontal="right"/>
      <protection locked="0"/>
    </xf>
    <xf numFmtId="39" fontId="37" fillId="7" borderId="0" xfId="55" applyNumberFormat="1" applyFont="1" applyFill="1" applyAlignment="1" applyProtection="1">
      <alignment horizontal="right"/>
      <protection locked="0"/>
    </xf>
    <xf numFmtId="39" fontId="37" fillId="0" borderId="0" xfId="55" applyNumberFormat="1" applyFont="1" applyAlignment="1" applyProtection="1">
      <alignment horizontal="right"/>
      <protection locked="0"/>
    </xf>
    <xf numFmtId="37" fontId="8" fillId="0" borderId="30" xfId="55" applyNumberFormat="1" applyFont="1" applyBorder="1" applyAlignment="1" applyProtection="1">
      <alignment horizontal="right"/>
      <protection locked="0"/>
    </xf>
    <xf numFmtId="0" fontId="8" fillId="0" borderId="30" xfId="55" applyFont="1" applyBorder="1" applyAlignment="1" applyProtection="1">
      <alignment horizontal="left" wrapText="1"/>
      <protection locked="0"/>
    </xf>
    <xf numFmtId="0" fontId="37" fillId="0" borderId="30" xfId="55" applyFont="1" applyBorder="1" applyAlignment="1" applyProtection="1">
      <alignment horizontal="left" wrapText="1"/>
      <protection locked="0"/>
    </xf>
    <xf numFmtId="2" fontId="37" fillId="0" borderId="30" xfId="55" applyNumberFormat="1" applyFont="1" applyBorder="1" applyAlignment="1" applyProtection="1">
      <alignment horizontal="right"/>
      <protection locked="0"/>
    </xf>
    <xf numFmtId="39" fontId="37" fillId="0" borderId="30" xfId="55" applyNumberFormat="1" applyFont="1" applyBorder="1" applyAlignment="1" applyProtection="1">
      <alignment horizontal="right"/>
      <protection locked="0"/>
    </xf>
    <xf numFmtId="39" fontId="8" fillId="0" borderId="30" xfId="55" applyNumberFormat="1" applyFont="1" applyBorder="1" applyAlignment="1" applyProtection="1">
      <alignment horizontal="center"/>
      <protection locked="0"/>
    </xf>
    <xf numFmtId="0" fontId="106" fillId="0" borderId="0" xfId="55" applyFont="1" applyAlignment="1" applyProtection="1">
      <alignment horizontal="left" vertical="top"/>
      <protection locked="0"/>
    </xf>
    <xf numFmtId="0" fontId="115" fillId="0" borderId="0" xfId="3" applyFont="1" applyAlignment="1" applyProtection="1">
      <alignment horizontal="left" vertical="center"/>
      <protection locked="0"/>
    </xf>
    <xf numFmtId="0" fontId="135" fillId="0" borderId="0" xfId="23" applyFont="1" applyAlignment="1">
      <alignment horizontal="left" vertical="center"/>
      <protection locked="0"/>
    </xf>
    <xf numFmtId="49" fontId="8" fillId="0" borderId="30" xfId="44" applyNumberFormat="1" applyFont="1" applyBorder="1" applyAlignment="1">
      <alignment horizontal="right"/>
      <protection locked="0"/>
    </xf>
    <xf numFmtId="0" fontId="8" fillId="0" borderId="30" xfId="44" applyFont="1" applyBorder="1" applyAlignment="1">
      <alignment horizontal="left" wrapText="1"/>
      <protection locked="0"/>
    </xf>
    <xf numFmtId="4" fontId="28" fillId="0" borderId="30" xfId="44" applyNumberFormat="1" applyFont="1" applyBorder="1" applyAlignment="1">
      <alignment horizontal="right"/>
      <protection locked="0"/>
    </xf>
    <xf numFmtId="39" fontId="8" fillId="0" borderId="30" xfId="44" applyNumberFormat="1" applyFont="1" applyBorder="1" applyAlignment="1">
      <alignment horizontal="center"/>
      <protection locked="0"/>
    </xf>
    <xf numFmtId="49" fontId="8" fillId="0" borderId="30" xfId="39" applyNumberFormat="1" applyFont="1" applyBorder="1" applyAlignment="1" applyProtection="1">
      <alignment horizontal="right" wrapText="1"/>
    </xf>
    <xf numFmtId="49" fontId="8" fillId="0" borderId="30" xfId="39" applyNumberFormat="1" applyFont="1" applyBorder="1" applyAlignment="1" applyProtection="1">
      <alignment horizontal="left" wrapText="1"/>
    </xf>
    <xf numFmtId="0" fontId="8" fillId="0" borderId="30" xfId="39" applyFont="1" applyBorder="1" applyAlignment="1" applyProtection="1">
      <alignment horizontal="left" wrapText="1"/>
    </xf>
    <xf numFmtId="4" fontId="8" fillId="0" borderId="30" xfId="39" applyNumberFormat="1" applyFont="1" applyBorder="1" applyAlignment="1" applyProtection="1">
      <alignment horizontal="right"/>
    </xf>
    <xf numFmtId="0" fontId="105" fillId="0" borderId="0" xfId="39" applyFont="1" applyAlignment="1">
      <alignment horizontal="left" vertical="top"/>
      <protection locked="0"/>
    </xf>
    <xf numFmtId="0" fontId="11" fillId="0" borderId="0" xfId="39" applyAlignment="1">
      <alignment horizontal="left" vertical="top"/>
      <protection locked="0"/>
    </xf>
    <xf numFmtId="0" fontId="102" fillId="0" borderId="0" xfId="39" applyFont="1" applyAlignment="1">
      <alignment horizontal="left" vertical="top"/>
      <protection locked="0"/>
    </xf>
    <xf numFmtId="171" fontId="11" fillId="0" borderId="0" xfId="39" applyNumberFormat="1" applyAlignment="1">
      <alignment horizontal="left" vertical="top"/>
      <protection locked="0"/>
    </xf>
    <xf numFmtId="0" fontId="28" fillId="0" borderId="30" xfId="39" applyFont="1" applyBorder="1" applyAlignment="1" applyProtection="1">
      <alignment horizontal="left" wrapText="1"/>
    </xf>
    <xf numFmtId="167" fontId="28" fillId="0" borderId="30" xfId="39" applyNumberFormat="1" applyFont="1" applyBorder="1" applyAlignment="1" applyProtection="1">
      <alignment horizontal="right"/>
    </xf>
    <xf numFmtId="39" fontId="8" fillId="0" borderId="30" xfId="39" applyNumberFormat="1" applyFont="1" applyBorder="1" applyAlignment="1" applyProtection="1">
      <alignment horizontal="center"/>
    </xf>
    <xf numFmtId="0" fontId="64" fillId="0" borderId="0" xfId="55" applyFont="1" applyAlignment="1" applyProtection="1">
      <alignment horizontal="right" vertical="top"/>
      <protection locked="0"/>
    </xf>
    <xf numFmtId="0" fontId="38" fillId="7" borderId="0" xfId="55" applyFill="1" applyAlignment="1" applyProtection="1">
      <alignment horizontal="left" vertical="top"/>
      <protection locked="0"/>
    </xf>
    <xf numFmtId="49" fontId="8" fillId="0" borderId="30" xfId="0" applyNumberFormat="1" applyFont="1" applyBorder="1" applyAlignment="1">
      <alignment horizontal="right"/>
      <protection locked="0"/>
    </xf>
    <xf numFmtId="49" fontId="8" fillId="0" borderId="30" xfId="0" applyNumberFormat="1" applyFont="1" applyBorder="1" applyAlignment="1">
      <alignment horizontal="left" wrapText="1"/>
      <protection locked="0"/>
    </xf>
    <xf numFmtId="0" fontId="8" fillId="0" borderId="30" xfId="0" applyFont="1" applyBorder="1" applyAlignment="1">
      <alignment horizontal="left" wrapText="1"/>
      <protection locked="0"/>
    </xf>
    <xf numFmtId="39" fontId="8" fillId="0" borderId="30" xfId="0" applyNumberFormat="1" applyFont="1" applyBorder="1" applyAlignment="1">
      <alignment horizontal="right"/>
      <protection locked="0"/>
    </xf>
    <xf numFmtId="39" fontId="8" fillId="0" borderId="30" xfId="0" applyNumberFormat="1" applyFont="1" applyBorder="1" applyAlignment="1">
      <alignment horizontal="center"/>
      <protection locked="0"/>
    </xf>
    <xf numFmtId="0" fontId="111" fillId="0" borderId="0" xfId="0" applyFont="1" applyAlignment="1">
      <alignment horizontal="left" vertical="center"/>
      <protection locked="0"/>
    </xf>
    <xf numFmtId="0" fontId="0" fillId="0" borderId="0" xfId="0" applyAlignment="1">
      <alignment horizontal="left" vertical="top"/>
      <protection locked="0"/>
    </xf>
    <xf numFmtId="0" fontId="28" fillId="0" borderId="30" xfId="0" applyFont="1" applyBorder="1" applyAlignment="1">
      <alignment horizontal="left" wrapText="1"/>
      <protection locked="0"/>
    </xf>
    <xf numFmtId="167" fontId="28" fillId="0" borderId="30" xfId="0" applyNumberFormat="1" applyFont="1" applyBorder="1" applyAlignment="1">
      <alignment horizontal="right"/>
      <protection locked="0"/>
    </xf>
    <xf numFmtId="0" fontId="112" fillId="0" borderId="0" xfId="0" applyFont="1" applyAlignment="1">
      <alignment horizontal="left" vertical="center"/>
      <protection locked="0"/>
    </xf>
    <xf numFmtId="0" fontId="28" fillId="0" borderId="30" xfId="55" applyFont="1" applyBorder="1" applyAlignment="1" applyProtection="1">
      <alignment horizontal="left" wrapText="1"/>
      <protection locked="0"/>
    </xf>
    <xf numFmtId="169" fontId="43" fillId="0" borderId="0" xfId="3" applyNumberFormat="1" applyFont="1" applyAlignment="1">
      <alignment horizontal="right" vertical="center"/>
    </xf>
    <xf numFmtId="49" fontId="8" fillId="0" borderId="30" xfId="0" applyNumberFormat="1" applyFont="1" applyBorder="1" applyAlignment="1">
      <alignment horizontal="right" wrapText="1"/>
      <protection locked="0"/>
    </xf>
    <xf numFmtId="39" fontId="83"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8" fillId="0" borderId="30" xfId="0" applyNumberFormat="1" applyFont="1" applyBorder="1" applyAlignment="1">
      <alignment horizontal="right"/>
      <protection locked="0"/>
    </xf>
    <xf numFmtId="0" fontId="111" fillId="0" borderId="0" xfId="32" applyFont="1" applyAlignment="1" applyProtection="1">
      <alignment horizontal="left" vertical="center"/>
      <protection locked="0"/>
    </xf>
    <xf numFmtId="49" fontId="54" fillId="0" borderId="30" xfId="32" applyNumberFormat="1" applyFont="1" applyBorder="1" applyAlignment="1" applyProtection="1">
      <alignment horizontal="right" wrapText="1"/>
      <protection locked="0"/>
    </xf>
    <xf numFmtId="0" fontId="140" fillId="0" borderId="0" xfId="32" applyFont="1" applyAlignment="1" applyProtection="1">
      <alignment horizontal="left" vertical="center"/>
      <protection locked="0"/>
    </xf>
    <xf numFmtId="171" fontId="124" fillId="0" borderId="0" xfId="32" applyNumberFormat="1" applyFont="1" applyAlignment="1" applyProtection="1">
      <alignment horizontal="left" vertical="center"/>
      <protection locked="0"/>
    </xf>
    <xf numFmtId="0" fontId="115" fillId="0" borderId="0" xfId="32" applyFont="1" applyAlignment="1" applyProtection="1">
      <alignment horizontal="left" vertical="center"/>
      <protection locked="0"/>
    </xf>
    <xf numFmtId="171" fontId="123" fillId="0" borderId="0" xfId="51" applyNumberFormat="1" applyFill="1" applyAlignment="1" applyProtection="1">
      <alignment horizontal="left" vertical="center"/>
      <protection locked="0"/>
    </xf>
    <xf numFmtId="171" fontId="141" fillId="0" borderId="0" xfId="32" applyNumberFormat="1" applyFont="1" applyAlignment="1" applyProtection="1">
      <alignment horizontal="left" vertical="center"/>
      <protection locked="0"/>
    </xf>
    <xf numFmtId="49" fontId="8" fillId="0" borderId="30" xfId="28" applyNumberFormat="1" applyFont="1" applyBorder="1" applyAlignment="1">
      <alignment horizontal="right" wrapText="1"/>
      <protection locked="0"/>
    </xf>
    <xf numFmtId="0" fontId="11" fillId="0" borderId="0" xfId="28" applyAlignment="1">
      <alignment horizontal="right" vertical="top"/>
      <protection locked="0"/>
    </xf>
    <xf numFmtId="4" fontId="8" fillId="0" borderId="30" xfId="0" applyNumberFormat="1" applyFont="1" applyBorder="1" applyAlignment="1">
      <alignment horizontal="right"/>
      <protection locked="0"/>
    </xf>
    <xf numFmtId="4" fontId="76" fillId="0" borderId="0" xfId="0" applyNumberFormat="1" applyFont="1" applyAlignment="1">
      <alignment horizontal="center" vertical="center"/>
      <protection locked="0"/>
    </xf>
    <xf numFmtId="4" fontId="77" fillId="0" borderId="0" xfId="0" applyNumberFormat="1" applyFont="1" applyAlignment="1">
      <alignment horizontal="center" vertical="center"/>
      <protection locked="0"/>
    </xf>
    <xf numFmtId="49" fontId="66" fillId="0" borderId="30" xfId="0" applyNumberFormat="1" applyFont="1" applyBorder="1" applyAlignment="1">
      <alignment horizontal="right"/>
      <protection locked="0"/>
    </xf>
    <xf numFmtId="49" fontId="66" fillId="0" borderId="30" xfId="0" applyNumberFormat="1" applyFont="1" applyBorder="1" applyAlignment="1">
      <alignment horizontal="left" wrapText="1"/>
      <protection locked="0"/>
    </xf>
    <xf numFmtId="0" fontId="66" fillId="0" borderId="30" xfId="0" applyFont="1" applyBorder="1" applyAlignment="1">
      <alignment horizontal="left" wrapText="1"/>
      <protection locked="0"/>
    </xf>
    <xf numFmtId="0" fontId="0" fillId="0" borderId="30" xfId="0" applyBorder="1" applyAlignment="1">
      <alignment horizontal="left" vertical="top"/>
      <protection locked="0"/>
    </xf>
    <xf numFmtId="49" fontId="72" fillId="0" borderId="30" xfId="0" applyNumberFormat="1" applyFont="1" applyBorder="1" applyAlignment="1">
      <alignment horizontal="right"/>
      <protection locked="0"/>
    </xf>
    <xf numFmtId="0" fontId="72" fillId="0" borderId="30" xfId="0" applyFont="1" applyBorder="1" applyAlignment="1">
      <alignment horizontal="left" wrapText="1"/>
      <protection locked="0"/>
    </xf>
    <xf numFmtId="4" fontId="28"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8" fillId="0" borderId="30" xfId="0" applyNumberFormat="1" applyFont="1" applyBorder="1" applyAlignment="1">
      <alignment horizontal="left" wrapText="1"/>
      <protection locked="0"/>
    </xf>
    <xf numFmtId="4" fontId="8" fillId="7" borderId="30" xfId="0" applyNumberFormat="1" applyFont="1" applyFill="1" applyBorder="1" applyAlignment="1">
      <alignment horizontal="right"/>
      <protection locked="0"/>
    </xf>
    <xf numFmtId="39" fontId="8" fillId="7" borderId="30" xfId="0" applyNumberFormat="1" applyFont="1" applyFill="1" applyBorder="1" applyAlignment="1">
      <alignment horizontal="center"/>
      <protection locked="0"/>
    </xf>
    <xf numFmtId="2" fontId="28" fillId="0" borderId="30" xfId="0" applyNumberFormat="1" applyFont="1" applyBorder="1" applyAlignment="1">
      <alignment horizontal="right"/>
      <protection locked="0"/>
    </xf>
    <xf numFmtId="4" fontId="28" fillId="0" borderId="30" xfId="0" applyNumberFormat="1" applyFont="1" applyBorder="1" applyAlignment="1">
      <alignment horizontal="right"/>
      <protection locked="0"/>
    </xf>
    <xf numFmtId="49" fontId="8" fillId="0" borderId="30" xfId="55" applyNumberFormat="1" applyFont="1" applyBorder="1" applyAlignment="1" applyProtection="1">
      <alignment horizontal="right"/>
      <protection locked="0"/>
    </xf>
    <xf numFmtId="167" fontId="37" fillId="0" borderId="30" xfId="55" applyNumberFormat="1" applyFont="1" applyBorder="1" applyAlignment="1" applyProtection="1">
      <alignment horizontal="right"/>
      <protection locked="0"/>
    </xf>
    <xf numFmtId="39" fontId="37" fillId="7" borderId="30" xfId="55" applyNumberFormat="1" applyFont="1" applyFill="1" applyBorder="1" applyAlignment="1" applyProtection="1">
      <alignment horizontal="right"/>
      <protection locked="0"/>
    </xf>
    <xf numFmtId="39" fontId="8" fillId="7" borderId="30" xfId="55" applyNumberFormat="1" applyFont="1" applyFill="1" applyBorder="1" applyAlignment="1" applyProtection="1">
      <alignment horizontal="center"/>
      <protection locked="0"/>
    </xf>
    <xf numFmtId="0" fontId="64" fillId="0" borderId="0" xfId="0" applyFont="1" applyAlignment="1">
      <alignment horizontal="right" vertical="top"/>
      <protection locked="0"/>
    </xf>
    <xf numFmtId="0" fontId="0" fillId="7" borderId="0" xfId="0" applyFill="1" applyAlignment="1">
      <alignment horizontal="left" vertical="top"/>
      <protection locked="0"/>
    </xf>
    <xf numFmtId="0" fontId="64" fillId="0" borderId="0" xfId="0" applyFont="1" applyAlignment="1">
      <alignment horizontal="left" vertical="top"/>
      <protection locked="0"/>
    </xf>
    <xf numFmtId="0" fontId="117" fillId="0" borderId="0" xfId="0" applyFont="1" applyAlignment="1">
      <alignment horizontal="left" vertical="top"/>
      <protection locked="0"/>
    </xf>
    <xf numFmtId="0" fontId="32" fillId="0" borderId="0" xfId="0" applyFont="1" applyAlignment="1">
      <alignment horizontal="left" vertical="top"/>
      <protection locked="0"/>
    </xf>
    <xf numFmtId="0" fontId="113" fillId="0" borderId="0" xfId="0" applyFont="1" applyAlignment="1">
      <alignment horizontal="left" vertical="top"/>
      <protection locked="0"/>
    </xf>
    <xf numFmtId="171" fontId="142" fillId="0" borderId="0" xfId="32" applyNumberFormat="1" applyFont="1" applyAlignment="1" applyProtection="1">
      <alignment horizontal="left" vertical="center"/>
      <protection locked="0"/>
    </xf>
    <xf numFmtId="49" fontId="85" fillId="0" borderId="30" xfId="0" applyNumberFormat="1" applyFont="1" applyBorder="1" applyAlignment="1">
      <alignment horizontal="left" wrapText="1"/>
      <protection locked="0"/>
    </xf>
    <xf numFmtId="2" fontId="72" fillId="5" borderId="30" xfId="0" applyNumberFormat="1" applyFont="1" applyFill="1" applyBorder="1" applyAlignment="1">
      <alignment horizontal="right"/>
      <protection locked="0"/>
    </xf>
    <xf numFmtId="0" fontId="11" fillId="0" borderId="0" xfId="0" applyFont="1" applyAlignment="1">
      <alignment horizontal="right" vertical="center"/>
      <protection locked="0"/>
    </xf>
    <xf numFmtId="0" fontId="11" fillId="0" borderId="0" xfId="0" applyFont="1" applyAlignment="1">
      <alignment horizontal="left" vertical="center"/>
      <protection locked="0"/>
    </xf>
    <xf numFmtId="37" fontId="8" fillId="0" borderId="0" xfId="0" applyNumberFormat="1" applyFont="1" applyAlignment="1">
      <alignment horizontal="right" vertical="center"/>
      <protection locked="0"/>
    </xf>
    <xf numFmtId="0" fontId="8" fillId="0" borderId="0" xfId="0" applyFont="1" applyAlignment="1">
      <alignment horizontal="left" vertical="center" wrapText="1"/>
      <protection locked="0"/>
    </xf>
    <xf numFmtId="0" fontId="28" fillId="0" borderId="0" xfId="0" applyFont="1" applyAlignment="1">
      <alignment horizontal="left" vertical="center" wrapText="1"/>
      <protection locked="0"/>
    </xf>
    <xf numFmtId="0" fontId="60" fillId="0" borderId="0" xfId="0" applyFont="1" applyAlignment="1">
      <alignment horizontal="right" vertical="center"/>
      <protection locked="0"/>
    </xf>
    <xf numFmtId="0" fontId="28" fillId="0" borderId="30" xfId="0" applyFont="1" applyBorder="1" applyAlignment="1" applyProtection="1">
      <alignment horizontal="left" wrapText="1"/>
    </xf>
    <xf numFmtId="0" fontId="0" fillId="0" borderId="0" xfId="0" applyAlignment="1">
      <alignment horizontal="right" vertical="center"/>
      <protection locked="0"/>
    </xf>
    <xf numFmtId="167" fontId="28" fillId="0" borderId="30" xfId="0" applyNumberFormat="1" applyFont="1" applyBorder="1" applyAlignment="1">
      <protection locked="0"/>
    </xf>
    <xf numFmtId="0" fontId="28" fillId="0" borderId="30" xfId="0" applyFont="1" applyBorder="1" applyAlignment="1">
      <alignment horizontal="left" vertical="center" wrapText="1"/>
      <protection locked="0"/>
    </xf>
    <xf numFmtId="0" fontId="48" fillId="0" borderId="30" xfId="0" applyFont="1" applyBorder="1" applyAlignment="1">
      <alignment horizontal="left" wrapText="1"/>
      <protection locked="0"/>
    </xf>
    <xf numFmtId="167" fontId="28" fillId="0" borderId="0" xfId="0" applyNumberFormat="1" applyFont="1" applyAlignment="1">
      <protection locked="0"/>
    </xf>
    <xf numFmtId="39" fontId="48" fillId="0" borderId="30" xfId="0" applyNumberFormat="1" applyFont="1" applyBorder="1" applyAlignment="1">
      <alignment horizontal="right"/>
      <protection locked="0"/>
    </xf>
    <xf numFmtId="39" fontId="48" fillId="0" borderId="30" xfId="0" applyNumberFormat="1" applyFont="1" applyBorder="1" applyAlignment="1">
      <alignment horizontal="center"/>
      <protection locked="0"/>
    </xf>
    <xf numFmtId="0" fontId="87" fillId="7" borderId="30" xfId="3" applyFont="1" applyFill="1" applyBorder="1" applyAlignment="1" applyProtection="1">
      <alignment horizontal="left" vertical="top"/>
      <protection locked="0"/>
    </xf>
    <xf numFmtId="0" fontId="26" fillId="0" borderId="39" xfId="3" applyFont="1" applyBorder="1" applyAlignment="1" applyProtection="1">
      <alignment vertical="center"/>
      <protection locked="0"/>
    </xf>
    <xf numFmtId="49" fontId="8" fillId="0" borderId="30" xfId="40" applyNumberFormat="1" applyFont="1" applyBorder="1" applyAlignment="1">
      <alignment horizontal="right"/>
      <protection locked="0"/>
    </xf>
    <xf numFmtId="0" fontId="8" fillId="0" borderId="30" xfId="40" applyFont="1" applyBorder="1" applyAlignment="1">
      <alignment horizontal="left" wrapText="1"/>
      <protection locked="0"/>
    </xf>
    <xf numFmtId="4" fontId="8" fillId="0" borderId="30" xfId="40" applyNumberFormat="1" applyFont="1" applyBorder="1" applyAlignment="1">
      <alignment horizontal="right"/>
      <protection locked="0"/>
    </xf>
    <xf numFmtId="0" fontId="100" fillId="0" borderId="0" xfId="3" applyFont="1" applyAlignment="1" applyProtection="1">
      <alignment horizontal="left" vertical="center"/>
      <protection locked="0"/>
    </xf>
    <xf numFmtId="4" fontId="85" fillId="0" borderId="30" xfId="3" applyNumberFormat="1" applyFont="1" applyBorder="1" applyAlignment="1" applyProtection="1">
      <alignment horizontal="right"/>
      <protection locked="0"/>
    </xf>
    <xf numFmtId="49" fontId="8" fillId="0" borderId="30" xfId="45" applyNumberFormat="1" applyFont="1" applyBorder="1" applyAlignment="1">
      <alignment horizontal="right"/>
      <protection locked="0"/>
    </xf>
    <xf numFmtId="0" fontId="8" fillId="0" borderId="30" xfId="45" applyFont="1" applyBorder="1" applyAlignment="1">
      <alignment horizontal="left" wrapText="1"/>
      <protection locked="0"/>
    </xf>
    <xf numFmtId="0" fontId="31" fillId="0" borderId="0" xfId="45" applyAlignment="1">
      <protection locked="0"/>
    </xf>
    <xf numFmtId="39" fontId="8" fillId="0" borderId="30" xfId="45" applyNumberFormat="1" applyFont="1" applyBorder="1" applyAlignment="1">
      <alignment horizontal="center"/>
      <protection locked="0"/>
    </xf>
    <xf numFmtId="0" fontId="70" fillId="0" borderId="0" xfId="45" applyFont="1" applyAlignment="1">
      <alignment vertical="center"/>
      <protection locked="0"/>
    </xf>
    <xf numFmtId="4" fontId="66" fillId="0" borderId="30" xfId="45" applyNumberFormat="1" applyFont="1" applyBorder="1" applyAlignment="1">
      <alignment horizontal="right"/>
      <protection locked="0"/>
    </xf>
    <xf numFmtId="49" fontId="28" fillId="0" borderId="30" xfId="45" applyNumberFormat="1" applyFont="1" applyBorder="1" applyAlignment="1">
      <alignment horizontal="right"/>
      <protection locked="0"/>
    </xf>
    <xf numFmtId="167" fontId="99" fillId="0" borderId="30" xfId="45" applyNumberFormat="1" applyFont="1" applyBorder="1" applyAlignment="1">
      <alignment horizontal="right" wrapText="1"/>
      <protection locked="0"/>
    </xf>
    <xf numFmtId="0" fontId="31" fillId="0" borderId="0" xfId="45" applyAlignment="1">
      <alignment vertical="center"/>
      <protection locked="0"/>
    </xf>
    <xf numFmtId="0" fontId="72" fillId="0" borderId="30" xfId="45" applyFont="1" applyBorder="1" applyAlignment="1">
      <alignment horizontal="left" wrapText="1"/>
      <protection locked="0"/>
    </xf>
    <xf numFmtId="4" fontId="28" fillId="5" borderId="30" xfId="56" applyNumberFormat="1" applyFont="1" applyFill="1" applyBorder="1" applyAlignment="1" applyProtection="1">
      <alignment horizontal="right"/>
      <protection locked="0"/>
    </xf>
    <xf numFmtId="0" fontId="52" fillId="0" borderId="0" xfId="45" applyFont="1" applyAlignment="1">
      <alignment horizontal="left" vertical="center"/>
      <protection locked="0"/>
    </xf>
    <xf numFmtId="4" fontId="8" fillId="0" borderId="30" xfId="45" applyNumberFormat="1" applyFont="1" applyBorder="1" applyAlignment="1">
      <alignment horizontal="right"/>
      <protection locked="0"/>
    </xf>
    <xf numFmtId="0" fontId="31" fillId="0" borderId="30" xfId="45" applyBorder="1" applyAlignment="1">
      <alignment horizontal="left" vertical="top"/>
      <protection locked="0"/>
    </xf>
    <xf numFmtId="2" fontId="143" fillId="0" borderId="0" xfId="45" applyNumberFormat="1" applyFont="1" applyAlignment="1">
      <alignment vertical="center"/>
      <protection locked="0"/>
    </xf>
    <xf numFmtId="2" fontId="31" fillId="0" borderId="0" xfId="45" applyNumberFormat="1" applyAlignment="1">
      <alignment horizontal="left" vertical="center"/>
      <protection locked="0"/>
    </xf>
    <xf numFmtId="2" fontId="31" fillId="0" borderId="0" xfId="45" applyNumberFormat="1" applyAlignment="1">
      <alignment vertical="top"/>
      <protection locked="0"/>
    </xf>
    <xf numFmtId="2" fontId="31" fillId="0" borderId="30" xfId="45" applyNumberFormat="1" applyBorder="1" applyAlignment="1">
      <alignment horizontal="left" vertical="top"/>
      <protection locked="0"/>
    </xf>
    <xf numFmtId="0" fontId="100" fillId="0" borderId="0" xfId="45" applyFont="1" applyAlignment="1">
      <alignment horizontal="left" vertical="center"/>
      <protection locked="0"/>
    </xf>
    <xf numFmtId="2" fontId="62" fillId="0" borderId="0" xfId="45" applyNumberFormat="1" applyFont="1" applyAlignment="1">
      <alignment horizontal="right" vertical="center"/>
      <protection locked="0"/>
    </xf>
    <xf numFmtId="49" fontId="8" fillId="0" borderId="30" xfId="45" applyNumberFormat="1" applyFont="1" applyBorder="1" applyAlignment="1">
      <alignment horizontal="left" wrapText="1"/>
      <protection locked="0"/>
    </xf>
    <xf numFmtId="0" fontId="8" fillId="0" borderId="30" xfId="45" applyFont="1" applyBorder="1" applyAlignment="1" applyProtection="1">
      <alignment horizontal="left" wrapText="1"/>
    </xf>
    <xf numFmtId="0" fontId="8" fillId="0" borderId="30" xfId="45" applyFont="1" applyBorder="1" applyAlignment="1" applyProtection="1">
      <alignment horizontal="left" shrinkToFit="1"/>
    </xf>
    <xf numFmtId="4" fontId="67" fillId="0" borderId="0" xfId="45" applyNumberFormat="1" applyFont="1" applyAlignment="1">
      <alignment horizontal="left" vertical="top"/>
      <protection locked="0"/>
    </xf>
    <xf numFmtId="167" fontId="67" fillId="0" borderId="0" xfId="45" applyNumberFormat="1" applyFont="1" applyAlignment="1">
      <alignment horizontal="left" vertical="top"/>
      <protection locked="0"/>
    </xf>
    <xf numFmtId="39" fontId="37" fillId="0" borderId="30" xfId="45" applyNumberFormat="1" applyFont="1" applyBorder="1" applyAlignment="1">
      <alignment horizontal="center"/>
      <protection locked="0"/>
    </xf>
    <xf numFmtId="4" fontId="121" fillId="0" borderId="0" xfId="3" applyNumberFormat="1" applyFont="1" applyAlignment="1">
      <alignment vertical="center"/>
    </xf>
    <xf numFmtId="37" fontId="86" fillId="0" borderId="0" xfId="55" applyNumberFormat="1" applyFont="1" applyAlignment="1" applyProtection="1">
      <alignment horizontal="right"/>
      <protection locked="0"/>
    </xf>
    <xf numFmtId="0" fontId="86" fillId="0" borderId="0" xfId="55" applyFont="1" applyAlignment="1" applyProtection="1">
      <alignment horizontal="left" wrapText="1"/>
      <protection locked="0"/>
    </xf>
    <xf numFmtId="170" fontId="86" fillId="0" borderId="0" xfId="55" applyNumberFormat="1" applyFont="1" applyAlignment="1" applyProtection="1">
      <alignment horizontal="right"/>
      <protection locked="0"/>
    </xf>
    <xf numFmtId="39" fontId="86" fillId="0" borderId="0" xfId="55" applyNumberFormat="1" applyFont="1" applyAlignment="1" applyProtection="1">
      <alignment horizontal="right"/>
      <protection locked="0"/>
    </xf>
    <xf numFmtId="37" fontId="8" fillId="0" borderId="21" xfId="55" applyNumberFormat="1" applyFont="1" applyBorder="1" applyAlignment="1" applyProtection="1">
      <alignment horizontal="right"/>
      <protection locked="0"/>
    </xf>
    <xf numFmtId="0" fontId="8" fillId="0" borderId="21" xfId="55" applyFont="1" applyBorder="1" applyAlignment="1" applyProtection="1">
      <alignment horizontal="left" wrapText="1"/>
      <protection locked="0"/>
    </xf>
    <xf numFmtId="0" fontId="8" fillId="0" borderId="21" xfId="55" applyFont="1" applyBorder="1" applyAlignment="1" applyProtection="1">
      <alignment horizontal="center" wrapText="1"/>
      <protection locked="0"/>
    </xf>
    <xf numFmtId="170" fontId="8" fillId="0" borderId="21" xfId="55" applyNumberFormat="1" applyFont="1" applyBorder="1" applyAlignment="1" applyProtection="1">
      <alignment horizontal="right"/>
      <protection locked="0"/>
    </xf>
    <xf numFmtId="39" fontId="8" fillId="0" borderId="21" xfId="55" applyNumberFormat="1" applyFont="1" applyBorder="1" applyAlignment="1" applyProtection="1">
      <alignment horizontal="right"/>
      <protection locked="0"/>
    </xf>
    <xf numFmtId="0" fontId="87" fillId="0" borderId="0" xfId="55" applyFont="1" applyAlignment="1" applyProtection="1">
      <alignment horizontal="left" vertical="top"/>
      <protection locked="0"/>
    </xf>
    <xf numFmtId="0" fontId="37" fillId="0" borderId="32" xfId="55" applyFont="1" applyBorder="1" applyAlignment="1" applyProtection="1">
      <alignment horizontal="left"/>
      <protection locked="0"/>
    </xf>
    <xf numFmtId="0" fontId="66" fillId="0" borderId="33" xfId="55" applyFont="1" applyBorder="1" applyAlignment="1" applyProtection="1">
      <alignment horizontal="center"/>
      <protection locked="0"/>
    </xf>
    <xf numFmtId="170" fontId="66" fillId="0" borderId="33" xfId="55" applyNumberFormat="1" applyFont="1" applyBorder="1" applyAlignment="1" applyProtection="1">
      <alignment horizontal="right"/>
      <protection locked="0"/>
    </xf>
    <xf numFmtId="39" fontId="8" fillId="0" borderId="33" xfId="55" applyNumberFormat="1" applyFont="1" applyBorder="1" applyAlignment="1" applyProtection="1">
      <alignment horizontal="right"/>
      <protection locked="0"/>
    </xf>
    <xf numFmtId="39" fontId="48" fillId="0" borderId="0" xfId="55" applyNumberFormat="1" applyFont="1" applyAlignment="1" applyProtection="1">
      <alignment horizontal="center"/>
      <protection locked="0"/>
    </xf>
    <xf numFmtId="37" fontId="66" fillId="0" borderId="0" xfId="55" applyNumberFormat="1" applyFont="1" applyAlignment="1" applyProtection="1">
      <alignment horizontal="right"/>
      <protection locked="0"/>
    </xf>
    <xf numFmtId="0" fontId="66" fillId="0" borderId="0" xfId="55" applyFont="1" applyAlignment="1" applyProtection="1">
      <alignment horizontal="left" wrapText="1"/>
      <protection locked="0"/>
    </xf>
    <xf numFmtId="0" fontId="8" fillId="0" borderId="0" xfId="55" applyFont="1" applyAlignment="1" applyProtection="1">
      <alignment horizontal="left" wrapText="1"/>
      <protection locked="0"/>
    </xf>
    <xf numFmtId="0" fontId="66" fillId="0" borderId="0" xfId="55" applyFont="1" applyAlignment="1" applyProtection="1">
      <alignment horizontal="center" wrapText="1"/>
      <protection locked="0"/>
    </xf>
    <xf numFmtId="170" fontId="66" fillId="0" borderId="0" xfId="55" applyNumberFormat="1" applyFont="1" applyAlignment="1" applyProtection="1">
      <alignment horizontal="right"/>
      <protection locked="0"/>
    </xf>
    <xf numFmtId="39" fontId="66" fillId="0" borderId="0" xfId="55" applyNumberFormat="1" applyFont="1" applyAlignment="1" applyProtection="1">
      <alignment horizontal="right"/>
      <protection locked="0"/>
    </xf>
    <xf numFmtId="39" fontId="8" fillId="0" borderId="0" xfId="55" applyNumberFormat="1" applyFont="1" applyAlignment="1" applyProtection="1">
      <alignment horizontal="right"/>
      <protection locked="0"/>
    </xf>
    <xf numFmtId="39" fontId="8" fillId="0" borderId="0" xfId="55" applyNumberFormat="1" applyFont="1" applyAlignment="1" applyProtection="1">
      <alignment horizontal="center"/>
      <protection locked="0"/>
    </xf>
    <xf numFmtId="37" fontId="16" fillId="0" borderId="0" xfId="55" applyNumberFormat="1" applyFont="1" applyAlignment="1" applyProtection="1">
      <alignment horizontal="left" vertical="center"/>
      <protection locked="0"/>
    </xf>
    <xf numFmtId="0" fontId="144" fillId="0" borderId="0" xfId="55" applyFont="1" applyAlignment="1" applyProtection="1">
      <alignment horizontal="center" vertical="center" wrapText="1"/>
      <protection locked="0"/>
    </xf>
    <xf numFmtId="0" fontId="43" fillId="0" borderId="0" xfId="48" applyFont="1" applyAlignment="1">
      <alignment horizontal="left" vertical="center" wrapText="1"/>
      <protection locked="0"/>
    </xf>
    <xf numFmtId="0" fontId="37" fillId="0" borderId="0" xfId="55" applyFont="1" applyAlignment="1" applyProtection="1">
      <alignment horizontal="left" vertical="center"/>
      <protection locked="0"/>
    </xf>
    <xf numFmtId="2" fontId="37" fillId="0" borderId="0" xfId="55" applyNumberFormat="1" applyFont="1" applyAlignment="1" applyProtection="1">
      <alignment horizontal="right"/>
      <protection locked="0"/>
    </xf>
    <xf numFmtId="37" fontId="37" fillId="0" borderId="0" xfId="55" applyNumberFormat="1" applyFont="1" applyAlignment="1" applyProtection="1">
      <alignment horizontal="right"/>
      <protection locked="0"/>
    </xf>
    <xf numFmtId="0" fontId="37" fillId="0" borderId="0" xfId="55" applyFont="1" applyAlignment="1" applyProtection="1">
      <alignment horizontal="left" wrapText="1"/>
      <protection locked="0"/>
    </xf>
    <xf numFmtId="0" fontId="38" fillId="0" borderId="0" xfId="55" applyAlignment="1" applyProtection="1">
      <alignment vertical="top"/>
      <protection locked="0"/>
    </xf>
    <xf numFmtId="0" fontId="53" fillId="0" borderId="0" xfId="55" applyFont="1" applyAlignment="1" applyProtection="1">
      <alignment horizontal="left" vertical="top"/>
      <protection locked="0"/>
    </xf>
    <xf numFmtId="0" fontId="87" fillId="0" borderId="0" xfId="55" applyFont="1" applyAlignment="1" applyProtection="1">
      <alignment vertical="top"/>
      <protection locked="0"/>
    </xf>
    <xf numFmtId="2" fontId="87" fillId="0" borderId="0" xfId="55" applyNumberFormat="1" applyFont="1" applyAlignment="1" applyProtection="1">
      <alignment vertical="top"/>
      <protection locked="0"/>
    </xf>
    <xf numFmtId="2" fontId="48" fillId="0" borderId="0" xfId="55" applyNumberFormat="1" applyFont="1" applyAlignment="1" applyProtection="1">
      <alignment horizontal="center"/>
      <protection locked="0"/>
    </xf>
    <xf numFmtId="0" fontId="11" fillId="0" borderId="0" xfId="55" applyFont="1" applyAlignment="1" applyProtection="1">
      <alignment vertical="top"/>
      <protection locked="0"/>
    </xf>
    <xf numFmtId="0" fontId="36" fillId="0" borderId="0" xfId="52" applyFont="1" applyAlignment="1">
      <alignment horizontal="left"/>
    </xf>
    <xf numFmtId="0" fontId="43" fillId="0" borderId="0" xfId="52" applyFont="1" applyAlignment="1">
      <alignment horizontal="left"/>
    </xf>
    <xf numFmtId="0" fontId="36" fillId="0" borderId="0" xfId="52" applyFont="1" applyAlignment="1">
      <alignment horizontal="center"/>
    </xf>
    <xf numFmtId="0" fontId="44" fillId="0" borderId="0" xfId="52" applyFont="1" applyAlignment="1">
      <alignment horizontal="right" vertical="top"/>
    </xf>
    <xf numFmtId="0" fontId="45" fillId="0" borderId="31" xfId="52" applyFont="1" applyBorder="1" applyAlignment="1">
      <alignment horizontal="center" vertical="center" wrapText="1"/>
    </xf>
    <xf numFmtId="0" fontId="45" fillId="0" borderId="12" xfId="52" applyFont="1" applyBorder="1" applyAlignment="1">
      <alignment horizontal="center" vertical="center" wrapText="1"/>
    </xf>
    <xf numFmtId="0" fontId="123" fillId="0" borderId="0" xfId="51" applyFill="1" applyAlignment="1" applyProtection="1"/>
    <xf numFmtId="37" fontId="37" fillId="0" borderId="0" xfId="52" applyNumberFormat="1" applyFont="1" applyAlignment="1">
      <alignment horizontal="right"/>
    </xf>
    <xf numFmtId="0" fontId="37" fillId="0" borderId="0" xfId="52" applyFont="1" applyAlignment="1">
      <alignment horizontal="left" wrapText="1"/>
    </xf>
    <xf numFmtId="170" fontId="37" fillId="0" borderId="0" xfId="52" applyNumberFormat="1" applyFont="1" applyAlignment="1">
      <alignment horizontal="right"/>
    </xf>
    <xf numFmtId="4" fontId="37" fillId="0" borderId="0" xfId="52" applyNumberFormat="1" applyFont="1" applyAlignment="1">
      <alignment horizontal="right"/>
    </xf>
    <xf numFmtId="0" fontId="7" fillId="0" borderId="0" xfId="52" applyAlignment="1">
      <alignment horizontal="left" vertical="top"/>
    </xf>
    <xf numFmtId="167" fontId="8" fillId="0" borderId="30" xfId="57" applyNumberFormat="1" applyFont="1" applyBorder="1" applyAlignment="1" applyProtection="1">
      <alignment horizontal="right"/>
      <protection locked="0"/>
    </xf>
    <xf numFmtId="167" fontId="54" fillId="0" borderId="30" xfId="57" applyNumberFormat="1" applyFont="1" applyBorder="1" applyAlignment="1" applyProtection="1">
      <alignment horizontal="right"/>
      <protection locked="0"/>
    </xf>
    <xf numFmtId="37" fontId="37" fillId="0" borderId="30" xfId="52" applyNumberFormat="1" applyFont="1" applyBorder="1" applyAlignment="1" applyProtection="1">
      <alignment horizontal="right"/>
      <protection locked="0"/>
    </xf>
    <xf numFmtId="49" fontId="37" fillId="0" borderId="30" xfId="52" applyNumberFormat="1" applyFont="1" applyBorder="1" applyAlignment="1" applyProtection="1">
      <alignment horizontal="left" wrapText="1"/>
      <protection locked="0"/>
    </xf>
    <xf numFmtId="39" fontId="37" fillId="0" borderId="30" xfId="52" applyNumberFormat="1" applyFont="1" applyBorder="1" applyAlignment="1" applyProtection="1">
      <alignment horizontal="right"/>
      <protection locked="0"/>
    </xf>
    <xf numFmtId="0" fontId="94" fillId="0" borderId="30" xfId="52" applyFont="1" applyBorder="1" applyAlignment="1" applyProtection="1">
      <alignment horizontal="right" vertical="center"/>
      <protection locked="0"/>
    </xf>
    <xf numFmtId="49" fontId="8" fillId="0" borderId="30" xfId="52" applyNumberFormat="1" applyFont="1" applyBorder="1" applyAlignment="1">
      <alignment horizontal="right" wrapText="1"/>
    </xf>
    <xf numFmtId="49" fontId="8" fillId="0" borderId="30" xfId="49" applyNumberFormat="1" applyFont="1" applyBorder="1" applyAlignment="1" applyProtection="1">
      <alignment horizontal="left" wrapText="1"/>
      <protection locked="0"/>
    </xf>
    <xf numFmtId="0" fontId="8" fillId="0" borderId="30" xfId="52" applyFont="1" applyBorder="1" applyAlignment="1">
      <alignment horizontal="left" wrapText="1"/>
    </xf>
    <xf numFmtId="39" fontId="8" fillId="0" borderId="30" xfId="52" applyNumberFormat="1" applyFont="1" applyBorder="1" applyAlignment="1">
      <alignment horizontal="right"/>
    </xf>
    <xf numFmtId="49" fontId="8" fillId="0" borderId="30" xfId="52" applyNumberFormat="1" applyFont="1" applyBorder="1" applyAlignment="1">
      <alignment horizontal="left" wrapText="1"/>
    </xf>
    <xf numFmtId="0" fontId="72" fillId="0" borderId="30" xfId="44" applyFont="1" applyBorder="1" applyAlignment="1">
      <alignment horizontal="left" wrapText="1"/>
      <protection locked="0"/>
    </xf>
    <xf numFmtId="167" fontId="28" fillId="0" borderId="30" xfId="52" applyNumberFormat="1" applyFont="1" applyBorder="1" applyAlignment="1">
      <alignment horizontal="right"/>
    </xf>
    <xf numFmtId="0" fontId="7" fillId="0" borderId="30" xfId="52" applyBorder="1" applyAlignment="1">
      <alignment vertical="top"/>
    </xf>
    <xf numFmtId="37" fontId="8" fillId="0" borderId="30" xfId="49" applyNumberFormat="1" applyFont="1" applyBorder="1" applyAlignment="1" applyProtection="1">
      <alignment horizontal="right"/>
      <protection locked="0"/>
    </xf>
    <xf numFmtId="0" fontId="8" fillId="0" borderId="30" xfId="49" applyFont="1" applyBorder="1" applyAlignment="1" applyProtection="1">
      <alignment horizontal="left" wrapText="1"/>
      <protection locked="0"/>
    </xf>
    <xf numFmtId="39" fontId="8" fillId="0" borderId="30" xfId="49" applyNumberFormat="1" applyFont="1" applyBorder="1" applyAlignment="1" applyProtection="1">
      <alignment horizontal="right"/>
      <protection locked="0"/>
    </xf>
    <xf numFmtId="0" fontId="103" fillId="0" borderId="0" xfId="49" applyFont="1" applyAlignment="1" applyProtection="1">
      <alignment horizontal="left" vertical="center"/>
      <protection locked="0"/>
    </xf>
    <xf numFmtId="0" fontId="38" fillId="0" borderId="0" xfId="49" applyAlignment="1" applyProtection="1">
      <alignment horizontal="left" vertical="center"/>
      <protection locked="0"/>
    </xf>
    <xf numFmtId="37" fontId="28" fillId="0" borderId="30" xfId="49" applyNumberFormat="1" applyFont="1" applyBorder="1" applyAlignment="1" applyProtection="1">
      <alignment horizontal="right"/>
      <protection locked="0"/>
    </xf>
    <xf numFmtId="0" fontId="28" fillId="0" borderId="30" xfId="49" applyFont="1" applyBorder="1" applyAlignment="1" applyProtection="1">
      <alignment horizontal="left" wrapText="1"/>
      <protection locked="0"/>
    </xf>
    <xf numFmtId="167" fontId="28" fillId="0" borderId="30" xfId="49" applyNumberFormat="1" applyFont="1" applyBorder="1" applyAlignment="1" applyProtection="1">
      <alignment horizontal="right"/>
      <protection locked="0"/>
    </xf>
    <xf numFmtId="39" fontId="28" fillId="0" borderId="30" xfId="49" applyNumberFormat="1" applyFont="1" applyBorder="1" applyAlignment="1" applyProtection="1">
      <alignment horizontal="right"/>
      <protection locked="0"/>
    </xf>
    <xf numFmtId="0" fontId="38" fillId="0" borderId="30" xfId="49" applyBorder="1" applyAlignment="1" applyProtection="1">
      <alignment horizontal="center" vertical="top"/>
      <protection locked="0"/>
    </xf>
    <xf numFmtId="0" fontId="53" fillId="0" borderId="0" xfId="49" applyFont="1" applyAlignment="1" applyProtection="1">
      <alignment horizontal="left" vertical="top"/>
      <protection locked="0"/>
    </xf>
    <xf numFmtId="4" fontId="37" fillId="0" borderId="30" xfId="25" applyNumberFormat="1" applyFont="1" applyBorder="1" applyAlignment="1" applyProtection="1">
      <alignment horizontal="right"/>
      <protection locked="0"/>
    </xf>
    <xf numFmtId="0" fontId="123" fillId="0" borderId="0" xfId="51" applyFill="1" applyAlignment="1" applyProtection="1">
      <alignment horizontal="left" vertical="top"/>
      <protection locked="0"/>
    </xf>
    <xf numFmtId="0" fontId="65" fillId="0" borderId="0" xfId="51" applyFont="1" applyFill="1" applyAlignment="1" applyProtection="1">
      <alignment horizontal="left" vertical="center"/>
      <protection locked="0"/>
    </xf>
    <xf numFmtId="37" fontId="86" fillId="0" borderId="0" xfId="52" applyNumberFormat="1" applyFont="1" applyAlignment="1">
      <alignment horizontal="right"/>
    </xf>
    <xf numFmtId="0" fontId="86" fillId="0" borderId="0" xfId="52" applyFont="1" applyAlignment="1">
      <alignment horizontal="left" wrapText="1"/>
    </xf>
    <xf numFmtId="170" fontId="86" fillId="0" borderId="0" xfId="52" applyNumberFormat="1" applyFont="1" applyAlignment="1">
      <alignment horizontal="right"/>
    </xf>
    <xf numFmtId="39" fontId="86" fillId="0" borderId="0" xfId="52" applyNumberFormat="1" applyFont="1" applyAlignment="1">
      <alignment horizontal="right"/>
    </xf>
    <xf numFmtId="37" fontId="8" fillId="0" borderId="21" xfId="52" applyNumberFormat="1" applyFont="1" applyBorder="1" applyAlignment="1">
      <alignment horizontal="right"/>
    </xf>
    <xf numFmtId="0" fontId="8" fillId="0" borderId="21" xfId="52" applyFont="1" applyBorder="1" applyAlignment="1">
      <alignment horizontal="left" wrapText="1"/>
    </xf>
    <xf numFmtId="0" fontId="8" fillId="0" borderId="21" xfId="52" applyFont="1" applyBorder="1" applyAlignment="1">
      <alignment horizontal="center" wrapText="1"/>
    </xf>
    <xf numFmtId="170" fontId="8" fillId="0" borderId="21" xfId="52" applyNumberFormat="1" applyFont="1" applyBorder="1" applyAlignment="1">
      <alignment horizontal="right"/>
    </xf>
    <xf numFmtId="39" fontId="8" fillId="0" borderId="21" xfId="52" applyNumberFormat="1" applyFont="1" applyBorder="1" applyAlignment="1">
      <alignment horizontal="right"/>
    </xf>
    <xf numFmtId="0" fontId="87" fillId="0" borderId="0" xfId="52" applyFont="1" applyAlignment="1">
      <alignment horizontal="left" vertical="top"/>
    </xf>
    <xf numFmtId="0" fontId="37" fillId="0" borderId="32" xfId="52" applyFont="1" applyBorder="1" applyAlignment="1">
      <alignment horizontal="left"/>
    </xf>
    <xf numFmtId="0" fontId="66" fillId="0" borderId="33" xfId="52" applyFont="1" applyBorder="1" applyAlignment="1">
      <alignment horizontal="center"/>
    </xf>
    <xf numFmtId="170" fontId="66" fillId="0" borderId="33" xfId="52" applyNumberFormat="1" applyFont="1" applyBorder="1" applyAlignment="1">
      <alignment horizontal="right"/>
    </xf>
    <xf numFmtId="39" fontId="8" fillId="0" borderId="33" xfId="52" applyNumberFormat="1" applyFont="1" applyBorder="1" applyAlignment="1">
      <alignment horizontal="right"/>
    </xf>
    <xf numFmtId="39" fontId="48" fillId="0" borderId="0" xfId="52" applyNumberFormat="1" applyFont="1" applyAlignment="1">
      <alignment horizontal="center"/>
    </xf>
    <xf numFmtId="37" fontId="66" fillId="0" borderId="0" xfId="52" applyNumberFormat="1" applyFont="1" applyAlignment="1">
      <alignment horizontal="right"/>
    </xf>
    <xf numFmtId="0" fontId="66" fillId="0" borderId="0" xfId="52" applyFont="1" applyAlignment="1">
      <alignment horizontal="left" wrapText="1"/>
    </xf>
    <xf numFmtId="0" fontId="8" fillId="0" borderId="0" xfId="52" applyFont="1" applyAlignment="1">
      <alignment horizontal="left" wrapText="1"/>
    </xf>
    <xf numFmtId="0" fontId="66" fillId="0" borderId="0" xfId="52" applyFont="1" applyAlignment="1">
      <alignment horizontal="center" wrapText="1"/>
    </xf>
    <xf numFmtId="170" fontId="66" fillId="0" borderId="0" xfId="52" applyNumberFormat="1" applyFont="1" applyAlignment="1">
      <alignment horizontal="right"/>
    </xf>
    <xf numFmtId="39" fontId="66" fillId="0" borderId="0" xfId="52" applyNumberFormat="1" applyFont="1" applyAlignment="1">
      <alignment horizontal="right"/>
    </xf>
    <xf numFmtId="39" fontId="8" fillId="0" borderId="0" xfId="52" applyNumberFormat="1" applyFont="1" applyAlignment="1">
      <alignment horizontal="right"/>
    </xf>
    <xf numFmtId="49" fontId="54" fillId="0" borderId="30" xfId="3" applyNumberFormat="1" applyFont="1" applyBorder="1" applyAlignment="1" applyProtection="1">
      <alignment horizontal="right" wrapText="1"/>
      <protection locked="0"/>
    </xf>
    <xf numFmtId="49" fontId="54" fillId="0" borderId="30" xfId="3" applyNumberFormat="1" applyFont="1" applyBorder="1" applyAlignment="1" applyProtection="1">
      <alignment horizontal="left" wrapText="1"/>
      <protection locked="0"/>
    </xf>
    <xf numFmtId="0" fontId="57" fillId="0" borderId="30" xfId="0" applyFont="1" applyBorder="1" applyAlignment="1">
      <alignment horizontal="left" wrapText="1"/>
      <protection locked="0"/>
    </xf>
    <xf numFmtId="0" fontId="56" fillId="0" borderId="30" xfId="3" applyFont="1" applyBorder="1" applyAlignment="1" applyProtection="1">
      <alignment vertical="top"/>
      <protection locked="0"/>
    </xf>
    <xf numFmtId="0" fontId="128" fillId="0" borderId="0" xfId="3" applyFont="1" applyAlignment="1" applyProtection="1">
      <alignment horizontal="left" vertical="center"/>
      <protection locked="0"/>
    </xf>
    <xf numFmtId="0" fontId="56" fillId="0" borderId="0" xfId="3" applyFont="1" applyAlignment="1" applyProtection="1">
      <alignment horizontal="left" vertical="top"/>
      <protection locked="0"/>
    </xf>
    <xf numFmtId="0" fontId="56" fillId="0" borderId="0" xfId="3" applyFont="1" applyAlignment="1" applyProtection="1">
      <alignment vertical="top"/>
      <protection locked="0"/>
    </xf>
    <xf numFmtId="169" fontId="8" fillId="0" borderId="30" xfId="0" applyNumberFormat="1" applyFont="1" applyBorder="1" applyAlignment="1">
      <alignment horizontal="right"/>
      <protection locked="0"/>
    </xf>
    <xf numFmtId="4" fontId="37" fillId="7" borderId="30" xfId="55" applyNumberFormat="1" applyFont="1" applyFill="1" applyBorder="1" applyAlignment="1" applyProtection="1">
      <alignment horizontal="right"/>
      <protection locked="0"/>
    </xf>
    <xf numFmtId="4" fontId="10" fillId="0" borderId="0" xfId="3" applyNumberFormat="1" applyAlignment="1" applyProtection="1">
      <alignment horizontal="left" vertical="top"/>
      <protection locked="0"/>
    </xf>
    <xf numFmtId="4" fontId="72" fillId="5" borderId="30" xfId="0" applyNumberFormat="1" applyFont="1" applyFill="1" applyBorder="1" applyAlignment="1">
      <alignment horizontal="right"/>
      <protection locked="0"/>
    </xf>
    <xf numFmtId="0" fontId="37" fillId="0" borderId="30" xfId="0" applyFont="1" applyBorder="1" applyAlignment="1">
      <alignment horizontal="left" wrapText="1"/>
      <protection locked="0"/>
    </xf>
    <xf numFmtId="4" fontId="145" fillId="0" borderId="30" xfId="0" applyNumberFormat="1" applyFont="1" applyBorder="1" applyAlignment="1">
      <alignment horizontal="right"/>
      <protection locked="0"/>
    </xf>
    <xf numFmtId="39" fontId="37" fillId="0" borderId="30" xfId="0" applyNumberFormat="1" applyFont="1" applyBorder="1" applyAlignment="1">
      <alignment horizontal="right"/>
      <protection locked="0"/>
    </xf>
    <xf numFmtId="0" fontId="120" fillId="0" borderId="0" xfId="0" applyFont="1" applyAlignment="1" applyProtection="1">
      <alignment vertical="center"/>
    </xf>
    <xf numFmtId="0" fontId="55" fillId="0" borderId="0" xfId="0" applyFont="1" applyAlignment="1" applyProtection="1">
      <alignment vertical="center"/>
    </xf>
    <xf numFmtId="0" fontId="58" fillId="0" borderId="0" xfId="0" applyFont="1" applyAlignment="1" applyProtection="1">
      <alignment horizontal="right" vertical="center"/>
    </xf>
    <xf numFmtId="0" fontId="28" fillId="0" borderId="30" xfId="0" applyFont="1" applyBorder="1" applyAlignment="1">
      <alignment horizontal="center" vertical="center" wrapText="1"/>
      <protection locked="0"/>
    </xf>
    <xf numFmtId="4" fontId="28" fillId="0" borderId="30" xfId="0" applyNumberFormat="1" applyFont="1" applyBorder="1" applyAlignment="1">
      <alignment horizontal="center" vertical="center"/>
      <protection locked="0"/>
    </xf>
    <xf numFmtId="0" fontId="71" fillId="0" borderId="0" xfId="32" applyFont="1" applyAlignment="1" applyProtection="1">
      <alignment horizontal="right" vertical="center"/>
      <protection locked="0"/>
    </xf>
    <xf numFmtId="0" fontId="146" fillId="0" borderId="0" xfId="32" applyFont="1" applyAlignment="1" applyProtection="1">
      <alignment horizontal="left" vertical="center"/>
      <protection locked="0"/>
    </xf>
    <xf numFmtId="0" fontId="94" fillId="0" borderId="0" xfId="0" applyFont="1" applyAlignment="1">
      <alignment horizontal="left" vertical="top"/>
      <protection locked="0"/>
    </xf>
    <xf numFmtId="4" fontId="48" fillId="0" borderId="30" xfId="0" applyNumberFormat="1" applyFont="1" applyBorder="1" applyAlignment="1">
      <alignment horizontal="right"/>
      <protection locked="0"/>
    </xf>
    <xf numFmtId="49" fontId="137" fillId="0" borderId="30" xfId="0" applyNumberFormat="1" applyFont="1" applyBorder="1" applyAlignment="1">
      <alignment horizontal="right"/>
      <protection locked="0"/>
    </xf>
    <xf numFmtId="49" fontId="127" fillId="0" borderId="30" xfId="0" applyNumberFormat="1" applyFont="1" applyBorder="1" applyAlignment="1">
      <alignment horizontal="left" wrapText="1"/>
      <protection locked="0"/>
    </xf>
    <xf numFmtId="0" fontId="137" fillId="0" borderId="30" xfId="0" applyFont="1" applyBorder="1" applyAlignment="1">
      <alignment horizontal="left" wrapText="1"/>
      <protection locked="0"/>
    </xf>
    <xf numFmtId="4" fontId="137" fillId="5" borderId="30" xfId="0" applyNumberFormat="1" applyFont="1" applyFill="1" applyBorder="1" applyAlignment="1">
      <alignment horizontal="right"/>
      <protection locked="0"/>
    </xf>
    <xf numFmtId="39" fontId="137" fillId="0" borderId="30" xfId="12" applyNumberFormat="1" applyFont="1" applyBorder="1" applyAlignment="1">
      <alignment horizontal="center"/>
      <protection locked="0"/>
    </xf>
    <xf numFmtId="0" fontId="69" fillId="0" borderId="0" xfId="58" applyFont="1" applyFill="1" applyAlignment="1" applyProtection="1">
      <alignment horizontal="left" vertical="center"/>
    </xf>
    <xf numFmtId="0" fontId="28" fillId="0" borderId="30" xfId="59" applyFont="1" applyBorder="1" applyAlignment="1">
      <alignment horizontal="left" wrapText="1"/>
    </xf>
    <xf numFmtId="49" fontId="8" fillId="0" borderId="30" xfId="60" applyNumberFormat="1" applyFont="1" applyBorder="1" applyAlignment="1">
      <alignment horizontal="right" wrapText="1"/>
      <protection locked="0"/>
    </xf>
    <xf numFmtId="49" fontId="8" fillId="0" borderId="30" xfId="60" applyNumberFormat="1" applyFont="1" applyBorder="1" applyAlignment="1">
      <alignment horizontal="left" wrapText="1"/>
      <protection locked="0"/>
    </xf>
    <xf numFmtId="0" fontId="28" fillId="0" borderId="30" xfId="60" applyFont="1" applyBorder="1" applyAlignment="1">
      <alignment horizontal="left" wrapText="1"/>
      <protection locked="0"/>
    </xf>
    <xf numFmtId="4" fontId="28" fillId="0" borderId="30" xfId="60" applyNumberFormat="1" applyFont="1" applyBorder="1" applyAlignment="1">
      <alignment horizontal="right"/>
      <protection locked="0"/>
    </xf>
    <xf numFmtId="0" fontId="64" fillId="0" borderId="0" xfId="60" applyFont="1" applyAlignment="1">
      <alignment horizontal="left" vertical="top"/>
      <protection locked="0"/>
    </xf>
    <xf numFmtId="0" fontId="67" fillId="0" borderId="0" xfId="60" applyAlignment="1">
      <alignment horizontal="left" vertical="top"/>
      <protection locked="0"/>
    </xf>
    <xf numFmtId="168" fontId="67" fillId="0" borderId="0" xfId="60" applyNumberFormat="1" applyAlignment="1">
      <alignment horizontal="left" vertical="top"/>
      <protection locked="0"/>
    </xf>
    <xf numFmtId="0" fontId="87" fillId="0" borderId="30" xfId="3" applyFont="1" applyBorder="1" applyAlignment="1" applyProtection="1">
      <alignment horizontal="left" vertical="top"/>
      <protection locked="0"/>
    </xf>
    <xf numFmtId="4" fontId="8" fillId="0" borderId="30" xfId="43" applyNumberFormat="1" applyFont="1" applyBorder="1" applyAlignment="1" applyProtection="1">
      <alignment horizontal="right"/>
      <protection locked="0"/>
    </xf>
    <xf numFmtId="4" fontId="66" fillId="0" borderId="30" xfId="43" applyNumberFormat="1" applyFont="1" applyBorder="1" applyAlignment="1" applyProtection="1">
      <alignment horizontal="right" vertical="center"/>
      <protection locked="0"/>
    </xf>
    <xf numFmtId="4" fontId="66" fillId="0" borderId="30" xfId="43" applyNumberFormat="1" applyFont="1" applyBorder="1" applyAlignment="1" applyProtection="1">
      <alignment horizontal="right"/>
      <protection locked="0"/>
    </xf>
    <xf numFmtId="4" fontId="28" fillId="5" borderId="30" xfId="59" applyNumberFormat="1" applyFont="1" applyFill="1" applyBorder="1" applyAlignment="1" applyProtection="1">
      <alignment horizontal="right"/>
      <protection locked="0"/>
    </xf>
    <xf numFmtId="0" fontId="36" fillId="0" borderId="0" xfId="45" applyFont="1" applyAlignment="1" applyProtection="1">
      <alignment horizontal="left"/>
    </xf>
    <xf numFmtId="0" fontId="142" fillId="0" borderId="0" xfId="40" applyFont="1" applyAlignment="1">
      <alignment horizontal="left" vertical="center"/>
      <protection locked="0"/>
    </xf>
    <xf numFmtId="0" fontId="70" fillId="0" borderId="0" xfId="28" applyFont="1" applyAlignment="1">
      <alignment horizontal="left" vertical="center"/>
      <protection locked="0"/>
    </xf>
    <xf numFmtId="0" fontId="7" fillId="0" borderId="0" xfId="43"/>
    <xf numFmtId="0" fontId="8" fillId="0" borderId="0" xfId="40" applyFont="1" applyAlignment="1" applyProtection="1">
      <alignment horizontal="left"/>
    </xf>
    <xf numFmtId="0" fontId="36" fillId="0" borderId="0" xfId="40" applyFont="1" applyAlignment="1" applyProtection="1">
      <alignment horizontal="left"/>
    </xf>
    <xf numFmtId="0" fontId="10" fillId="0" borderId="0" xfId="30" applyAlignment="1">
      <alignment horizontal="left" vertical="top"/>
    </xf>
    <xf numFmtId="0" fontId="10" fillId="0" borderId="0" xfId="30"/>
    <xf numFmtId="0" fontId="8" fillId="0" borderId="0" xfId="45" applyFont="1" applyAlignment="1" applyProtection="1">
      <alignment horizontal="left"/>
    </xf>
    <xf numFmtId="0" fontId="43" fillId="0" borderId="0" xfId="45" applyFont="1" applyAlignment="1" applyProtection="1">
      <alignment horizontal="center" vertical="center"/>
    </xf>
    <xf numFmtId="0" fontId="104" fillId="0" borderId="0" xfId="43" applyFont="1" applyAlignment="1" applyProtection="1">
      <alignment horizontal="left" vertical="center"/>
      <protection locked="0"/>
    </xf>
    <xf numFmtId="0" fontId="43" fillId="0" borderId="0" xfId="28" applyFont="1" applyAlignment="1" applyProtection="1">
      <alignment horizontal="left" vertical="center"/>
    </xf>
    <xf numFmtId="0" fontId="68" fillId="0" borderId="0" xfId="28" applyFont="1" applyAlignment="1">
      <alignment horizontal="left" vertical="center"/>
      <protection locked="0"/>
    </xf>
    <xf numFmtId="0" fontId="45" fillId="7" borderId="31" xfId="28" applyFont="1" applyFill="1" applyBorder="1" applyAlignment="1" applyProtection="1">
      <alignment horizontal="center" vertical="center" wrapText="1"/>
    </xf>
    <xf numFmtId="0" fontId="63" fillId="0" borderId="0" xfId="61" applyFill="1" applyAlignment="1" applyProtection="1">
      <alignment horizontal="left" vertical="center"/>
      <protection locked="0"/>
    </xf>
    <xf numFmtId="37" fontId="37" fillId="7" borderId="28" xfId="28" applyNumberFormat="1" applyFont="1" applyFill="1" applyBorder="1" applyAlignment="1">
      <alignment horizontal="right"/>
      <protection locked="0"/>
    </xf>
    <xf numFmtId="0" fontId="37" fillId="7" borderId="28" xfId="28" applyFont="1" applyFill="1" applyBorder="1" applyAlignment="1">
      <alignment horizontal="left" wrapText="1"/>
      <protection locked="0"/>
    </xf>
    <xf numFmtId="170" fontId="37" fillId="7" borderId="28" xfId="28" applyNumberFormat="1" applyFont="1" applyFill="1" applyBorder="1" applyAlignment="1">
      <alignment horizontal="right"/>
      <protection locked="0"/>
    </xf>
    <xf numFmtId="4" fontId="37" fillId="7" borderId="28" xfId="28" applyNumberFormat="1" applyFont="1" applyFill="1" applyBorder="1" applyAlignment="1">
      <alignment horizontal="right"/>
      <protection locked="0"/>
    </xf>
    <xf numFmtId="4" fontId="37" fillId="7" borderId="30" xfId="45" applyNumberFormat="1" applyFont="1" applyFill="1" applyBorder="1" applyAlignment="1">
      <alignment horizontal="right"/>
      <protection locked="0"/>
    </xf>
    <xf numFmtId="0" fontId="11" fillId="7" borderId="28" xfId="28" applyFill="1" applyBorder="1" applyAlignment="1">
      <alignment horizontal="left" vertical="top"/>
      <protection locked="0"/>
    </xf>
    <xf numFmtId="2" fontId="135" fillId="0" borderId="0" xfId="28" applyNumberFormat="1" applyFont="1" applyAlignment="1">
      <alignment horizontal="left" vertical="center"/>
      <protection locked="0"/>
    </xf>
    <xf numFmtId="37" fontId="37" fillId="7" borderId="30" xfId="45" applyNumberFormat="1" applyFont="1" applyFill="1" applyBorder="1" applyAlignment="1">
      <alignment horizontal="right"/>
      <protection locked="0"/>
    </xf>
    <xf numFmtId="0" fontId="37" fillId="7" borderId="30" xfId="45" applyFont="1" applyFill="1" applyBorder="1" applyAlignment="1">
      <alignment horizontal="left" wrapText="1"/>
      <protection locked="0"/>
    </xf>
    <xf numFmtId="167" fontId="37" fillId="7" borderId="30" xfId="45" applyNumberFormat="1" applyFont="1" applyFill="1" applyBorder="1" applyAlignment="1">
      <alignment horizontal="right"/>
      <protection locked="0"/>
    </xf>
    <xf numFmtId="0" fontId="31" fillId="7" borderId="30" xfId="45" applyFill="1" applyBorder="1" applyAlignment="1">
      <alignment vertical="top"/>
      <protection locked="0"/>
    </xf>
    <xf numFmtId="0" fontId="115" fillId="0" borderId="0" xfId="45" applyFont="1" applyAlignment="1">
      <alignment horizontal="left" vertical="center"/>
      <protection locked="0"/>
    </xf>
    <xf numFmtId="0" fontId="135" fillId="0" borderId="0" xfId="28" applyFont="1" applyAlignment="1">
      <alignment horizontal="left" vertical="center"/>
      <protection locked="0"/>
    </xf>
    <xf numFmtId="37" fontId="8" fillId="0" borderId="30" xfId="45" applyNumberFormat="1" applyFont="1" applyBorder="1" applyAlignment="1">
      <alignment horizontal="right"/>
      <protection locked="0"/>
    </xf>
    <xf numFmtId="39" fontId="8" fillId="0" borderId="30" xfId="45" applyNumberFormat="1" applyFont="1" applyBorder="1" applyAlignment="1">
      <alignment horizontal="right"/>
      <protection locked="0"/>
    </xf>
    <xf numFmtId="167" fontId="8" fillId="0" borderId="30" xfId="45" applyNumberFormat="1" applyFont="1" applyBorder="1" applyAlignment="1">
      <alignment horizontal="right" wrapText="1"/>
      <protection locked="0"/>
    </xf>
    <xf numFmtId="37" fontId="8" fillId="0" borderId="30" xfId="44" applyNumberFormat="1" applyFont="1" applyBorder="1" applyAlignment="1">
      <alignment horizontal="right"/>
      <protection locked="0"/>
    </xf>
    <xf numFmtId="167" fontId="28" fillId="0" borderId="30" xfId="45" applyNumberFormat="1" applyFont="1" applyBorder="1" applyAlignment="1">
      <alignment horizontal="right"/>
      <protection locked="0"/>
    </xf>
    <xf numFmtId="39" fontId="28" fillId="0" borderId="30" xfId="44" applyNumberFormat="1" applyFont="1" applyBorder="1" applyAlignment="1">
      <alignment horizontal="right"/>
      <protection locked="0"/>
    </xf>
    <xf numFmtId="37" fontId="37" fillId="0" borderId="30" xfId="45" applyNumberFormat="1" applyFont="1" applyBorder="1" applyAlignment="1">
      <alignment horizontal="right"/>
      <protection locked="0"/>
    </xf>
    <xf numFmtId="0" fontId="37" fillId="0" borderId="30" xfId="45" applyFont="1" applyBorder="1" applyAlignment="1">
      <alignment horizontal="left" wrapText="1"/>
      <protection locked="0"/>
    </xf>
    <xf numFmtId="4" fontId="37" fillId="0" borderId="30" xfId="45" applyNumberFormat="1" applyFont="1" applyBorder="1" applyAlignment="1">
      <alignment horizontal="right"/>
      <protection locked="0"/>
    </xf>
    <xf numFmtId="0" fontId="31" fillId="0" borderId="30" xfId="45" applyBorder="1" applyAlignment="1">
      <alignment vertical="top"/>
      <protection locked="0"/>
    </xf>
    <xf numFmtId="37" fontId="8" fillId="0" borderId="30" xfId="0" applyNumberFormat="1" applyFont="1" applyBorder="1" applyAlignment="1">
      <alignment horizontal="right"/>
      <protection locked="0"/>
    </xf>
    <xf numFmtId="0" fontId="104" fillId="0" borderId="0" xfId="0" applyFont="1" applyAlignment="1">
      <alignment horizontal="left" vertical="center"/>
      <protection locked="0"/>
    </xf>
    <xf numFmtId="171" fontId="95" fillId="0" borderId="0" xfId="0" applyNumberFormat="1" applyFont="1" applyAlignment="1">
      <alignment vertical="center"/>
      <protection locked="0"/>
    </xf>
    <xf numFmtId="0" fontId="147" fillId="0" borderId="0" xfId="0" applyFont="1" applyAlignment="1">
      <alignment vertical="center"/>
      <protection locked="0"/>
    </xf>
    <xf numFmtId="4" fontId="100" fillId="0" borderId="0" xfId="0" applyNumberFormat="1" applyFont="1" applyAlignment="1">
      <alignment horizontal="center" vertical="center"/>
      <protection locked="0"/>
    </xf>
    <xf numFmtId="0" fontId="67" fillId="0" borderId="0" xfId="0" applyFont="1" applyAlignment="1">
      <alignment horizontal="left" vertical="top"/>
      <protection locked="0"/>
    </xf>
    <xf numFmtId="167" fontId="8" fillId="0" borderId="30" xfId="0" applyNumberFormat="1" applyFont="1" applyBorder="1" applyAlignment="1">
      <alignment horizontal="right" wrapText="1"/>
      <protection locked="0"/>
    </xf>
    <xf numFmtId="37" fontId="8" fillId="0" borderId="30" xfId="40" applyNumberFormat="1" applyFont="1" applyBorder="1" applyAlignment="1">
      <alignment horizontal="right"/>
      <protection locked="0"/>
    </xf>
    <xf numFmtId="39" fontId="8" fillId="0" borderId="30" xfId="40" applyNumberFormat="1" applyFont="1" applyBorder="1" applyAlignment="1">
      <alignment horizontal="right"/>
      <protection locked="0"/>
    </xf>
    <xf numFmtId="0" fontId="111" fillId="0" borderId="0" xfId="40" applyFont="1" applyAlignment="1">
      <alignment horizontal="left" vertical="center"/>
      <protection locked="0"/>
    </xf>
    <xf numFmtId="0" fontId="67" fillId="0" borderId="0" xfId="40" applyAlignment="1">
      <alignment horizontal="left" vertical="top"/>
      <protection locked="0"/>
    </xf>
    <xf numFmtId="167" fontId="8" fillId="0" borderId="30" xfId="40" applyNumberFormat="1" applyFont="1" applyBorder="1" applyAlignment="1">
      <alignment horizontal="right" wrapText="1"/>
      <protection locked="0"/>
    </xf>
    <xf numFmtId="167" fontId="28" fillId="0" borderId="30" xfId="40" applyNumberFormat="1" applyFont="1" applyBorder="1" applyAlignment="1">
      <alignment horizontal="right"/>
      <protection locked="0"/>
    </xf>
    <xf numFmtId="2" fontId="111" fillId="0" borderId="0" xfId="40" applyNumberFormat="1" applyFont="1" applyAlignment="1">
      <alignment horizontal="left" vertical="center"/>
      <protection locked="0"/>
    </xf>
    <xf numFmtId="37" fontId="8" fillId="0" borderId="30" xfId="42" applyNumberFormat="1" applyFont="1" applyBorder="1" applyAlignment="1" applyProtection="1">
      <alignment horizontal="right"/>
      <protection locked="0"/>
    </xf>
    <xf numFmtId="0" fontId="8" fillId="0" borderId="30" xfId="42" applyFont="1" applyBorder="1" applyAlignment="1" applyProtection="1">
      <alignment horizontal="left" wrapText="1"/>
      <protection locked="0"/>
    </xf>
    <xf numFmtId="39" fontId="8" fillId="0" borderId="30" xfId="42" applyNumberFormat="1" applyFont="1" applyBorder="1" applyAlignment="1" applyProtection="1">
      <alignment horizontal="right"/>
      <protection locked="0"/>
    </xf>
    <xf numFmtId="0" fontId="115" fillId="0" borderId="0" xfId="42" applyFont="1" applyAlignment="1" applyProtection="1">
      <alignment horizontal="left" vertical="center"/>
      <protection locked="0"/>
    </xf>
    <xf numFmtId="0" fontId="135" fillId="0" borderId="0" xfId="6" applyFont="1" applyAlignment="1" applyProtection="1">
      <alignment horizontal="left" vertical="center"/>
      <protection locked="0"/>
    </xf>
    <xf numFmtId="0" fontId="10" fillId="0" borderId="0" xfId="42" applyAlignment="1" applyProtection="1">
      <alignment horizontal="left" vertical="top"/>
      <protection locked="0"/>
    </xf>
    <xf numFmtId="167" fontId="8" fillId="0" borderId="30" xfId="42" applyNumberFormat="1" applyFont="1" applyBorder="1" applyAlignment="1" applyProtection="1">
      <alignment horizontal="right" wrapText="1"/>
      <protection locked="0"/>
    </xf>
    <xf numFmtId="39" fontId="8" fillId="0" borderId="30" xfId="42" applyNumberFormat="1" applyFont="1" applyBorder="1" applyAlignment="1" applyProtection="1">
      <alignment horizontal="center"/>
      <protection locked="0"/>
    </xf>
    <xf numFmtId="2" fontId="115" fillId="0" borderId="0" xfId="40" applyNumberFormat="1" applyFont="1" applyAlignment="1">
      <alignment horizontal="left" vertical="center"/>
      <protection locked="0"/>
    </xf>
    <xf numFmtId="0" fontId="135" fillId="0" borderId="0" xfId="26" applyFont="1" applyAlignment="1" applyProtection="1">
      <alignment horizontal="left" vertical="center"/>
      <protection locked="0"/>
    </xf>
    <xf numFmtId="0" fontId="115" fillId="0" borderId="0" xfId="40" applyFont="1" applyAlignment="1">
      <alignment horizontal="left" vertical="center"/>
      <protection locked="0"/>
    </xf>
    <xf numFmtId="0" fontId="67" fillId="0" borderId="0" xfId="45" applyFont="1" applyAlignment="1" applyProtection="1"/>
    <xf numFmtId="0" fontId="31" fillId="0" borderId="0" xfId="45" applyAlignment="1" applyProtection="1"/>
    <xf numFmtId="0" fontId="117" fillId="0" borderId="0" xfId="45" applyFont="1" applyAlignment="1" applyProtection="1">
      <alignment horizontal="left" vertical="center"/>
    </xf>
    <xf numFmtId="37" fontId="8" fillId="0" borderId="30" xfId="38" applyNumberFormat="1" applyFont="1" applyBorder="1" applyAlignment="1" applyProtection="1">
      <alignment horizontal="right"/>
      <protection locked="0"/>
    </xf>
    <xf numFmtId="0" fontId="95" fillId="0" borderId="0" xfId="45" applyFont="1" applyAlignment="1">
      <alignment horizontal="left" vertical="top"/>
      <protection locked="0"/>
    </xf>
    <xf numFmtId="0" fontId="31"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8" fillId="0" borderId="30" xfId="0" applyNumberFormat="1" applyFont="1" applyBorder="1" applyAlignment="1">
      <alignment horizontal="center"/>
      <protection locked="0"/>
    </xf>
    <xf numFmtId="0" fontId="94" fillId="0" borderId="30" xfId="0" applyFont="1" applyBorder="1" applyAlignment="1">
      <alignment horizontal="right" vertical="center"/>
      <protection locked="0"/>
    </xf>
    <xf numFmtId="0" fontId="70" fillId="0" borderId="0" xfId="45" applyFont="1" applyAlignment="1">
      <alignment horizontal="left" vertical="center"/>
      <protection locked="0"/>
    </xf>
    <xf numFmtId="0" fontId="148" fillId="0" borderId="0" xfId="45" applyFont="1" applyAlignment="1">
      <alignment horizontal="left" vertical="center"/>
      <protection locked="0"/>
    </xf>
    <xf numFmtId="0" fontId="31" fillId="0" borderId="0" xfId="45" applyAlignment="1">
      <alignment horizontal="left" vertical="center"/>
      <protection locked="0"/>
    </xf>
    <xf numFmtId="0" fontId="95" fillId="0" borderId="0" xfId="45" applyFont="1" applyAlignment="1">
      <alignment horizontal="left" vertical="center"/>
      <protection locked="0"/>
    </xf>
    <xf numFmtId="167" fontId="8" fillId="0" borderId="30" xfId="45" applyNumberFormat="1" applyFont="1" applyBorder="1" applyAlignment="1">
      <protection locked="0"/>
    </xf>
    <xf numFmtId="0" fontId="81" fillId="0" borderId="0" xfId="45" applyFont="1" applyAlignment="1">
      <alignment horizontal="left" vertical="center"/>
      <protection locked="0"/>
    </xf>
    <xf numFmtId="0" fontId="31" fillId="0" borderId="0" xfId="45" applyAlignment="1">
      <alignment horizontal="right" vertical="top"/>
      <protection locked="0"/>
    </xf>
    <xf numFmtId="0" fontId="149" fillId="0" borderId="0" xfId="45" applyFont="1" applyAlignment="1">
      <alignment horizontal="left" vertical="center"/>
      <protection locked="0"/>
    </xf>
    <xf numFmtId="2" fontId="70" fillId="0" borderId="0" xfId="45" applyNumberFormat="1" applyFont="1" applyAlignment="1">
      <alignment horizontal="right" vertical="center"/>
      <protection locked="0"/>
    </xf>
    <xf numFmtId="0" fontId="77" fillId="0" borderId="0" xfId="45" applyFont="1" applyAlignment="1">
      <alignment horizontal="right" vertical="top"/>
      <protection locked="0"/>
    </xf>
    <xf numFmtId="0" fontId="77" fillId="0" borderId="0" xfId="45" applyFont="1" applyAlignment="1">
      <alignment horizontal="left" vertical="top"/>
      <protection locked="0"/>
    </xf>
    <xf numFmtId="49" fontId="8" fillId="0" borderId="30" xfId="45" applyNumberFormat="1" applyFont="1" applyBorder="1" applyAlignment="1">
      <alignment horizontal="center"/>
      <protection locked="0"/>
    </xf>
    <xf numFmtId="0" fontId="150" fillId="0" borderId="0" xfId="45" applyFont="1" applyAlignment="1">
      <alignment horizontal="left" vertical="center"/>
      <protection locked="0"/>
    </xf>
    <xf numFmtId="37" fontId="151" fillId="0" borderId="30" xfId="45" applyNumberFormat="1" applyFont="1" applyBorder="1" applyAlignment="1">
      <alignment horizontal="right"/>
      <protection locked="0"/>
    </xf>
    <xf numFmtId="0" fontId="151" fillId="0" borderId="30" xfId="45" applyFont="1" applyBorder="1" applyAlignment="1">
      <alignment horizontal="left" wrapText="1"/>
      <protection locked="0"/>
    </xf>
    <xf numFmtId="4" fontId="151" fillId="0" borderId="30" xfId="45" applyNumberFormat="1" applyFont="1" applyBorder="1" applyAlignment="1">
      <alignment horizontal="right"/>
      <protection locked="0"/>
    </xf>
    <xf numFmtId="39" fontId="9" fillId="0" borderId="30" xfId="45" applyNumberFormat="1" applyFont="1" applyBorder="1" applyAlignment="1">
      <alignment horizontal="center"/>
      <protection locked="0"/>
    </xf>
    <xf numFmtId="0" fontId="114" fillId="0" borderId="0" xfId="45" applyFont="1" applyAlignment="1">
      <alignment horizontal="left" vertical="center"/>
      <protection locked="0"/>
    </xf>
    <xf numFmtId="2" fontId="31" fillId="0" borderId="0" xfId="45" applyNumberFormat="1" applyAlignment="1">
      <alignment horizontal="right" vertical="top"/>
      <protection locked="0"/>
    </xf>
    <xf numFmtId="0" fontId="71" fillId="0" borderId="0" xfId="60" applyFont="1" applyAlignment="1">
      <alignment horizontal="left" vertical="center"/>
      <protection locked="0"/>
    </xf>
    <xf numFmtId="0" fontId="98" fillId="0" borderId="0" xfId="45" applyFont="1" applyAlignment="1">
      <alignment horizontal="left" vertical="center"/>
      <protection locked="0"/>
    </xf>
    <xf numFmtId="2" fontId="114" fillId="0" borderId="0" xfId="45" applyNumberFormat="1" applyFont="1" applyAlignment="1">
      <alignment horizontal="left" vertical="center"/>
      <protection locked="0"/>
    </xf>
    <xf numFmtId="39" fontId="8" fillId="0" borderId="0" xfId="0" applyNumberFormat="1" applyFont="1" applyAlignment="1">
      <alignment horizontal="center"/>
      <protection locked="0"/>
    </xf>
    <xf numFmtId="49" fontId="54" fillId="0" borderId="30" xfId="0" applyNumberFormat="1" applyFont="1" applyBorder="1" applyAlignment="1">
      <alignment horizontal="right" wrapText="1"/>
      <protection locked="0"/>
    </xf>
    <xf numFmtId="49" fontId="54" fillId="0" borderId="30" xfId="0" applyNumberFormat="1" applyFont="1" applyBorder="1" applyAlignment="1">
      <alignment horizontal="left" wrapText="1"/>
      <protection locked="0"/>
    </xf>
    <xf numFmtId="0" fontId="54" fillId="0" borderId="30" xfId="0" applyFont="1" applyBorder="1" applyAlignment="1">
      <alignment horizontal="left" wrapText="1"/>
      <protection locked="0"/>
    </xf>
    <xf numFmtId="39" fontId="54" fillId="0" borderId="30" xfId="0" applyNumberFormat="1" applyFont="1" applyBorder="1" applyAlignment="1">
      <alignment horizontal="right"/>
      <protection locked="0"/>
    </xf>
    <xf numFmtId="39" fontId="54" fillId="0" borderId="30" xfId="45" applyNumberFormat="1" applyFont="1" applyBorder="1" applyAlignment="1">
      <alignment horizontal="center"/>
      <protection locked="0"/>
    </xf>
    <xf numFmtId="167" fontId="57" fillId="0" borderId="30" xfId="45" applyNumberFormat="1" applyFont="1" applyBorder="1" applyAlignment="1">
      <alignment horizontal="right"/>
      <protection locked="0"/>
    </xf>
    <xf numFmtId="49" fontId="8" fillId="0" borderId="30" xfId="45" applyNumberFormat="1" applyFont="1" applyBorder="1" applyAlignment="1">
      <alignment horizontal="right" wrapText="1"/>
      <protection locked="0"/>
    </xf>
    <xf numFmtId="167" fontId="12" fillId="0" borderId="0" xfId="26" applyNumberFormat="1" applyAlignment="1" applyProtection="1">
      <alignment horizontal="left" vertical="top"/>
      <protection locked="0"/>
    </xf>
    <xf numFmtId="167" fontId="37"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8" fillId="0" borderId="0" xfId="0" applyNumberFormat="1" applyFont="1" applyAlignment="1">
      <alignment horizontal="right"/>
      <protection locked="0"/>
    </xf>
    <xf numFmtId="0" fontId="8" fillId="0" borderId="0" xfId="0" applyFont="1" applyAlignment="1">
      <alignment horizontal="left" wrapText="1"/>
      <protection locked="0"/>
    </xf>
    <xf numFmtId="2" fontId="8" fillId="0" borderId="0" xfId="0" applyNumberFormat="1" applyFont="1" applyAlignment="1">
      <alignment horizontal="right"/>
      <protection locked="0"/>
    </xf>
    <xf numFmtId="39" fontId="8" fillId="0" borderId="0" xfId="0" applyNumberFormat="1" applyFont="1" applyAlignment="1">
      <alignment horizontal="right"/>
      <protection locked="0"/>
    </xf>
    <xf numFmtId="0" fontId="28" fillId="0" borderId="0" xfId="0" applyFont="1" applyAlignment="1">
      <alignment horizontal="left" wrapText="1"/>
      <protection locked="0"/>
    </xf>
    <xf numFmtId="0" fontId="71" fillId="0" borderId="0" xfId="0" applyFont="1" applyAlignment="1">
      <alignment horizontal="left" vertical="top"/>
      <protection locked="0"/>
    </xf>
    <xf numFmtId="37" fontId="54" fillId="0" borderId="30" xfId="0" applyNumberFormat="1" applyFont="1" applyBorder="1" applyAlignment="1">
      <alignment horizontal="right"/>
      <protection locked="0"/>
    </xf>
    <xf numFmtId="39" fontId="54" fillId="0" borderId="30" xfId="0" applyNumberFormat="1" applyFont="1" applyBorder="1" applyAlignment="1">
      <alignment horizontal="center"/>
      <protection locked="0"/>
    </xf>
    <xf numFmtId="0" fontId="92" fillId="0" borderId="0" xfId="0" applyFont="1" applyAlignment="1">
      <alignment horizontal="left" vertical="center"/>
      <protection locked="0"/>
    </xf>
    <xf numFmtId="0" fontId="92" fillId="0" borderId="0" xfId="0" applyFont="1" applyAlignment="1">
      <alignment vertical="top" wrapText="1"/>
      <protection locked="0"/>
    </xf>
    <xf numFmtId="0" fontId="93" fillId="0" borderId="0" xfId="0" applyFont="1" applyAlignment="1">
      <alignment horizontal="left" vertical="center" textRotation="90" wrapText="1"/>
      <protection locked="0"/>
    </xf>
    <xf numFmtId="2" fontId="57" fillId="0" borderId="30" xfId="0" applyNumberFormat="1" applyFont="1" applyBorder="1" applyAlignment="1">
      <alignment horizontal="left"/>
      <protection locked="0"/>
    </xf>
    <xf numFmtId="167" fontId="57" fillId="0" borderId="30" xfId="0" applyNumberFormat="1" applyFont="1" applyBorder="1" applyAlignment="1">
      <alignment horizontal="right"/>
      <protection locked="0"/>
    </xf>
    <xf numFmtId="0" fontId="60" fillId="0" borderId="30" xfId="0" applyFont="1" applyBorder="1" applyAlignment="1">
      <alignment vertical="top"/>
      <protection locked="0"/>
    </xf>
    <xf numFmtId="0" fontId="152" fillId="0" borderId="0" xfId="0" applyFont="1" applyAlignment="1">
      <alignment horizontal="left" vertical="center"/>
      <protection locked="0"/>
    </xf>
    <xf numFmtId="0" fontId="92" fillId="0" borderId="0" xfId="0" applyFont="1" applyAlignment="1">
      <alignment vertical="center" wrapText="1"/>
      <protection locked="0"/>
    </xf>
    <xf numFmtId="0" fontId="28" fillId="0" borderId="0" xfId="0" applyFont="1" applyAlignment="1">
      <alignment horizontal="left" vertical="center"/>
      <protection locked="0"/>
    </xf>
    <xf numFmtId="2" fontId="8" fillId="0" borderId="0" xfId="0" applyNumberFormat="1" applyFont="1" applyAlignment="1">
      <alignment horizontal="right" vertical="center"/>
      <protection locked="0"/>
    </xf>
    <xf numFmtId="39" fontId="8" fillId="0" borderId="0" xfId="0" applyNumberFormat="1" applyFont="1" applyAlignment="1">
      <alignment horizontal="right" vertical="center"/>
      <protection locked="0"/>
    </xf>
    <xf numFmtId="37" fontId="37" fillId="0" borderId="30" xfId="43" applyNumberFormat="1" applyFont="1" applyBorder="1" applyAlignment="1" applyProtection="1">
      <alignment horizontal="right"/>
      <protection locked="0"/>
    </xf>
    <xf numFmtId="0" fontId="37" fillId="0" borderId="30" xfId="43" applyFont="1" applyBorder="1" applyAlignment="1" applyProtection="1">
      <alignment horizontal="left" wrapText="1"/>
      <protection locked="0"/>
    </xf>
    <xf numFmtId="167" fontId="37" fillId="0" borderId="30" xfId="43" applyNumberFormat="1" applyFont="1" applyBorder="1" applyAlignment="1" applyProtection="1">
      <alignment horizontal="right"/>
      <protection locked="0"/>
    </xf>
    <xf numFmtId="4" fontId="37" fillId="0" borderId="30" xfId="43" applyNumberFormat="1" applyFont="1" applyBorder="1" applyAlignment="1" applyProtection="1">
      <alignment horizontal="right"/>
      <protection locked="0"/>
    </xf>
    <xf numFmtId="0" fontId="29" fillId="0" borderId="0" xfId="43" applyFont="1" applyAlignment="1" applyProtection="1">
      <alignment vertical="center"/>
      <protection locked="0"/>
    </xf>
    <xf numFmtId="171" fontId="153" fillId="0" borderId="0" xfId="0" applyNumberFormat="1" applyFont="1" applyAlignment="1">
      <protection locked="0"/>
    </xf>
    <xf numFmtId="37" fontId="85" fillId="0" borderId="30" xfId="0" applyNumberFormat="1" applyFont="1" applyBorder="1" applyAlignment="1">
      <alignment horizontal="right"/>
      <protection locked="0"/>
    </xf>
    <xf numFmtId="0" fontId="85" fillId="0" borderId="30" xfId="0" applyFont="1" applyBorder="1" applyAlignment="1">
      <alignment horizontal="left" wrapText="1"/>
      <protection locked="0"/>
    </xf>
    <xf numFmtId="167" fontId="66" fillId="0" borderId="30" xfId="0" applyNumberFormat="1" applyFont="1" applyBorder="1" applyAlignment="1">
      <alignment horizontal="right"/>
      <protection locked="0"/>
    </xf>
    <xf numFmtId="37" fontId="72" fillId="0" borderId="30" xfId="3" applyNumberFormat="1" applyFont="1" applyBorder="1" applyAlignment="1" applyProtection="1">
      <alignment horizontal="right"/>
      <protection locked="0"/>
    </xf>
    <xf numFmtId="9" fontId="72" fillId="0" borderId="30" xfId="3" applyNumberFormat="1" applyFont="1" applyBorder="1" applyAlignment="1" applyProtection="1">
      <alignment horizontal="left" wrapText="1"/>
      <protection locked="0"/>
    </xf>
    <xf numFmtId="37" fontId="72" fillId="0" borderId="30" xfId="0" applyNumberFormat="1" applyFont="1" applyBorder="1" applyAlignment="1">
      <alignment horizontal="right"/>
      <protection locked="0"/>
    </xf>
    <xf numFmtId="0" fontId="11" fillId="0" borderId="0" xfId="45" applyFont="1" applyAlignment="1">
      <alignment horizontal="left" vertical="top"/>
      <protection locked="0"/>
    </xf>
    <xf numFmtId="39" fontId="8" fillId="0" borderId="0" xfId="3" applyNumberFormat="1" applyFont="1" applyAlignment="1" applyProtection="1">
      <alignment horizontal="left" vertical="center"/>
      <protection locked="0"/>
    </xf>
    <xf numFmtId="0" fontId="97" fillId="0" borderId="0" xfId="0" applyFont="1" applyAlignment="1">
      <alignment horizontal="center" vertical="center"/>
      <protection locked="0"/>
    </xf>
    <xf numFmtId="0" fontId="60" fillId="0" borderId="0" xfId="0" applyFont="1" applyAlignment="1">
      <alignment horizontal="left" vertical="center"/>
      <protection locked="0"/>
    </xf>
    <xf numFmtId="0" fontId="57" fillId="0" borderId="0" xfId="0" applyFont="1" applyAlignment="1">
      <alignment horizontal="left" vertical="center" wrapText="1"/>
      <protection locked="0"/>
    </xf>
    <xf numFmtId="2" fontId="54" fillId="0" borderId="0" xfId="0" applyNumberFormat="1" applyFont="1" applyAlignment="1">
      <alignment horizontal="right" vertical="center"/>
      <protection locked="0"/>
    </xf>
    <xf numFmtId="39" fontId="37" fillId="0" borderId="0" xfId="3" applyNumberFormat="1" applyFont="1" applyAlignment="1" applyProtection="1">
      <alignment horizontal="left"/>
      <protection locked="0"/>
    </xf>
    <xf numFmtId="0" fontId="92" fillId="0" borderId="0" xfId="0" applyFont="1" applyAlignment="1">
      <alignment vertical="top"/>
      <protection locked="0"/>
    </xf>
    <xf numFmtId="0" fontId="122" fillId="0" borderId="30" xfId="0" applyFont="1" applyBorder="1" applyAlignment="1">
      <alignment horizontal="right" wrapText="1"/>
      <protection locked="0"/>
    </xf>
    <xf numFmtId="39" fontId="8" fillId="0" borderId="0" xfId="3" applyNumberFormat="1" applyFont="1" applyAlignment="1" applyProtection="1">
      <alignment horizontal="left"/>
      <protection locked="0"/>
    </xf>
    <xf numFmtId="37" fontId="137" fillId="0" borderId="30" xfId="0" applyNumberFormat="1" applyFont="1" applyBorder="1" applyAlignment="1">
      <alignment horizontal="right"/>
      <protection locked="0"/>
    </xf>
    <xf numFmtId="4" fontId="57" fillId="5" borderId="30" xfId="0" applyNumberFormat="1" applyFont="1" applyFill="1" applyBorder="1" applyAlignment="1">
      <alignment horizontal="right"/>
      <protection locked="0"/>
    </xf>
    <xf numFmtId="37" fontId="54" fillId="0" borderId="0" xfId="0" applyNumberFormat="1" applyFont="1" applyAlignment="1">
      <alignment horizontal="right"/>
      <protection locked="0"/>
    </xf>
    <xf numFmtId="0" fontId="54" fillId="0" borderId="0" xfId="0" applyFont="1" applyAlignment="1">
      <alignment horizontal="left" wrapText="1"/>
      <protection locked="0"/>
    </xf>
    <xf numFmtId="0" fontId="57" fillId="0" borderId="0" xfId="0" applyFont="1" applyAlignment="1">
      <alignment horizontal="left" wrapText="1"/>
      <protection locked="0"/>
    </xf>
    <xf numFmtId="0" fontId="96" fillId="0" borderId="30" xfId="0" applyFont="1" applyBorder="1" applyAlignment="1">
      <alignment horizontal="left" wrapText="1"/>
      <protection locked="0"/>
    </xf>
    <xf numFmtId="0" fontId="60" fillId="0" borderId="0" xfId="45" applyFont="1" applyAlignment="1">
      <alignment horizontal="right" vertical="center"/>
      <protection locked="0"/>
    </xf>
    <xf numFmtId="0" fontId="60" fillId="0" borderId="0" xfId="45" applyFont="1" applyAlignment="1">
      <alignment horizontal="left" vertical="center"/>
      <protection locked="0"/>
    </xf>
    <xf numFmtId="37" fontId="54" fillId="0" borderId="0" xfId="45" applyNumberFormat="1" applyFont="1" applyAlignment="1">
      <alignment horizontal="right"/>
      <protection locked="0"/>
    </xf>
    <xf numFmtId="0" fontId="54" fillId="0" borderId="0" xfId="45" applyFont="1" applyAlignment="1">
      <alignment horizontal="left" wrapText="1"/>
      <protection locked="0"/>
    </xf>
    <xf numFmtId="0" fontId="57" fillId="0" borderId="0" xfId="45" applyFont="1" applyAlignment="1">
      <alignment horizontal="left" vertical="center" wrapText="1"/>
      <protection locked="0"/>
    </xf>
    <xf numFmtId="0" fontId="54" fillId="0" borderId="0" xfId="45" applyFont="1" applyAlignment="1">
      <alignment horizontal="left" vertical="center" wrapText="1"/>
      <protection locked="0"/>
    </xf>
    <xf numFmtId="2" fontId="8" fillId="0" borderId="0" xfId="45" applyNumberFormat="1" applyFont="1" applyAlignment="1">
      <alignment horizontal="right" vertical="center"/>
      <protection locked="0"/>
    </xf>
    <xf numFmtId="39" fontId="8" fillId="0" borderId="0" xfId="0" applyNumberFormat="1" applyFont="1" applyAlignment="1">
      <alignment horizontal="left" vertical="center"/>
      <protection locked="0"/>
    </xf>
    <xf numFmtId="0" fontId="8" fillId="0" borderId="30" xfId="0" applyFont="1" applyBorder="1" applyAlignment="1">
      <alignment horizontal="right" vertical="center"/>
      <protection locked="0"/>
    </xf>
    <xf numFmtId="2" fontId="28" fillId="0" borderId="30" xfId="0" applyNumberFormat="1" applyFont="1" applyBorder="1" applyAlignment="1">
      <alignment horizontal="left"/>
      <protection locked="0"/>
    </xf>
    <xf numFmtId="0" fontId="154" fillId="0" borderId="0" xfId="0" applyFont="1" applyAlignment="1">
      <alignment vertical="top"/>
      <protection locked="0"/>
    </xf>
    <xf numFmtId="0" fontId="60" fillId="0" borderId="0" xfId="0" applyFont="1" applyAlignment="1">
      <alignment horizontal="left" vertical="top"/>
      <protection locked="0"/>
    </xf>
    <xf numFmtId="0" fontId="155" fillId="0" borderId="0" xfId="0" applyFont="1" applyAlignment="1">
      <alignment horizontal="left" wrapText="1"/>
      <protection locked="0"/>
    </xf>
    <xf numFmtId="2" fontId="54" fillId="0" borderId="0" xfId="0" applyNumberFormat="1" applyFont="1" applyAlignment="1">
      <alignment horizontal="right"/>
      <protection locked="0"/>
    </xf>
    <xf numFmtId="39" fontId="54" fillId="0" borderId="0" xfId="0" applyNumberFormat="1" applyFont="1" applyAlignment="1">
      <alignment horizontal="right"/>
      <protection locked="0"/>
    </xf>
    <xf numFmtId="0" fontId="60" fillId="0" borderId="0" xfId="0" applyFont="1" applyAlignment="1">
      <alignment horizontal="right" vertical="top"/>
      <protection locked="0"/>
    </xf>
    <xf numFmtId="171" fontId="26" fillId="0" borderId="0" xfId="0" applyNumberFormat="1" applyFont="1" applyAlignment="1">
      <alignment vertical="center"/>
      <protection locked="0"/>
    </xf>
    <xf numFmtId="2" fontId="115" fillId="0" borderId="0" xfId="45" applyNumberFormat="1" applyFont="1" applyAlignment="1">
      <alignment horizontal="left" vertical="center"/>
      <protection locked="0"/>
    </xf>
    <xf numFmtId="171" fontId="92" fillId="0" borderId="0" xfId="0" applyNumberFormat="1" applyFont="1" applyAlignment="1">
      <alignment vertical="top"/>
      <protection locked="0"/>
    </xf>
    <xf numFmtId="0" fontId="133" fillId="0" borderId="30" xfId="0" applyFont="1" applyBorder="1" applyAlignment="1">
      <alignment horizontal="right" vertical="center"/>
      <protection locked="0"/>
    </xf>
    <xf numFmtId="0" fontId="11" fillId="0" borderId="0" xfId="0" applyFont="1" applyAlignment="1">
      <alignment horizontal="left" vertical="top"/>
      <protection locked="0"/>
    </xf>
    <xf numFmtId="2" fontId="137" fillId="5" borderId="30" xfId="0" applyNumberFormat="1" applyFont="1" applyFill="1" applyBorder="1" applyAlignment="1">
      <alignment horizontal="right"/>
      <protection locked="0"/>
    </xf>
    <xf numFmtId="37" fontId="54" fillId="0" borderId="0" xfId="0" applyNumberFormat="1" applyFont="1" applyAlignment="1">
      <alignment horizontal="right" vertical="center"/>
      <protection locked="0"/>
    </xf>
    <xf numFmtId="0" fontId="54" fillId="0" borderId="0" xfId="0" applyFont="1" applyAlignment="1">
      <alignment horizontal="left" vertical="center" wrapText="1"/>
      <protection locked="0"/>
    </xf>
    <xf numFmtId="49" fontId="96" fillId="0" borderId="30" xfId="0" applyNumberFormat="1" applyFont="1" applyBorder="1" applyAlignment="1">
      <alignment horizontal="right" wrapText="1"/>
      <protection locked="0"/>
    </xf>
    <xf numFmtId="2" fontId="28" fillId="5" borderId="30" xfId="0" applyNumberFormat="1" applyFont="1" applyFill="1" applyBorder="1" applyAlignment="1">
      <alignment horizontal="right"/>
      <protection locked="0"/>
    </xf>
    <xf numFmtId="0" fontId="8" fillId="0" borderId="0" xfId="0" applyFont="1" applyAlignment="1">
      <alignment horizontal="left" vertical="center"/>
      <protection locked="0"/>
    </xf>
    <xf numFmtId="39" fontId="8" fillId="0" borderId="30" xfId="31" applyNumberFormat="1" applyFont="1" applyBorder="1" applyAlignment="1" applyProtection="1">
      <alignment horizontal="center"/>
      <protection locked="0"/>
    </xf>
    <xf numFmtId="0" fontId="81" fillId="0" borderId="0" xfId="0" applyFont="1" applyAlignment="1">
      <alignment horizontal="left" vertical="center"/>
      <protection locked="0"/>
    </xf>
    <xf numFmtId="49" fontId="72" fillId="0" borderId="30" xfId="0" applyNumberFormat="1" applyFont="1" applyBorder="1" applyAlignment="1">
      <alignment horizontal="right" wrapText="1"/>
      <protection locked="0"/>
    </xf>
    <xf numFmtId="167" fontId="72" fillId="0" borderId="30" xfId="0" applyNumberFormat="1" applyFont="1" applyBorder="1" applyAlignment="1">
      <alignment horizontal="right"/>
      <protection locked="0"/>
    </xf>
    <xf numFmtId="0" fontId="103" fillId="0" borderId="0" xfId="0" applyFont="1" applyAlignment="1">
      <alignment vertical="center"/>
      <protection locked="0"/>
    </xf>
    <xf numFmtId="0" fontId="0" fillId="0" borderId="0" xfId="0" applyAlignment="1">
      <alignment vertical="center"/>
      <protection locked="0"/>
    </xf>
    <xf numFmtId="49" fontId="137" fillId="0" borderId="30" xfId="0" applyNumberFormat="1" applyFont="1" applyBorder="1" applyAlignment="1">
      <alignment horizontal="right" wrapText="1"/>
      <protection locked="0"/>
    </xf>
    <xf numFmtId="9" fontId="137" fillId="0" borderId="30" xfId="3" applyNumberFormat="1" applyFont="1" applyBorder="1" applyAlignment="1" applyProtection="1">
      <alignment horizontal="left" wrapText="1"/>
      <protection locked="0"/>
    </xf>
    <xf numFmtId="167" fontId="137" fillId="0" borderId="30" xfId="0" applyNumberFormat="1" applyFont="1" applyBorder="1" applyAlignment="1">
      <alignment horizontal="right"/>
      <protection locked="0"/>
    </xf>
    <xf numFmtId="0" fontId="123" fillId="0" borderId="0" xfId="51" applyFill="1" applyAlignment="1" applyProtection="1">
      <alignment vertical="center"/>
      <protection locked="0"/>
    </xf>
    <xf numFmtId="0" fontId="51" fillId="0" borderId="0" xfId="31" applyAlignment="1" applyProtection="1">
      <alignment horizontal="left" vertical="top"/>
      <protection locked="0"/>
    </xf>
    <xf numFmtId="0" fontId="156" fillId="0" borderId="0" xfId="31" applyFont="1" applyAlignment="1" applyProtection="1">
      <alignment horizontal="left" vertical="top"/>
      <protection locked="0"/>
    </xf>
    <xf numFmtId="49" fontId="8" fillId="0" borderId="30" xfId="31" applyNumberFormat="1" applyFont="1" applyBorder="1" applyAlignment="1" applyProtection="1">
      <alignment horizontal="right" wrapText="1"/>
      <protection locked="0"/>
    </xf>
    <xf numFmtId="49" fontId="8" fillId="0" borderId="30" xfId="31" applyNumberFormat="1" applyFont="1" applyBorder="1" applyAlignment="1" applyProtection="1">
      <alignment horizontal="left" wrapText="1"/>
      <protection locked="0"/>
    </xf>
    <xf numFmtId="0" fontId="8" fillId="0" borderId="30" xfId="31" applyFont="1" applyBorder="1" applyAlignment="1" applyProtection="1">
      <alignment horizontal="left" wrapText="1"/>
      <protection locked="0"/>
    </xf>
    <xf numFmtId="167" fontId="51" fillId="0" borderId="0" xfId="31" applyNumberFormat="1" applyAlignment="1" applyProtection="1">
      <alignment vertical="top"/>
      <protection locked="0"/>
    </xf>
    <xf numFmtId="0" fontId="107" fillId="0" borderId="0" xfId="31" applyFont="1" applyAlignment="1" applyProtection="1">
      <alignment vertical="center"/>
      <protection locked="0"/>
    </xf>
    <xf numFmtId="0" fontId="51" fillId="0" borderId="0" xfId="31" applyAlignment="1" applyProtection="1">
      <alignment vertical="top"/>
      <protection locked="0"/>
    </xf>
    <xf numFmtId="39" fontId="8" fillId="0" borderId="0" xfId="43" applyNumberFormat="1" applyFont="1" applyAlignment="1" applyProtection="1">
      <alignment horizontal="center"/>
      <protection locked="0"/>
    </xf>
    <xf numFmtId="0" fontId="71" fillId="0" borderId="0" xfId="43" applyFont="1" applyAlignment="1" applyProtection="1">
      <alignment horizontal="left" vertical="top"/>
      <protection locked="0"/>
    </xf>
    <xf numFmtId="37" fontId="8" fillId="0" borderId="0" xfId="43" applyNumberFormat="1" applyFont="1" applyAlignment="1" applyProtection="1">
      <alignment horizontal="right"/>
      <protection locked="0"/>
    </xf>
    <xf numFmtId="0" fontId="8" fillId="0" borderId="0" xfId="43" applyFont="1" applyAlignment="1" applyProtection="1">
      <alignment horizontal="left" wrapText="1"/>
      <protection locked="0"/>
    </xf>
    <xf numFmtId="0" fontId="28" fillId="0" borderId="0" xfId="43" applyFont="1" applyAlignment="1" applyProtection="1">
      <alignment horizontal="left" wrapText="1"/>
      <protection locked="0"/>
    </xf>
    <xf numFmtId="2" fontId="8" fillId="0" borderId="0" xfId="43" applyNumberFormat="1" applyFont="1" applyAlignment="1" applyProtection="1">
      <alignment horizontal="right"/>
      <protection locked="0"/>
    </xf>
    <xf numFmtId="39" fontId="8" fillId="0" borderId="0" xfId="43" applyNumberFormat="1" applyFont="1" applyAlignment="1" applyProtection="1">
      <alignment horizontal="right"/>
      <protection locked="0"/>
    </xf>
    <xf numFmtId="37" fontId="8" fillId="0" borderId="30" xfId="43" applyNumberFormat="1" applyFont="1" applyBorder="1" applyAlignment="1" applyProtection="1">
      <alignment horizontal="right"/>
      <protection locked="0"/>
    </xf>
    <xf numFmtId="0" fontId="122" fillId="0" borderId="30" xfId="43" applyFont="1" applyBorder="1" applyAlignment="1" applyProtection="1">
      <alignment horizontal="right" wrapText="1"/>
      <protection locked="0"/>
    </xf>
    <xf numFmtId="0" fontId="11" fillId="0" borderId="0" xfId="43" applyFont="1" applyAlignment="1" applyProtection="1">
      <alignment horizontal="right" vertical="center"/>
      <protection locked="0"/>
    </xf>
    <xf numFmtId="0" fontId="11" fillId="0" borderId="0" xfId="43" applyFont="1" applyAlignment="1" applyProtection="1">
      <alignment horizontal="left" vertical="top"/>
      <protection locked="0"/>
    </xf>
    <xf numFmtId="37" fontId="72" fillId="0" borderId="30" xfId="45" applyNumberFormat="1" applyFont="1" applyBorder="1" applyAlignment="1">
      <alignment horizontal="right"/>
      <protection locked="0"/>
    </xf>
    <xf numFmtId="0" fontId="11" fillId="0" borderId="0" xfId="43" applyFont="1" applyAlignment="1" applyProtection="1">
      <alignment horizontal="left" vertical="center"/>
      <protection locked="0"/>
    </xf>
    <xf numFmtId="37" fontId="8" fillId="0" borderId="0" xfId="43" applyNumberFormat="1" applyFont="1" applyAlignment="1" applyProtection="1">
      <alignment horizontal="right" vertical="center"/>
      <protection locked="0"/>
    </xf>
    <xf numFmtId="0" fontId="8" fillId="0" borderId="0" xfId="43" applyFont="1" applyAlignment="1" applyProtection="1">
      <alignment horizontal="left" vertical="center" wrapText="1"/>
      <protection locked="0"/>
    </xf>
    <xf numFmtId="0" fontId="28" fillId="0" borderId="0" xfId="43" applyFont="1" applyAlignment="1" applyProtection="1">
      <alignment horizontal="left" vertical="center" wrapText="1"/>
      <protection locked="0"/>
    </xf>
    <xf numFmtId="0" fontId="60" fillId="0" borderId="0" xfId="43" applyFont="1" applyAlignment="1" applyProtection="1">
      <alignment horizontal="right" vertical="center"/>
      <protection locked="0"/>
    </xf>
    <xf numFmtId="0" fontId="123" fillId="0" borderId="0" xfId="51" applyFill="1" applyAlignment="1" applyProtection="1">
      <alignment horizontal="left" vertical="center"/>
      <protection locked="0"/>
    </xf>
    <xf numFmtId="0" fontId="11" fillId="0" borderId="0" xfId="45" applyFont="1" applyAlignment="1">
      <alignment horizontal="left" vertical="center"/>
      <protection locked="0"/>
    </xf>
    <xf numFmtId="0" fontId="93" fillId="0" borderId="0" xfId="45" applyFont="1" applyAlignment="1">
      <alignment horizontal="left" vertical="center" textRotation="90" wrapText="1"/>
      <protection locked="0"/>
    </xf>
    <xf numFmtId="0" fontId="8" fillId="0" borderId="30" xfId="43" applyFont="1" applyBorder="1" applyAlignment="1" applyProtection="1">
      <alignment horizontal="right" vertical="center"/>
      <protection locked="0"/>
    </xf>
    <xf numFmtId="2" fontId="28" fillId="0" borderId="30" xfId="43" applyNumberFormat="1" applyFont="1" applyBorder="1" applyAlignment="1" applyProtection="1">
      <alignment horizontal="left"/>
      <protection locked="0"/>
    </xf>
    <xf numFmtId="0" fontId="154" fillId="0" borderId="0" xfId="43" applyFont="1" applyAlignment="1" applyProtection="1">
      <alignment vertical="top"/>
      <protection locked="0"/>
    </xf>
    <xf numFmtId="37" fontId="54" fillId="0" borderId="0" xfId="43" applyNumberFormat="1" applyFont="1" applyAlignment="1" applyProtection="1">
      <alignment horizontal="right"/>
      <protection locked="0"/>
    </xf>
    <xf numFmtId="0" fontId="54" fillId="0" borderId="0" xfId="43" applyFont="1" applyAlignment="1" applyProtection="1">
      <alignment horizontal="left" wrapText="1"/>
      <protection locked="0"/>
    </xf>
    <xf numFmtId="0" fontId="155" fillId="0" borderId="0" xfId="43" applyFont="1" applyAlignment="1" applyProtection="1">
      <alignment horizontal="left" wrapText="1"/>
      <protection locked="0"/>
    </xf>
    <xf numFmtId="2" fontId="54" fillId="0" borderId="0" xfId="43" applyNumberFormat="1" applyFont="1" applyAlignment="1" applyProtection="1">
      <alignment horizontal="right"/>
      <protection locked="0"/>
    </xf>
    <xf numFmtId="39" fontId="54" fillId="0" borderId="0" xfId="43" applyNumberFormat="1" applyFont="1" applyAlignment="1" applyProtection="1">
      <alignment horizontal="right"/>
      <protection locked="0"/>
    </xf>
    <xf numFmtId="0" fontId="60" fillId="0" borderId="0" xfId="43" applyFont="1" applyAlignment="1" applyProtection="1">
      <alignment horizontal="right" vertical="top"/>
      <protection locked="0"/>
    </xf>
    <xf numFmtId="0" fontId="52" fillId="0" borderId="0" xfId="43" applyFont="1" applyAlignment="1" applyProtection="1">
      <alignment horizontal="left" vertical="center"/>
      <protection locked="0"/>
    </xf>
    <xf numFmtId="171" fontId="122" fillId="0" borderId="0" xfId="43" applyNumberFormat="1" applyFont="1" applyAlignment="1" applyProtection="1">
      <alignment horizontal="right" vertical="center"/>
      <protection locked="0"/>
    </xf>
    <xf numFmtId="0" fontId="16" fillId="0" borderId="0" xfId="43" applyFont="1" applyAlignment="1" applyProtection="1">
      <alignment horizontal="left"/>
      <protection locked="0"/>
    </xf>
    <xf numFmtId="0" fontId="96" fillId="0" borderId="0" xfId="43" applyFont="1" applyAlignment="1" applyProtection="1">
      <alignment horizontal="left" wrapText="1"/>
      <protection locked="0"/>
    </xf>
    <xf numFmtId="0" fontId="7" fillId="0" borderId="0" xfId="43" applyAlignment="1" applyProtection="1">
      <alignment horizontal="right" vertical="top"/>
      <protection locked="0"/>
    </xf>
    <xf numFmtId="39" fontId="54" fillId="0" borderId="0" xfId="0" applyNumberFormat="1" applyFont="1" applyAlignment="1">
      <alignment horizontal="right" vertical="center"/>
      <protection locked="0"/>
    </xf>
    <xf numFmtId="0" fontId="96" fillId="0" borderId="30" xfId="45" applyFont="1" applyBorder="1" applyAlignment="1">
      <alignment horizontal="left" wrapText="1"/>
      <protection locked="0"/>
    </xf>
    <xf numFmtId="49" fontId="85" fillId="0" borderId="30" xfId="45" applyNumberFormat="1" applyFont="1" applyBorder="1" applyAlignment="1">
      <alignment horizontal="left" wrapText="1"/>
      <protection locked="0"/>
    </xf>
    <xf numFmtId="2" fontId="72" fillId="5" borderId="30" xfId="45" applyNumberFormat="1" applyFont="1" applyFill="1" applyBorder="1" applyAlignment="1">
      <alignment horizontal="right"/>
      <protection locked="0"/>
    </xf>
    <xf numFmtId="0" fontId="96" fillId="0" borderId="0" xfId="0" applyFont="1" applyAlignment="1">
      <alignment horizontal="left" wrapText="1"/>
      <protection locked="0"/>
    </xf>
    <xf numFmtId="0" fontId="0" fillId="0" borderId="0" xfId="0" applyAlignment="1">
      <alignment horizontal="right" vertical="top"/>
      <protection locked="0"/>
    </xf>
    <xf numFmtId="0" fontId="47" fillId="0" borderId="0" xfId="43" applyFont="1" applyAlignment="1" applyProtection="1">
      <alignment vertical="center"/>
      <protection locked="0"/>
    </xf>
    <xf numFmtId="167" fontId="8" fillId="0" borderId="30" xfId="43" applyNumberFormat="1" applyFont="1" applyBorder="1" applyAlignment="1" applyProtection="1">
      <alignment horizontal="right"/>
      <protection locked="0"/>
    </xf>
    <xf numFmtId="37" fontId="72" fillId="0" borderId="30" xfId="43" applyNumberFormat="1" applyFont="1" applyBorder="1" applyAlignment="1" applyProtection="1">
      <alignment horizontal="right"/>
      <protection locked="0"/>
    </xf>
    <xf numFmtId="0" fontId="72" fillId="0" borderId="30" xfId="43" applyFont="1" applyBorder="1" applyAlignment="1" applyProtection="1">
      <alignment horizontal="left" wrapText="1"/>
      <protection locked="0"/>
    </xf>
    <xf numFmtId="4" fontId="72" fillId="5" borderId="30" xfId="43" applyNumberFormat="1" applyFont="1" applyFill="1" applyBorder="1" applyAlignment="1" applyProtection="1">
      <alignment horizontal="right"/>
      <protection locked="0"/>
    </xf>
    <xf numFmtId="39" fontId="54" fillId="0" borderId="0" xfId="43" applyNumberFormat="1" applyFont="1" applyAlignment="1" applyProtection="1">
      <alignment horizontal="right" vertical="center"/>
      <protection locked="0"/>
    </xf>
    <xf numFmtId="0" fontId="96" fillId="0" borderId="30" xfId="43" applyFont="1" applyBorder="1" applyAlignment="1" applyProtection="1">
      <alignment horizontal="left" wrapText="1"/>
      <protection locked="0"/>
    </xf>
    <xf numFmtId="169" fontId="11" fillId="0" borderId="0" xfId="43" applyNumberFormat="1" applyFont="1" applyAlignment="1" applyProtection="1">
      <alignment horizontal="right" vertical="center"/>
      <protection locked="0"/>
    </xf>
    <xf numFmtId="39" fontId="8" fillId="0" borderId="0" xfId="43" applyNumberFormat="1" applyFont="1" applyAlignment="1" applyProtection="1">
      <alignment horizontal="right" vertical="center"/>
      <protection locked="0"/>
    </xf>
    <xf numFmtId="4" fontId="72" fillId="0" borderId="30" xfId="43" applyNumberFormat="1" applyFont="1" applyBorder="1" applyAlignment="1" applyProtection="1">
      <alignment horizontal="right"/>
      <protection locked="0"/>
    </xf>
    <xf numFmtId="0" fontId="82" fillId="0" borderId="0" xfId="43" applyFont="1" applyAlignment="1" applyProtection="1">
      <alignment horizontal="right" vertical="center"/>
      <protection locked="0"/>
    </xf>
    <xf numFmtId="167" fontId="52" fillId="0" borderId="0" xfId="43" applyNumberFormat="1" applyFont="1" applyAlignment="1" applyProtection="1">
      <alignment horizontal="left" vertical="center"/>
      <protection locked="0"/>
    </xf>
    <xf numFmtId="171" fontId="73" fillId="0" borderId="0" xfId="43" applyNumberFormat="1" applyFont="1" applyAlignment="1" applyProtection="1">
      <alignment horizontal="right" vertical="center"/>
      <protection locked="0"/>
    </xf>
    <xf numFmtId="37" fontId="54" fillId="0" borderId="30" xfId="40" applyNumberFormat="1" applyFont="1" applyBorder="1" applyAlignment="1">
      <alignment horizontal="right"/>
      <protection locked="0"/>
    </xf>
    <xf numFmtId="0" fontId="54" fillId="0" borderId="30" xfId="40" applyFont="1" applyBorder="1" applyAlignment="1">
      <alignment horizontal="left" wrapText="1"/>
      <protection locked="0"/>
    </xf>
    <xf numFmtId="167" fontId="99" fillId="0" borderId="30" xfId="0" applyNumberFormat="1" applyFont="1" applyBorder="1" applyAlignment="1">
      <alignment horizontal="right" wrapText="1"/>
      <protection locked="0"/>
    </xf>
    <xf numFmtId="39" fontId="66" fillId="0" borderId="30" xfId="0" applyNumberFormat="1" applyFont="1" applyBorder="1" applyAlignment="1">
      <alignment horizontal="right"/>
      <protection locked="0"/>
    </xf>
    <xf numFmtId="37" fontId="37" fillId="0" borderId="30" xfId="0" applyNumberFormat="1" applyFont="1" applyBorder="1" applyAlignment="1">
      <alignment horizontal="right"/>
      <protection locked="0"/>
    </xf>
    <xf numFmtId="0" fontId="37" fillId="0" borderId="30" xfId="0" applyFont="1" applyBorder="1" applyAlignment="1">
      <alignment horizontal="center" wrapText="1"/>
      <protection locked="0"/>
    </xf>
    <xf numFmtId="4" fontId="37" fillId="0" borderId="30" xfId="0" applyNumberFormat="1" applyFont="1" applyBorder="1" applyAlignment="1">
      <alignment horizontal="right"/>
      <protection locked="0"/>
    </xf>
    <xf numFmtId="37" fontId="66"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7" fillId="0" borderId="0" xfId="0" applyFont="1" applyAlignment="1">
      <alignment horizontal="left" vertical="center"/>
      <protection locked="0"/>
    </xf>
    <xf numFmtId="0" fontId="157" fillId="0" borderId="0" xfId="0" applyFont="1" applyAlignment="1">
      <alignment horizontal="right" vertical="center"/>
      <protection locked="0"/>
    </xf>
    <xf numFmtId="0" fontId="155" fillId="0" borderId="30" xfId="0" applyFont="1" applyBorder="1" applyAlignment="1">
      <alignment horizontal="left" wrapText="1"/>
      <protection locked="0"/>
    </xf>
    <xf numFmtId="37" fontId="96" fillId="0" borderId="30" xfId="0" applyNumberFormat="1" applyFont="1" applyBorder="1" applyAlignment="1">
      <alignment horizontal="right"/>
      <protection locked="0"/>
    </xf>
    <xf numFmtId="39" fontId="96" fillId="0" borderId="30" xfId="0" applyNumberFormat="1" applyFont="1" applyBorder="1" applyAlignment="1">
      <alignment horizontal="right"/>
      <protection locked="0"/>
    </xf>
    <xf numFmtId="0" fontId="52" fillId="0" borderId="0" xfId="0" applyFont="1" applyAlignment="1">
      <alignment horizontal="left" vertical="center"/>
      <protection locked="0"/>
    </xf>
    <xf numFmtId="0" fontId="94" fillId="0" borderId="0" xfId="0" applyFont="1" applyAlignment="1">
      <alignment horizontal="left" vertical="center"/>
      <protection locked="0"/>
    </xf>
    <xf numFmtId="37" fontId="8" fillId="0" borderId="30" xfId="48" applyNumberFormat="1" applyFont="1" applyBorder="1" applyAlignment="1">
      <alignment horizontal="right"/>
      <protection locked="0"/>
    </xf>
    <xf numFmtId="49" fontId="8" fillId="0" borderId="30" xfId="48" applyNumberFormat="1" applyFont="1" applyBorder="1" applyAlignment="1">
      <alignment horizontal="left" wrapText="1"/>
      <protection locked="0"/>
    </xf>
    <xf numFmtId="0" fontId="8" fillId="0" borderId="30" xfId="48" applyFont="1" applyBorder="1" applyAlignment="1">
      <alignment horizontal="left" wrapText="1"/>
      <protection locked="0"/>
    </xf>
    <xf numFmtId="39" fontId="8" fillId="0" borderId="30" xfId="48" applyNumberFormat="1" applyFont="1" applyBorder="1" applyAlignment="1">
      <alignment horizontal="right"/>
      <protection locked="0"/>
    </xf>
    <xf numFmtId="39" fontId="8" fillId="0" borderId="30" xfId="48" applyNumberFormat="1" applyFont="1" applyBorder="1" applyAlignment="1">
      <alignment horizontal="center"/>
      <protection locked="0"/>
    </xf>
    <xf numFmtId="39" fontId="83" fillId="0" borderId="0" xfId="48" applyNumberFormat="1" applyFont="1" applyAlignment="1">
      <alignment horizontal="left"/>
      <protection locked="0"/>
    </xf>
    <xf numFmtId="0" fontId="64" fillId="0" borderId="0" xfId="48" applyFont="1" applyAlignment="1">
      <alignment horizontal="right" vertical="top"/>
      <protection locked="0"/>
    </xf>
    <xf numFmtId="37" fontId="8" fillId="0" borderId="0" xfId="48" applyNumberFormat="1" applyFont="1" applyAlignment="1">
      <alignment horizontal="left"/>
      <protection locked="0"/>
    </xf>
    <xf numFmtId="0" fontId="67" fillId="0" borderId="0" xfId="48" applyAlignment="1">
      <alignment horizontal="left" vertical="top"/>
      <protection locked="0"/>
    </xf>
    <xf numFmtId="0" fontId="28" fillId="0" borderId="30" xfId="48" applyFont="1" applyBorder="1" applyAlignment="1">
      <alignment horizontal="left" wrapText="1"/>
      <protection locked="0"/>
    </xf>
    <xf numFmtId="167" fontId="8" fillId="0" borderId="30" xfId="48" applyNumberFormat="1" applyFont="1" applyBorder="1" applyAlignment="1">
      <alignment horizontal="right"/>
      <protection locked="0"/>
    </xf>
    <xf numFmtId="2" fontId="28" fillId="0" borderId="30" xfId="48" applyNumberFormat="1" applyFont="1" applyBorder="1" applyAlignment="1">
      <alignment horizontal="left"/>
      <protection locked="0"/>
    </xf>
    <xf numFmtId="0" fontId="11" fillId="0" borderId="30" xfId="48" applyFont="1" applyBorder="1" applyAlignment="1">
      <alignment vertical="top"/>
      <protection locked="0"/>
    </xf>
    <xf numFmtId="2" fontId="92" fillId="0" borderId="0" xfId="48" applyNumberFormat="1" applyFont="1" applyAlignment="1">
      <alignment vertical="top"/>
      <protection locked="0"/>
    </xf>
    <xf numFmtId="0" fontId="92" fillId="0" borderId="0" xfId="48" applyFont="1" applyAlignment="1">
      <alignment vertical="top" wrapText="1"/>
      <protection locked="0"/>
    </xf>
    <xf numFmtId="0" fontId="28" fillId="0" borderId="0" xfId="48" applyFont="1" applyAlignment="1">
      <alignment horizontal="left" wrapText="1"/>
      <protection locked="0"/>
    </xf>
    <xf numFmtId="0" fontId="8" fillId="0" borderId="0" xfId="48" applyFont="1" applyAlignment="1">
      <alignment horizontal="left" wrapText="1"/>
      <protection locked="0"/>
    </xf>
    <xf numFmtId="2" fontId="8" fillId="0" borderId="0" xfId="48" applyNumberFormat="1" applyFont="1" applyAlignment="1">
      <alignment horizontal="right"/>
      <protection locked="0"/>
    </xf>
    <xf numFmtId="39" fontId="8" fillId="0" borderId="0" xfId="48" applyNumberFormat="1" applyFont="1" applyAlignment="1">
      <alignment horizontal="right"/>
      <protection locked="0"/>
    </xf>
    <xf numFmtId="39" fontId="8" fillId="0" borderId="0" xfId="48" applyNumberFormat="1" applyFont="1" applyAlignment="1">
      <alignment horizontal="center"/>
      <protection locked="0"/>
    </xf>
    <xf numFmtId="0" fontId="92" fillId="0" borderId="0" xfId="48" applyFont="1" applyAlignment="1">
      <alignment vertical="top"/>
      <protection locked="0"/>
    </xf>
    <xf numFmtId="39" fontId="158" fillId="0" borderId="0" xfId="48" applyNumberFormat="1" applyFont="1" applyAlignment="1">
      <alignment horizontal="left"/>
      <protection locked="0"/>
    </xf>
    <xf numFmtId="0" fontId="71" fillId="0" borderId="0" xfId="40" applyFont="1" applyAlignment="1">
      <alignment horizontal="left" vertical="center"/>
      <protection locked="0"/>
    </xf>
    <xf numFmtId="0" fontId="64" fillId="0" borderId="0" xfId="40" applyFont="1" applyAlignment="1">
      <alignment horizontal="right" vertical="top"/>
      <protection locked="0"/>
    </xf>
    <xf numFmtId="37" fontId="8" fillId="0" borderId="0" xfId="40" applyNumberFormat="1" applyFont="1" applyAlignment="1">
      <alignment horizontal="right"/>
      <protection locked="0"/>
    </xf>
    <xf numFmtId="0" fontId="8" fillId="0" borderId="0" xfId="40" applyFont="1" applyAlignment="1">
      <alignment horizontal="left" wrapText="1"/>
      <protection locked="0"/>
    </xf>
    <xf numFmtId="0" fontId="28" fillId="0" borderId="0" xfId="40" applyFont="1" applyAlignment="1">
      <alignment horizontal="left" wrapText="1"/>
      <protection locked="0"/>
    </xf>
    <xf numFmtId="0" fontId="26" fillId="0" borderId="39" xfId="40" applyFont="1" applyBorder="1" applyAlignment="1">
      <alignment vertical="center"/>
      <protection locked="0"/>
    </xf>
    <xf numFmtId="2" fontId="8" fillId="0" borderId="0" xfId="40" applyNumberFormat="1" applyFont="1" applyAlignment="1">
      <alignment horizontal="right"/>
      <protection locked="0"/>
    </xf>
    <xf numFmtId="39" fontId="8" fillId="0" borderId="0" xfId="40" applyNumberFormat="1" applyFont="1" applyAlignment="1">
      <alignment horizontal="right"/>
      <protection locked="0"/>
    </xf>
    <xf numFmtId="39" fontId="8" fillId="0" borderId="0" xfId="40" applyNumberFormat="1" applyFont="1" applyAlignment="1">
      <alignment horizontal="center"/>
      <protection locked="0"/>
    </xf>
    <xf numFmtId="39" fontId="83" fillId="0" borderId="0" xfId="40" applyNumberFormat="1" applyFont="1" applyAlignment="1">
      <alignment horizontal="left" vertical="center"/>
      <protection locked="0"/>
    </xf>
    <xf numFmtId="39" fontId="54" fillId="0" borderId="30" xfId="40" applyNumberFormat="1" applyFont="1" applyBorder="1" applyAlignment="1">
      <alignment horizontal="right"/>
      <protection locked="0"/>
    </xf>
    <xf numFmtId="39" fontId="54" fillId="0" borderId="30" xfId="40" applyNumberFormat="1" applyFont="1" applyBorder="1" applyAlignment="1">
      <alignment horizontal="center"/>
      <protection locked="0"/>
    </xf>
    <xf numFmtId="0" fontId="159" fillId="0" borderId="0" xfId="40" applyFont="1" applyAlignment="1">
      <alignment horizontal="left" vertical="center"/>
      <protection locked="0"/>
    </xf>
    <xf numFmtId="0" fontId="92" fillId="0" borderId="0" xfId="40" applyFont="1" applyAlignment="1">
      <alignment vertical="top" wrapText="1"/>
      <protection locked="0"/>
    </xf>
    <xf numFmtId="0" fontId="93" fillId="0" borderId="0" xfId="40" applyFont="1" applyAlignment="1">
      <alignment horizontal="left" vertical="center" textRotation="90" wrapText="1"/>
      <protection locked="0"/>
    </xf>
    <xf numFmtId="0" fontId="57" fillId="0" borderId="30" xfId="40" applyFont="1" applyBorder="1" applyAlignment="1">
      <alignment horizontal="left" wrapText="1"/>
      <protection locked="0"/>
    </xf>
    <xf numFmtId="2" fontId="57" fillId="0" borderId="30" xfId="40" applyNumberFormat="1" applyFont="1" applyBorder="1" applyAlignment="1">
      <alignment horizontal="left"/>
      <protection locked="0"/>
    </xf>
    <xf numFmtId="167" fontId="57" fillId="0" borderId="30" xfId="40" applyNumberFormat="1" applyFont="1" applyBorder="1" applyAlignment="1">
      <alignment horizontal="right"/>
      <protection locked="0"/>
    </xf>
    <xf numFmtId="0" fontId="60" fillId="0" borderId="30" xfId="40" applyFont="1" applyBorder="1" applyAlignment="1">
      <alignment vertical="top"/>
      <protection locked="0"/>
    </xf>
    <xf numFmtId="0" fontId="104" fillId="0" borderId="0" xfId="40" applyFont="1" applyAlignment="1">
      <alignment horizontal="left" vertical="center"/>
      <protection locked="0"/>
    </xf>
    <xf numFmtId="167" fontId="0" fillId="0" borderId="0" xfId="0" applyNumberFormat="1" applyAlignment="1">
      <alignment horizontal="left" vertical="top"/>
      <protection locked="0"/>
    </xf>
    <xf numFmtId="0" fontId="97" fillId="0" borderId="0" xfId="0" applyFont="1" applyAlignment="1">
      <alignment horizontal="left" vertical="center"/>
      <protection locked="0"/>
    </xf>
    <xf numFmtId="0" fontId="26" fillId="0" borderId="0" xfId="0" applyFont="1" applyAlignment="1">
      <alignment horizontal="left" vertical="center"/>
      <protection locked="0"/>
    </xf>
    <xf numFmtId="0" fontId="160" fillId="0" borderId="0" xfId="0" applyFont="1" applyAlignment="1">
      <alignment horizontal="left"/>
      <protection locked="0"/>
    </xf>
    <xf numFmtId="0" fontId="47" fillId="0" borderId="0" xfId="0" applyFont="1" applyAlignment="1">
      <alignment vertical="center"/>
      <protection locked="0"/>
    </xf>
    <xf numFmtId="167" fontId="11" fillId="0" borderId="0" xfId="28" applyNumberFormat="1" applyAlignment="1">
      <alignment horizontal="left" vertical="top"/>
      <protection locked="0"/>
    </xf>
    <xf numFmtId="37" fontId="54" fillId="0" borderId="30" xfId="40" applyNumberFormat="1" applyFont="1" applyBorder="1" applyAlignment="1">
      <alignment horizontal="right" vertical="center"/>
      <protection locked="0"/>
    </xf>
    <xf numFmtId="167" fontId="99" fillId="0" borderId="30" xfId="0" applyNumberFormat="1" applyFont="1" applyBorder="1" applyAlignment="1">
      <alignment horizontal="right" vertical="center" wrapText="1"/>
      <protection locked="0"/>
    </xf>
    <xf numFmtId="39" fontId="66"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7" fillId="0" borderId="0" xfId="28" applyFont="1" applyAlignment="1">
      <alignment horizontal="left" vertical="center"/>
      <protection locked="0"/>
    </xf>
    <xf numFmtId="0" fontId="161" fillId="0" borderId="0" xfId="28" applyFont="1" applyAlignment="1">
      <alignment horizontal="right" vertical="center"/>
      <protection locked="0"/>
    </xf>
    <xf numFmtId="37" fontId="8" fillId="0" borderId="0" xfId="28" applyNumberFormat="1" applyFont="1" applyAlignment="1">
      <alignment horizontal="left" vertical="center"/>
      <protection locked="0"/>
    </xf>
    <xf numFmtId="0" fontId="8" fillId="0" borderId="0" xfId="28" applyFont="1" applyAlignment="1">
      <alignment horizontal="left" wrapText="1"/>
      <protection locked="0"/>
    </xf>
    <xf numFmtId="0" fontId="37" fillId="0" borderId="0" xfId="28" applyFont="1" applyAlignment="1">
      <alignment horizontal="left" wrapText="1"/>
      <protection locked="0"/>
    </xf>
    <xf numFmtId="2" fontId="37" fillId="0" borderId="0" xfId="28" applyNumberFormat="1" applyFont="1" applyAlignment="1">
      <alignment horizontal="right"/>
      <protection locked="0"/>
    </xf>
    <xf numFmtId="39" fontId="37" fillId="0" borderId="0" xfId="28" applyNumberFormat="1" applyFont="1" applyAlignment="1">
      <alignment horizontal="right"/>
      <protection locked="0"/>
    </xf>
    <xf numFmtId="0" fontId="103" fillId="0" borderId="30" xfId="0" applyFont="1" applyBorder="1" applyAlignment="1">
      <alignment vertical="top" wrapText="1"/>
      <protection locked="0"/>
    </xf>
    <xf numFmtId="0" fontId="11" fillId="0" borderId="30" xfId="0" applyFont="1" applyBorder="1" applyAlignment="1">
      <alignment vertical="top"/>
      <protection locked="0"/>
    </xf>
    <xf numFmtId="0" fontId="162" fillId="0" borderId="30" xfId="0" applyFont="1" applyBorder="1" applyAlignment="1">
      <alignment horizontal="right" vertical="center"/>
      <protection locked="0"/>
    </xf>
    <xf numFmtId="2" fontId="52" fillId="0" borderId="0" xfId="45" applyNumberFormat="1" applyFont="1" applyAlignment="1">
      <alignment horizontal="left" vertical="center"/>
      <protection locked="0"/>
    </xf>
    <xf numFmtId="37" fontId="66" fillId="0" borderId="30" xfId="45" applyNumberFormat="1" applyFont="1" applyBorder="1" applyAlignment="1">
      <alignment horizontal="right"/>
      <protection locked="0"/>
    </xf>
    <xf numFmtId="37" fontId="28" fillId="0" borderId="30" xfId="45" applyNumberFormat="1" applyFont="1" applyBorder="1" applyAlignment="1">
      <alignment horizontal="right"/>
      <protection locked="0"/>
    </xf>
    <xf numFmtId="4" fontId="72" fillId="5" borderId="30" xfId="45" applyNumberFormat="1" applyFont="1" applyFill="1" applyBorder="1" applyAlignment="1">
      <alignment horizontal="right"/>
      <protection locked="0"/>
    </xf>
    <xf numFmtId="4" fontId="72" fillId="5" borderId="30" xfId="59" applyNumberFormat="1" applyFont="1" applyFill="1" applyBorder="1" applyAlignment="1" applyProtection="1">
      <alignment horizontal="right"/>
      <protection locked="0"/>
    </xf>
    <xf numFmtId="167" fontId="31" fillId="0" borderId="0" xfId="45" applyNumberFormat="1" applyAlignment="1">
      <alignment vertical="top"/>
      <protection locked="0"/>
    </xf>
    <xf numFmtId="0" fontId="52" fillId="0" borderId="0" xfId="45" applyFont="1" applyAlignment="1">
      <alignment horizontal="left" vertical="top"/>
      <protection locked="0"/>
    </xf>
    <xf numFmtId="167" fontId="37" fillId="0" borderId="30" xfId="45" applyNumberFormat="1" applyFont="1" applyBorder="1" applyAlignment="1">
      <alignment horizontal="right"/>
      <protection locked="0"/>
    </xf>
    <xf numFmtId="0" fontId="81" fillId="0" borderId="0" xfId="45" applyFont="1" applyAlignment="1">
      <alignment horizontal="right" vertical="center"/>
      <protection locked="0"/>
    </xf>
    <xf numFmtId="167" fontId="31" fillId="0" borderId="0" xfId="45" applyNumberFormat="1" applyAlignment="1">
      <alignment horizontal="left" vertical="top"/>
      <protection locked="0"/>
    </xf>
    <xf numFmtId="0" fontId="147" fillId="0" borderId="0" xfId="45" applyFont="1" applyAlignment="1">
      <alignment vertical="center"/>
      <protection locked="0"/>
    </xf>
    <xf numFmtId="4" fontId="100" fillId="0" borderId="0" xfId="45" applyNumberFormat="1" applyFont="1" applyAlignment="1">
      <alignment horizontal="center" vertical="center"/>
      <protection locked="0"/>
    </xf>
    <xf numFmtId="0" fontId="48" fillId="0" borderId="30" xfId="45" applyFont="1" applyBorder="1" applyAlignment="1">
      <alignment horizontal="left" wrapText="1"/>
      <protection locked="0"/>
    </xf>
    <xf numFmtId="167" fontId="72" fillId="0" borderId="30" xfId="45" applyNumberFormat="1" applyFont="1" applyBorder="1" applyAlignment="1">
      <alignment horizontal="right"/>
      <protection locked="0"/>
    </xf>
    <xf numFmtId="4" fontId="48" fillId="0" borderId="30" xfId="45" applyNumberFormat="1" applyFont="1" applyBorder="1" applyAlignment="1">
      <alignment horizontal="right"/>
      <protection locked="0"/>
    </xf>
    <xf numFmtId="39" fontId="48" fillId="0" borderId="30" xfId="45" applyNumberFormat="1" applyFont="1" applyBorder="1" applyAlignment="1">
      <alignment horizontal="center"/>
      <protection locked="0"/>
    </xf>
    <xf numFmtId="37" fontId="37" fillId="0" borderId="30" xfId="28" applyNumberFormat="1" applyFont="1" applyBorder="1" applyAlignment="1">
      <alignment horizontal="right"/>
      <protection locked="0"/>
    </xf>
    <xf numFmtId="167" fontId="37" fillId="0" borderId="30" xfId="28" applyNumberFormat="1" applyFont="1" applyBorder="1" applyAlignment="1">
      <alignment horizontal="right"/>
      <protection locked="0"/>
    </xf>
    <xf numFmtId="39" fontId="37" fillId="0" borderId="30" xfId="28" applyNumberFormat="1" applyFont="1" applyBorder="1" applyAlignment="1">
      <alignment horizontal="right"/>
      <protection locked="0"/>
    </xf>
    <xf numFmtId="0" fontId="92" fillId="0" borderId="39" xfId="48" applyFont="1" applyBorder="1" applyAlignment="1">
      <alignment vertical="top" wrapText="1"/>
      <protection locked="0"/>
    </xf>
    <xf numFmtId="167" fontId="8" fillId="0" borderId="30" xfId="28" applyNumberFormat="1" applyFont="1" applyBorder="1" applyAlignment="1">
      <alignment horizontal="right"/>
      <protection locked="0"/>
    </xf>
    <xf numFmtId="39" fontId="81" fillId="0" borderId="0" xfId="28" applyNumberFormat="1" applyFont="1" applyAlignment="1">
      <alignment horizontal="right" vertical="center"/>
      <protection locked="0"/>
    </xf>
    <xf numFmtId="37" fontId="66" fillId="0" borderId="30" xfId="28" applyNumberFormat="1" applyFont="1" applyBorder="1" applyAlignment="1">
      <alignment horizontal="right"/>
      <protection locked="0"/>
    </xf>
    <xf numFmtId="39" fontId="66" fillId="0" borderId="30" xfId="28" applyNumberFormat="1" applyFont="1" applyBorder="1" applyAlignment="1">
      <alignment horizontal="right"/>
      <protection locked="0"/>
    </xf>
    <xf numFmtId="0" fontId="121" fillId="0" borderId="0" xfId="0" applyFont="1" applyAlignment="1" applyProtection="1">
      <alignment vertical="center"/>
    </xf>
    <xf numFmtId="0" fontId="39" fillId="0" borderId="0" xfId="0" applyFont="1" applyAlignment="1">
      <alignment horizontal="left" vertical="center"/>
      <protection locked="0"/>
    </xf>
    <xf numFmtId="4" fontId="163" fillId="0" borderId="0" xfId="0" applyNumberFormat="1" applyFont="1" applyAlignment="1">
      <alignment horizontal="right" vertical="top"/>
      <protection locked="0"/>
    </xf>
    <xf numFmtId="0" fontId="10" fillId="0" borderId="0" xfId="0" applyFont="1" applyAlignment="1">
      <alignment horizontal="left" vertical="top"/>
      <protection locked="0"/>
    </xf>
    <xf numFmtId="39" fontId="122" fillId="0" borderId="30" xfId="62" applyNumberFormat="1" applyFont="1" applyBorder="1" applyAlignment="1" applyProtection="1">
      <alignment horizontal="right" vertical="center"/>
      <protection locked="0"/>
    </xf>
    <xf numFmtId="0" fontId="123" fillId="0" borderId="0" xfId="51" applyFill="1" applyAlignment="1">
      <alignment vertical="center"/>
      <protection locked="0"/>
    </xf>
    <xf numFmtId="0" fontId="29" fillId="0" borderId="0" xfId="60" applyFont="1" applyAlignment="1">
      <alignment vertical="center"/>
      <protection locked="0"/>
    </xf>
    <xf numFmtId="4" fontId="163" fillId="0" borderId="0" xfId="0" applyNumberFormat="1" applyFont="1" applyAlignment="1">
      <alignment horizontal="left" vertical="top"/>
      <protection locked="0"/>
    </xf>
    <xf numFmtId="0" fontId="10" fillId="0" borderId="0" xfId="0" applyFont="1" applyAlignment="1">
      <alignment horizontal="left" vertical="center"/>
      <protection locked="0"/>
    </xf>
    <xf numFmtId="39" fontId="81" fillId="0" borderId="0" xfId="0" applyNumberFormat="1" applyFont="1" applyAlignment="1">
      <alignment horizontal="right" vertical="center"/>
      <protection locked="0"/>
    </xf>
    <xf numFmtId="0" fontId="95" fillId="0" borderId="0" xfId="0" applyFont="1" applyAlignment="1">
      <alignment horizontal="center" vertical="center"/>
      <protection locked="0"/>
    </xf>
    <xf numFmtId="37" fontId="86" fillId="0" borderId="0" xfId="45" applyNumberFormat="1" applyFont="1" applyAlignment="1">
      <alignment horizontal="right"/>
      <protection locked="0"/>
    </xf>
    <xf numFmtId="0" fontId="86" fillId="0" borderId="0" xfId="45" applyFont="1" applyAlignment="1">
      <alignment horizontal="left" wrapText="1"/>
      <protection locked="0"/>
    </xf>
    <xf numFmtId="170" fontId="86" fillId="0" borderId="0" xfId="45" applyNumberFormat="1" applyFont="1" applyAlignment="1">
      <alignment horizontal="right"/>
      <protection locked="0"/>
    </xf>
    <xf numFmtId="39" fontId="86" fillId="0" borderId="0" xfId="45" applyNumberFormat="1" applyFont="1" applyAlignment="1">
      <alignment horizontal="right"/>
      <protection locked="0"/>
    </xf>
    <xf numFmtId="37" fontId="31" fillId="0" borderId="0" xfId="45" applyNumberFormat="1" applyAlignment="1">
      <alignment horizontal="right" vertical="top"/>
      <protection locked="0"/>
    </xf>
    <xf numFmtId="0" fontId="31" fillId="0" borderId="0" xfId="45" applyAlignment="1">
      <alignment horizontal="left" vertical="top" wrapText="1"/>
      <protection locked="0"/>
    </xf>
    <xf numFmtId="170" fontId="31" fillId="0" borderId="0" xfId="45" applyNumberFormat="1" applyAlignment="1">
      <alignment horizontal="right" vertical="top"/>
      <protection locked="0"/>
    </xf>
    <xf numFmtId="39" fontId="31" fillId="0" borderId="0" xfId="45" applyNumberFormat="1" applyAlignment="1">
      <alignment horizontal="right" vertical="top"/>
      <protection locked="0"/>
    </xf>
    <xf numFmtId="0" fontId="7" fillId="0" borderId="0" xfId="45" applyFont="1" applyAlignment="1">
      <alignment horizontal="left" vertical="top"/>
      <protection locked="0"/>
    </xf>
    <xf numFmtId="0" fontId="37" fillId="0" borderId="32" xfId="45" applyFont="1" applyBorder="1" applyAlignment="1">
      <alignment horizontal="left"/>
      <protection locked="0"/>
    </xf>
    <xf numFmtId="0" fontId="66" fillId="0" borderId="33" xfId="45" applyFont="1" applyBorder="1" applyAlignment="1">
      <alignment horizontal="center"/>
      <protection locked="0"/>
    </xf>
    <xf numFmtId="170" fontId="66" fillId="0" borderId="33" xfId="45" applyNumberFormat="1" applyFont="1" applyBorder="1" applyAlignment="1">
      <alignment horizontal="right"/>
      <protection locked="0"/>
    </xf>
    <xf numFmtId="39" fontId="66" fillId="0" borderId="33" xfId="45" applyNumberFormat="1" applyFont="1" applyBorder="1" applyAlignment="1">
      <alignment horizontal="right"/>
      <protection locked="0"/>
    </xf>
    <xf numFmtId="4" fontId="31" fillId="0" borderId="0" xfId="45" applyNumberFormat="1" applyAlignment="1">
      <alignment horizontal="left" vertical="top"/>
      <protection locked="0"/>
    </xf>
    <xf numFmtId="37" fontId="66" fillId="0" borderId="0" xfId="45" applyNumberFormat="1" applyFont="1" applyAlignment="1">
      <alignment horizontal="right"/>
      <protection locked="0"/>
    </xf>
    <xf numFmtId="0" fontId="66" fillId="0" borderId="0" xfId="45" applyFont="1" applyAlignment="1">
      <alignment horizontal="left" wrapText="1"/>
      <protection locked="0"/>
    </xf>
    <xf numFmtId="0" fontId="8" fillId="0" borderId="0" xfId="45" applyFont="1" applyAlignment="1">
      <alignment horizontal="left" wrapText="1"/>
      <protection locked="0"/>
    </xf>
    <xf numFmtId="0" fontId="66" fillId="0" borderId="0" xfId="45" applyFont="1" applyAlignment="1">
      <alignment horizontal="center" wrapText="1"/>
      <protection locked="0"/>
    </xf>
    <xf numFmtId="170" fontId="66" fillId="0" borderId="0" xfId="45" applyNumberFormat="1" applyFont="1" applyAlignment="1">
      <alignment horizontal="right"/>
      <protection locked="0"/>
    </xf>
    <xf numFmtId="39" fontId="66" fillId="0" borderId="0" xfId="45" applyNumberFormat="1" applyFont="1" applyAlignment="1">
      <alignment horizontal="right"/>
      <protection locked="0"/>
    </xf>
    <xf numFmtId="39" fontId="8" fillId="0" borderId="0" xfId="45" applyNumberFormat="1" applyFont="1" applyAlignment="1">
      <alignment horizontal="right"/>
      <protection locked="0"/>
    </xf>
    <xf numFmtId="0" fontId="7" fillId="0" borderId="0" xfId="43" applyAlignment="1">
      <alignment horizontal="left" vertical="top"/>
    </xf>
    <xf numFmtId="37" fontId="11" fillId="0" borderId="0" xfId="28" applyNumberFormat="1" applyAlignment="1">
      <alignment horizontal="right" vertical="top"/>
      <protection locked="0"/>
    </xf>
    <xf numFmtId="0" fontId="11" fillId="0" borderId="0" xfId="28" applyAlignment="1">
      <alignment horizontal="left" vertical="top" wrapText="1"/>
      <protection locked="0"/>
    </xf>
    <xf numFmtId="170" fontId="11" fillId="0" borderId="0" xfId="28" applyNumberFormat="1" applyAlignment="1">
      <alignment horizontal="right" vertical="top"/>
      <protection locked="0"/>
    </xf>
    <xf numFmtId="39" fontId="11" fillId="0" borderId="0" xfId="28" applyNumberFormat="1" applyAlignment="1">
      <alignment horizontal="right" vertical="top"/>
      <protection locked="0"/>
    </xf>
    <xf numFmtId="0" fontId="38" fillId="0" borderId="0" xfId="63"/>
    <xf numFmtId="0" fontId="31" fillId="0" borderId="0" xfId="45" applyAlignment="1">
      <alignment wrapText="1"/>
      <protection locked="0"/>
    </xf>
    <xf numFmtId="0" fontId="40" fillId="0" borderId="30" xfId="28" applyFont="1" applyBorder="1" applyAlignment="1" applyProtection="1">
      <alignment horizontal="center" vertical="center"/>
    </xf>
    <xf numFmtId="0" fontId="40" fillId="0" borderId="30" xfId="28" applyFont="1" applyBorder="1" applyAlignment="1" applyProtection="1">
      <alignment horizontal="left" vertical="center"/>
    </xf>
    <xf numFmtId="0" fontId="42" fillId="0" borderId="30" xfId="28" applyFont="1" applyBorder="1" applyAlignment="1" applyProtection="1">
      <alignment horizontal="left" vertical="center" wrapText="1"/>
    </xf>
    <xf numFmtId="0" fontId="41" fillId="0" borderId="40" xfId="28" applyFont="1" applyBorder="1" applyAlignment="1" applyProtection="1">
      <alignment horizontal="left" vertical="center"/>
    </xf>
    <xf numFmtId="39" fontId="42" fillId="0" borderId="40" xfId="28" applyNumberFormat="1" applyFont="1" applyBorder="1" applyAlignment="1" applyProtection="1">
      <alignment horizontal="right" vertical="center"/>
    </xf>
    <xf numFmtId="0" fontId="36" fillId="0" borderId="0" xfId="27" applyFont="1" applyAlignment="1" applyProtection="1">
      <alignment horizontal="left"/>
    </xf>
    <xf numFmtId="0" fontId="11" fillId="0" borderId="0" xfId="27" applyAlignment="1" applyProtection="1">
      <alignment vertical="top"/>
    </xf>
    <xf numFmtId="167" fontId="11" fillId="0" borderId="0" xfId="27" applyNumberFormat="1" applyAlignment="1" applyProtection="1">
      <alignment vertical="top"/>
    </xf>
    <xf numFmtId="0" fontId="7" fillId="0" borderId="0" xfId="65"/>
    <xf numFmtId="0" fontId="7" fillId="0" borderId="0" xfId="66" applyAlignment="1" applyProtection="1">
      <alignment horizontal="left" wrapText="1"/>
      <protection locked="0"/>
    </xf>
    <xf numFmtId="167" fontId="31" fillId="0" borderId="0" xfId="46" applyNumberFormat="1" applyAlignment="1">
      <alignment vertical="top"/>
      <protection locked="0"/>
    </xf>
    <xf numFmtId="0" fontId="37" fillId="0" borderId="0" xfId="46" applyFont="1" applyAlignment="1">
      <alignment vertical="top"/>
      <protection locked="0"/>
    </xf>
    <xf numFmtId="0" fontId="8" fillId="0" borderId="0" xfId="46" applyFont="1" applyAlignment="1">
      <alignment vertical="top"/>
      <protection locked="0"/>
    </xf>
    <xf numFmtId="0" fontId="37" fillId="0" borderId="0" xfId="28" applyFont="1" applyAlignment="1" applyProtection="1"/>
    <xf numFmtId="0" fontId="8" fillId="0" borderId="0" xfId="64" applyFont="1" applyAlignment="1">
      <alignment horizontal="left"/>
    </xf>
    <xf numFmtId="0" fontId="8" fillId="0" borderId="0" xfId="65" applyFont="1" applyAlignment="1">
      <alignment horizontal="left"/>
    </xf>
    <xf numFmtId="167" fontId="36" fillId="0" borderId="0" xfId="65" applyNumberFormat="1" applyFont="1" applyAlignment="1">
      <alignment horizontal="left"/>
    </xf>
    <xf numFmtId="0" fontId="36" fillId="0" borderId="0" xfId="65" applyFont="1" applyAlignment="1">
      <alignment horizontal="left"/>
    </xf>
    <xf numFmtId="0" fontId="7" fillId="0" borderId="0" xfId="65" applyAlignment="1">
      <alignment horizontal="left" vertical="top"/>
    </xf>
    <xf numFmtId="0" fontId="164" fillId="0" borderId="0" xfId="65" applyFont="1"/>
    <xf numFmtId="0" fontId="43" fillId="0" borderId="0" xfId="65" applyFont="1" applyAlignment="1">
      <alignment horizontal="left"/>
    </xf>
    <xf numFmtId="0" fontId="36" fillId="0" borderId="0" xfId="65" applyFont="1" applyAlignment="1">
      <alignment horizontal="center"/>
    </xf>
    <xf numFmtId="0" fontId="44" fillId="0" borderId="0" xfId="65" applyFont="1" applyAlignment="1">
      <alignment horizontal="right" vertical="top"/>
    </xf>
    <xf numFmtId="0" fontId="45" fillId="0" borderId="31" xfId="65" applyFont="1" applyBorder="1" applyAlignment="1">
      <alignment horizontal="center" vertical="center" wrapText="1"/>
    </xf>
    <xf numFmtId="167" fontId="45" fillId="0" borderId="31" xfId="65" applyNumberFormat="1" applyFont="1" applyBorder="1" applyAlignment="1">
      <alignment horizontal="center" vertical="center" wrapText="1"/>
    </xf>
    <xf numFmtId="0" fontId="45" fillId="0" borderId="12" xfId="65" applyFont="1" applyBorder="1" applyAlignment="1">
      <alignment horizontal="center" vertical="center" wrapText="1"/>
    </xf>
    <xf numFmtId="0" fontId="67" fillId="0" borderId="0" xfId="24" applyFont="1" applyAlignment="1" applyProtection="1">
      <alignment horizontal="left" vertical="center"/>
      <protection locked="0"/>
    </xf>
    <xf numFmtId="0" fontId="103" fillId="0" borderId="0" xfId="65" applyFont="1" applyAlignment="1">
      <alignment horizontal="center" vertical="center"/>
    </xf>
    <xf numFmtId="37" fontId="8" fillId="0" borderId="37" xfId="65" applyNumberFormat="1" applyFont="1" applyBorder="1" applyAlignment="1" applyProtection="1">
      <alignment horizontal="right"/>
      <protection locked="0"/>
    </xf>
    <xf numFmtId="0" fontId="37" fillId="0" borderId="0" xfId="64" applyFont="1" applyAlignment="1" applyProtection="1">
      <alignment horizontal="left" wrapText="1"/>
      <protection locked="0"/>
    </xf>
    <xf numFmtId="0" fontId="37" fillId="0" borderId="37" xfId="65" applyFont="1" applyBorder="1" applyAlignment="1" applyProtection="1">
      <alignment horizontal="left" wrapText="1"/>
      <protection locked="0"/>
    </xf>
    <xf numFmtId="167" fontId="37" fillId="0" borderId="37" xfId="65" applyNumberFormat="1" applyFont="1" applyBorder="1" applyAlignment="1" applyProtection="1">
      <alignment horizontal="right"/>
      <protection locked="0"/>
    </xf>
    <xf numFmtId="39" fontId="37" fillId="0" borderId="37" xfId="65" applyNumberFormat="1" applyFont="1" applyBorder="1" applyAlignment="1" applyProtection="1">
      <alignment horizontal="right"/>
      <protection locked="0"/>
    </xf>
    <xf numFmtId="39" fontId="48" fillId="0" borderId="37" xfId="65" applyNumberFormat="1" applyFont="1" applyBorder="1" applyAlignment="1" applyProtection="1">
      <alignment horizontal="center"/>
      <protection locked="0"/>
    </xf>
    <xf numFmtId="0" fontId="165" fillId="0" borderId="0" xfId="24" applyFont="1" applyAlignment="1" applyProtection="1">
      <alignment horizontal="right"/>
      <protection locked="0"/>
    </xf>
    <xf numFmtId="0" fontId="8" fillId="0" borderId="0" xfId="24" applyFont="1" applyAlignment="1" applyProtection="1">
      <alignment horizontal="left" vertical="center"/>
      <protection locked="0"/>
    </xf>
    <xf numFmtId="49" fontId="8" fillId="0" borderId="30" xfId="40" applyNumberFormat="1" applyFont="1" applyBorder="1" applyAlignment="1">
      <alignment horizontal="left" wrapText="1"/>
      <protection locked="0"/>
    </xf>
    <xf numFmtId="0" fontId="85" fillId="0" borderId="39" xfId="40" applyFont="1" applyBorder="1" applyAlignment="1">
      <alignment horizontal="left" vertical="center"/>
      <protection locked="0"/>
    </xf>
    <xf numFmtId="0" fontId="83" fillId="0" borderId="0" xfId="40" applyFont="1" applyAlignment="1">
      <alignment horizontal="left" vertical="center"/>
      <protection locked="0"/>
    </xf>
    <xf numFmtId="0" fontId="166" fillId="0" borderId="39" xfId="40" applyFont="1" applyBorder="1" applyAlignment="1">
      <alignment horizontal="left" vertical="center"/>
      <protection locked="0"/>
    </xf>
    <xf numFmtId="0" fontId="167" fillId="0" borderId="0" xfId="40" applyFont="1" applyAlignment="1">
      <alignment vertical="top" wrapText="1"/>
      <protection locked="0"/>
    </xf>
    <xf numFmtId="0" fontId="166" fillId="0" borderId="0" xfId="40" applyFont="1" applyAlignment="1">
      <alignment horizontal="left" vertical="center"/>
      <protection locked="0"/>
    </xf>
    <xf numFmtId="0" fontId="8" fillId="0" borderId="0" xfId="25" applyFont="1" applyAlignment="1" applyProtection="1">
      <alignment horizontal="left" vertical="top"/>
      <protection locked="0"/>
    </xf>
    <xf numFmtId="2" fontId="168" fillId="0" borderId="0" xfId="25" applyNumberFormat="1" applyFont="1" applyAlignment="1" applyProtection="1">
      <alignment horizontal="left" vertical="top"/>
      <protection locked="0"/>
    </xf>
    <xf numFmtId="0" fontId="109" fillId="0" borderId="0" xfId="25" applyFont="1" applyAlignment="1" applyProtection="1">
      <alignment horizontal="left" vertical="top"/>
      <protection locked="0"/>
    </xf>
    <xf numFmtId="49" fontId="72" fillId="0" borderId="30" xfId="3" applyNumberFormat="1" applyFont="1" applyBorder="1" applyAlignment="1" applyProtection="1">
      <alignment horizontal="left" wrapText="1"/>
      <protection locked="0"/>
    </xf>
    <xf numFmtId="0" fontId="37" fillId="0" borderId="0" xfId="25" applyFont="1" applyAlignment="1" applyProtection="1">
      <alignment horizontal="left" vertical="top"/>
      <protection locked="0"/>
    </xf>
    <xf numFmtId="167" fontId="72" fillId="0" borderId="30" xfId="3" applyNumberFormat="1" applyFont="1" applyBorder="1" applyAlignment="1" applyProtection="1">
      <alignment horizontal="right" wrapText="1"/>
      <protection locked="0"/>
    </xf>
    <xf numFmtId="0" fontId="168" fillId="0" borderId="0" xfId="25" applyFont="1" applyAlignment="1" applyProtection="1">
      <alignment horizontal="left" vertical="top"/>
      <protection locked="0"/>
    </xf>
    <xf numFmtId="0" fontId="158" fillId="0" borderId="0" xfId="25" applyFont="1" applyAlignment="1" applyProtection="1">
      <alignment vertical="top" wrapText="1"/>
      <protection locked="0"/>
    </xf>
    <xf numFmtId="0" fontId="92" fillId="0" borderId="0" xfId="25" applyFont="1" applyAlignment="1" applyProtection="1">
      <alignment vertical="top" wrapText="1"/>
      <protection locked="0"/>
    </xf>
    <xf numFmtId="0" fontId="28" fillId="0" borderId="0" xfId="25" applyFont="1" applyAlignment="1" applyProtection="1">
      <alignment horizontal="left" wrapText="1"/>
      <protection locked="0"/>
    </xf>
    <xf numFmtId="0" fontId="8" fillId="0" borderId="0" xfId="25" applyFont="1" applyAlignment="1" applyProtection="1">
      <alignment horizontal="left" wrapText="1"/>
      <protection locked="0"/>
    </xf>
    <xf numFmtId="2" fontId="8" fillId="0" borderId="0" xfId="25" applyNumberFormat="1" applyFont="1" applyAlignment="1" applyProtection="1">
      <alignment horizontal="right"/>
      <protection locked="0"/>
    </xf>
    <xf numFmtId="39" fontId="8" fillId="0" borderId="0" xfId="25" applyNumberFormat="1" applyFont="1" applyAlignment="1" applyProtection="1">
      <alignment horizontal="right"/>
      <protection locked="0"/>
    </xf>
    <xf numFmtId="39" fontId="8" fillId="0" borderId="0" xfId="25" applyNumberFormat="1" applyFont="1" applyAlignment="1" applyProtection="1">
      <alignment horizontal="center"/>
      <protection locked="0"/>
    </xf>
    <xf numFmtId="39" fontId="85" fillId="0" borderId="30" xfId="40" applyNumberFormat="1" applyFont="1" applyBorder="1" applyAlignment="1">
      <alignment horizontal="right"/>
      <protection locked="0"/>
    </xf>
    <xf numFmtId="2" fontId="16" fillId="0" borderId="0" xfId="40" applyNumberFormat="1" applyFont="1" applyAlignment="1">
      <alignment horizontal="left" vertical="center"/>
      <protection locked="0"/>
    </xf>
    <xf numFmtId="37" fontId="37" fillId="0" borderId="30" xfId="25" applyNumberFormat="1" applyFont="1" applyBorder="1" applyAlignment="1" applyProtection="1">
      <alignment horizontal="right"/>
      <protection locked="0"/>
    </xf>
    <xf numFmtId="0" fontId="7" fillId="0" borderId="30" xfId="25" applyBorder="1" applyAlignment="1" applyProtection="1">
      <alignment vertical="top"/>
      <protection locked="0"/>
    </xf>
    <xf numFmtId="49" fontId="8" fillId="0" borderId="30" xfId="25" applyNumberFormat="1" applyFont="1" applyBorder="1" applyAlignment="1" applyProtection="1">
      <alignment horizontal="right" wrapText="1"/>
      <protection locked="0"/>
    </xf>
    <xf numFmtId="2" fontId="169" fillId="0" borderId="0" xfId="25" applyNumberFormat="1" applyFont="1" applyAlignment="1" applyProtection="1">
      <alignment horizontal="left" vertical="center"/>
      <protection locked="0"/>
    </xf>
    <xf numFmtId="2" fontId="43" fillId="0" borderId="0" xfId="25" applyNumberFormat="1" applyFont="1" applyAlignment="1" applyProtection="1">
      <alignment horizontal="left" vertical="center"/>
      <protection locked="0"/>
    </xf>
    <xf numFmtId="0" fontId="135" fillId="0" borderId="0" xfId="25" applyFont="1" applyAlignment="1" applyProtection="1">
      <alignment horizontal="left" vertical="center"/>
      <protection locked="0"/>
    </xf>
    <xf numFmtId="0" fontId="170" fillId="0" borderId="0" xfId="25" applyFont="1" applyAlignment="1" applyProtection="1">
      <alignment horizontal="left" vertical="center" wrapText="1"/>
      <protection locked="0"/>
    </xf>
    <xf numFmtId="37" fontId="54" fillId="0" borderId="30" xfId="25" applyNumberFormat="1" applyFont="1" applyBorder="1" applyAlignment="1" applyProtection="1">
      <alignment horizontal="right"/>
      <protection locked="0"/>
    </xf>
    <xf numFmtId="49" fontId="54" fillId="0" borderId="30" xfId="25" applyNumberFormat="1" applyFont="1" applyBorder="1" applyAlignment="1" applyProtection="1">
      <alignment horizontal="left" wrapText="1"/>
      <protection locked="0"/>
    </xf>
    <xf numFmtId="0" fontId="54" fillId="0" borderId="30" xfId="25" applyFont="1" applyBorder="1" applyAlignment="1" applyProtection="1">
      <alignment horizontal="left" wrapText="1"/>
      <protection locked="0"/>
    </xf>
    <xf numFmtId="0" fontId="54" fillId="0" borderId="30" xfId="25" applyFont="1" applyBorder="1" applyProtection="1">
      <protection locked="0"/>
    </xf>
    <xf numFmtId="167" fontId="54" fillId="0" borderId="30" xfId="25" applyNumberFormat="1" applyFont="1" applyBorder="1" applyAlignment="1" applyProtection="1">
      <alignment horizontal="right"/>
      <protection locked="0"/>
    </xf>
    <xf numFmtId="39" fontId="54" fillId="0" borderId="30" xfId="25" applyNumberFormat="1" applyFont="1" applyBorder="1" applyAlignment="1" applyProtection="1">
      <alignment horizontal="right"/>
      <protection locked="0"/>
    </xf>
    <xf numFmtId="39" fontId="54" fillId="0" borderId="30" xfId="25" applyNumberFormat="1" applyFont="1" applyBorder="1" applyAlignment="1" applyProtection="1">
      <alignment horizontal="center"/>
      <protection locked="0"/>
    </xf>
    <xf numFmtId="2" fontId="54" fillId="0" borderId="0" xfId="25" applyNumberFormat="1" applyFont="1" applyAlignment="1" applyProtection="1">
      <alignment horizontal="right"/>
      <protection locked="0"/>
    </xf>
    <xf numFmtId="39" fontId="54" fillId="0" borderId="0" xfId="25" applyNumberFormat="1" applyFont="1" applyAlignment="1" applyProtection="1">
      <alignment horizontal="right"/>
      <protection locked="0"/>
    </xf>
    <xf numFmtId="49" fontId="8" fillId="0" borderId="30" xfId="40" applyNumberFormat="1" applyFont="1" applyBorder="1" applyAlignment="1">
      <alignment horizontal="right" wrapText="1"/>
      <protection locked="0"/>
    </xf>
    <xf numFmtId="0" fontId="164" fillId="0" borderId="0" xfId="40" applyFont="1" applyAlignment="1">
      <alignment horizontal="left" vertical="top"/>
      <protection locked="0"/>
    </xf>
    <xf numFmtId="0" fontId="171" fillId="0" borderId="0" xfId="40" applyFont="1" applyAlignment="1">
      <alignment horizontal="left" vertical="top"/>
      <protection locked="0"/>
    </xf>
    <xf numFmtId="0" fontId="135" fillId="0" borderId="0" xfId="40" applyFont="1" applyAlignment="1">
      <alignment horizontal="center" vertical="center" wrapText="1"/>
      <protection locked="0"/>
    </xf>
    <xf numFmtId="0" fontId="172" fillId="0" borderId="0" xfId="25" applyFont="1" applyAlignment="1" applyProtection="1">
      <alignment horizontal="left" vertical="center"/>
      <protection locked="0"/>
    </xf>
    <xf numFmtId="0" fontId="164" fillId="0" borderId="0" xfId="25" applyFont="1" applyAlignment="1" applyProtection="1">
      <alignment horizontal="left" vertical="top"/>
      <protection locked="0"/>
    </xf>
    <xf numFmtId="0" fontId="171" fillId="0" borderId="0" xfId="25" applyFont="1" applyAlignment="1" applyProtection="1">
      <alignment horizontal="left" vertical="top"/>
      <protection locked="0"/>
    </xf>
    <xf numFmtId="0" fontId="104" fillId="0" borderId="0" xfId="25" applyFont="1" applyAlignment="1" applyProtection="1">
      <alignment horizontal="left" vertical="center"/>
      <protection locked="0"/>
    </xf>
    <xf numFmtId="0" fontId="135" fillId="0" borderId="0" xfId="25" applyFont="1" applyAlignment="1" applyProtection="1">
      <alignment horizontal="center" vertical="center" wrapText="1"/>
      <protection locked="0"/>
    </xf>
    <xf numFmtId="0" fontId="8" fillId="0" borderId="0" xfId="25" applyFont="1" applyProtection="1">
      <protection locked="0"/>
    </xf>
    <xf numFmtId="0" fontId="32" fillId="0" borderId="0" xfId="25" applyFont="1" applyAlignment="1" applyProtection="1">
      <alignment horizontal="left" vertical="center"/>
      <protection locked="0"/>
    </xf>
    <xf numFmtId="0" fontId="60" fillId="0" borderId="0" xfId="25" applyFont="1" applyAlignment="1" applyProtection="1">
      <alignment horizontal="left" vertical="center"/>
      <protection locked="0"/>
    </xf>
    <xf numFmtId="37" fontId="54" fillId="0" borderId="0" xfId="25" applyNumberFormat="1" applyFont="1" applyAlignment="1" applyProtection="1">
      <alignment horizontal="right"/>
      <protection locked="0"/>
    </xf>
    <xf numFmtId="0" fontId="54" fillId="0" borderId="0" xfId="25" applyFont="1" applyAlignment="1" applyProtection="1">
      <alignment horizontal="left" wrapText="1"/>
      <protection locked="0"/>
    </xf>
    <xf numFmtId="0" fontId="57" fillId="0" borderId="0" xfId="25" applyFont="1" applyAlignment="1" applyProtection="1">
      <alignment horizontal="left" wrapText="1"/>
      <protection locked="0"/>
    </xf>
    <xf numFmtId="0" fontId="83" fillId="0" borderId="30" xfId="25" applyFont="1" applyBorder="1" applyAlignment="1" applyProtection="1">
      <alignment horizontal="center" vertical="center" wrapText="1"/>
      <protection locked="0"/>
    </xf>
    <xf numFmtId="0" fontId="8" fillId="0" borderId="30" xfId="25" applyFont="1" applyBorder="1" applyProtection="1">
      <protection locked="0"/>
    </xf>
    <xf numFmtId="0" fontId="54" fillId="0" borderId="0" xfId="25" applyFont="1" applyProtection="1">
      <protection locked="0"/>
    </xf>
    <xf numFmtId="4" fontId="60" fillId="0" borderId="0" xfId="25" applyNumberFormat="1" applyFont="1" applyAlignment="1" applyProtection="1">
      <alignment horizontal="right" vertical="center"/>
      <protection locked="0"/>
    </xf>
    <xf numFmtId="37" fontId="173" fillId="0" borderId="30" xfId="25" applyNumberFormat="1" applyFont="1" applyBorder="1" applyAlignment="1" applyProtection="1">
      <alignment horizontal="right"/>
      <protection locked="0"/>
    </xf>
    <xf numFmtId="0" fontId="173" fillId="0" borderId="30" xfId="25" applyFont="1" applyBorder="1" applyAlignment="1" applyProtection="1">
      <alignment horizontal="left" wrapText="1"/>
      <protection locked="0"/>
    </xf>
    <xf numFmtId="0" fontId="60" fillId="0" borderId="30" xfId="25" applyFont="1" applyBorder="1" applyAlignment="1" applyProtection="1">
      <alignment horizontal="left" vertical="top"/>
      <protection locked="0"/>
    </xf>
    <xf numFmtId="2" fontId="28" fillId="0" borderId="30" xfId="40" applyNumberFormat="1" applyFont="1" applyBorder="1" applyAlignment="1">
      <alignment horizontal="right"/>
      <protection locked="0"/>
    </xf>
    <xf numFmtId="0" fontId="93" fillId="0" borderId="0" xfId="25" applyFont="1" applyAlignment="1" applyProtection="1">
      <alignment horizontal="left" vertical="center" textRotation="90" wrapText="1"/>
      <protection locked="0"/>
    </xf>
    <xf numFmtId="0" fontId="66" fillId="0" borderId="30" xfId="25" applyFont="1" applyBorder="1" applyAlignment="1" applyProtection="1">
      <alignment horizontal="left" vertical="center" wrapText="1"/>
      <protection locked="0"/>
    </xf>
    <xf numFmtId="0" fontId="15" fillId="0" borderId="0" xfId="25" applyFont="1" applyAlignment="1" applyProtection="1">
      <alignment horizontal="left" vertical="center" wrapText="1"/>
      <protection locked="0"/>
    </xf>
    <xf numFmtId="167" fontId="135" fillId="0" borderId="0" xfId="25" applyNumberFormat="1" applyFont="1" applyAlignment="1" applyProtection="1">
      <alignment horizontal="center" vertical="center" wrapText="1"/>
      <protection locked="0"/>
    </xf>
    <xf numFmtId="49" fontId="72" fillId="0" borderId="30" xfId="25" applyNumberFormat="1" applyFont="1" applyBorder="1" applyAlignment="1" applyProtection="1">
      <alignment horizontal="right" wrapText="1"/>
      <protection locked="0"/>
    </xf>
    <xf numFmtId="167" fontId="72" fillId="0" borderId="30" xfId="25" applyNumberFormat="1" applyFont="1" applyBorder="1" applyAlignment="1" applyProtection="1">
      <alignment horizontal="right"/>
      <protection locked="0"/>
    </xf>
    <xf numFmtId="39" fontId="72" fillId="0" borderId="30" xfId="25" applyNumberFormat="1" applyFont="1" applyBorder="1" applyAlignment="1" applyProtection="1">
      <alignment horizontal="right"/>
      <protection locked="0"/>
    </xf>
    <xf numFmtId="39" fontId="72" fillId="0" borderId="30" xfId="25" applyNumberFormat="1" applyFont="1" applyBorder="1" applyAlignment="1" applyProtection="1">
      <alignment horizontal="center"/>
      <protection locked="0"/>
    </xf>
    <xf numFmtId="0" fontId="174" fillId="0" borderId="0" xfId="25" applyFont="1" applyAlignment="1" applyProtection="1">
      <alignment horizontal="left" vertical="top"/>
      <protection locked="0"/>
    </xf>
    <xf numFmtId="0" fontId="66" fillId="0" borderId="30" xfId="40" applyFont="1" applyBorder="1" applyAlignment="1">
      <alignment horizontal="left" vertical="center" wrapText="1"/>
      <protection locked="0"/>
    </xf>
    <xf numFmtId="49" fontId="66" fillId="0" borderId="30" xfId="40" applyNumberFormat="1" applyFont="1" applyBorder="1" applyAlignment="1">
      <alignment horizontal="left" wrapText="1"/>
      <protection locked="0"/>
    </xf>
    <xf numFmtId="0" fontId="66" fillId="0" borderId="30" xfId="40" applyFont="1" applyBorder="1" applyAlignment="1">
      <alignment horizontal="left" wrapText="1"/>
      <protection locked="0"/>
    </xf>
    <xf numFmtId="0" fontId="72" fillId="0" borderId="30" xfId="35" applyFont="1" applyBorder="1" applyAlignment="1">
      <alignment horizontal="left" vertical="center" wrapText="1"/>
      <protection locked="0"/>
    </xf>
    <xf numFmtId="0" fontId="175" fillId="0" borderId="30" xfId="40" applyFont="1" applyBorder="1" applyAlignment="1">
      <alignment horizontal="center" vertical="center" wrapText="1"/>
      <protection locked="0"/>
    </xf>
    <xf numFmtId="0" fontId="67" fillId="0" borderId="30" xfId="40" applyBorder="1" applyAlignment="1">
      <alignment horizontal="right" vertical="center"/>
      <protection locked="0"/>
    </xf>
    <xf numFmtId="0" fontId="68" fillId="0" borderId="0" xfId="40" applyFont="1" applyAlignment="1">
      <alignment horizontal="left" vertical="center"/>
      <protection locked="0"/>
    </xf>
    <xf numFmtId="0" fontId="92" fillId="0" borderId="0" xfId="40" applyFont="1" applyAlignment="1">
      <alignment vertical="center" wrapText="1"/>
      <protection locked="0"/>
    </xf>
    <xf numFmtId="39" fontId="54" fillId="0" borderId="30" xfId="24" applyNumberFormat="1" applyFont="1" applyBorder="1" applyAlignment="1" applyProtection="1">
      <alignment horizontal="center"/>
      <protection locked="0"/>
    </xf>
    <xf numFmtId="0" fontId="97" fillId="0" borderId="0" xfId="24" applyFont="1" applyAlignment="1" applyProtection="1">
      <alignment horizontal="center" vertical="center" wrapText="1"/>
      <protection locked="0"/>
    </xf>
    <xf numFmtId="0" fontId="92" fillId="0" borderId="0" xfId="24" applyFont="1" applyAlignment="1" applyProtection="1">
      <alignment vertical="top" wrapText="1"/>
      <protection locked="0"/>
    </xf>
    <xf numFmtId="0" fontId="28" fillId="0" borderId="0" xfId="24" applyFont="1" applyAlignment="1" applyProtection="1">
      <alignment horizontal="left" wrapText="1"/>
      <protection locked="0"/>
    </xf>
    <xf numFmtId="2" fontId="8" fillId="0" borderId="0" xfId="24" applyNumberFormat="1" applyFont="1" applyAlignment="1" applyProtection="1">
      <alignment horizontal="right"/>
      <protection locked="0"/>
    </xf>
    <xf numFmtId="0" fontId="93" fillId="0" borderId="0" xfId="24" applyFont="1" applyAlignment="1" applyProtection="1">
      <alignment horizontal="left" vertical="center" textRotation="90" wrapText="1"/>
      <protection locked="0"/>
    </xf>
    <xf numFmtId="37" fontId="54" fillId="0" borderId="30" xfId="24" applyNumberFormat="1" applyFont="1" applyBorder="1" applyAlignment="1" applyProtection="1">
      <alignment horizontal="right"/>
      <protection locked="0"/>
    </xf>
    <xf numFmtId="49" fontId="54" fillId="0" borderId="30" xfId="24" applyNumberFormat="1" applyFont="1" applyBorder="1" applyAlignment="1" applyProtection="1">
      <alignment horizontal="left" wrapText="1"/>
      <protection locked="0"/>
    </xf>
    <xf numFmtId="0" fontId="54" fillId="0" borderId="30" xfId="24" applyFont="1" applyBorder="1" applyAlignment="1" applyProtection="1">
      <alignment horizontal="left" wrapText="1"/>
      <protection locked="0"/>
    </xf>
    <xf numFmtId="0" fontId="54" fillId="0" borderId="30" xfId="24" applyFont="1" applyBorder="1" applyProtection="1">
      <protection locked="0"/>
    </xf>
    <xf numFmtId="171" fontId="54" fillId="0" borderId="30" xfId="24" applyNumberFormat="1" applyFont="1" applyBorder="1" applyAlignment="1" applyProtection="1">
      <alignment horizontal="right"/>
      <protection locked="0"/>
    </xf>
    <xf numFmtId="37" fontId="37" fillId="0" borderId="30" xfId="24" applyNumberFormat="1" applyFont="1" applyBorder="1" applyAlignment="1" applyProtection="1">
      <alignment horizontal="right"/>
      <protection locked="0"/>
    </xf>
    <xf numFmtId="0" fontId="57" fillId="0" borderId="30" xfId="24" applyFont="1" applyBorder="1" applyAlignment="1" applyProtection="1">
      <alignment horizontal="left" wrapText="1"/>
      <protection locked="0"/>
    </xf>
    <xf numFmtId="167" fontId="57" fillId="0" borderId="30" xfId="24" applyNumberFormat="1" applyFont="1" applyBorder="1" applyAlignment="1" applyProtection="1">
      <alignment horizontal="right"/>
      <protection locked="0"/>
    </xf>
    <xf numFmtId="0" fontId="8" fillId="0" borderId="30" xfId="25" applyFont="1" applyBorder="1" applyAlignment="1" applyProtection="1">
      <alignment wrapText="1"/>
      <protection locked="0"/>
    </xf>
    <xf numFmtId="4" fontId="59" fillId="0" borderId="0" xfId="25" applyNumberFormat="1" applyFont="1" applyAlignment="1" applyProtection="1">
      <alignment horizontal="left" vertical="center"/>
      <protection locked="0"/>
    </xf>
    <xf numFmtId="0" fontId="135" fillId="0" borderId="0" xfId="25" applyFont="1" applyAlignment="1" applyProtection="1">
      <alignment horizontal="center" vertical="center"/>
      <protection locked="0"/>
    </xf>
    <xf numFmtId="0" fontId="92" fillId="0" borderId="0" xfId="25" applyFont="1" applyAlignment="1" applyProtection="1">
      <alignment horizontal="left" vertical="top"/>
      <protection locked="0"/>
    </xf>
    <xf numFmtId="167" fontId="137" fillId="0" borderId="30" xfId="25" applyNumberFormat="1" applyFont="1" applyBorder="1" applyAlignment="1" applyProtection="1">
      <alignment horizontal="right"/>
      <protection locked="0"/>
    </xf>
    <xf numFmtId="37" fontId="8" fillId="0" borderId="41" xfId="24" applyNumberFormat="1" applyFont="1" applyBorder="1" applyAlignment="1" applyProtection="1">
      <alignment horizontal="right"/>
      <protection locked="0"/>
    </xf>
    <xf numFmtId="49" fontId="8" fillId="0" borderId="41" xfId="24" applyNumberFormat="1" applyFont="1" applyBorder="1" applyAlignment="1" applyProtection="1">
      <alignment horizontal="left" wrapText="1"/>
      <protection locked="0"/>
    </xf>
    <xf numFmtId="0" fontId="8" fillId="0" borderId="41" xfId="24" applyFont="1" applyBorder="1" applyAlignment="1" applyProtection="1">
      <alignment horizontal="left" wrapText="1"/>
      <protection locked="0"/>
    </xf>
    <xf numFmtId="0" fontId="8" fillId="0" borderId="0" xfId="24" applyFont="1" applyAlignment="1" applyProtection="1">
      <alignment wrapText="1"/>
      <protection locked="0"/>
    </xf>
    <xf numFmtId="171" fontId="8" fillId="0" borderId="41" xfId="24" applyNumberFormat="1" applyFont="1" applyBorder="1" applyAlignment="1" applyProtection="1">
      <alignment horizontal="right"/>
      <protection locked="0"/>
    </xf>
    <xf numFmtId="39" fontId="54" fillId="0" borderId="41" xfId="24" applyNumberFormat="1" applyFont="1" applyBorder="1" applyAlignment="1" applyProtection="1">
      <alignment horizontal="center"/>
      <protection locked="0"/>
    </xf>
    <xf numFmtId="0" fontId="60" fillId="0" borderId="0" xfId="24" applyFont="1" applyAlignment="1" applyProtection="1">
      <alignment horizontal="left" vertical="center"/>
      <protection locked="0"/>
    </xf>
    <xf numFmtId="37" fontId="54" fillId="0" borderId="0" xfId="24" applyNumberFormat="1" applyFont="1" applyAlignment="1" applyProtection="1">
      <alignment horizontal="right"/>
      <protection locked="0"/>
    </xf>
    <xf numFmtId="0" fontId="54" fillId="0" borderId="0" xfId="24" applyFont="1" applyAlignment="1" applyProtection="1">
      <alignment horizontal="left"/>
      <protection locked="0"/>
    </xf>
    <xf numFmtId="0" fontId="54" fillId="0" borderId="0" xfId="24" applyFont="1" applyAlignment="1" applyProtection="1">
      <alignment horizontal="left" wrapText="1"/>
      <protection locked="0"/>
    </xf>
    <xf numFmtId="0" fontId="57" fillId="0" borderId="0" xfId="24" applyFont="1" applyAlignment="1" applyProtection="1">
      <alignment horizontal="left" wrapText="1"/>
      <protection locked="0"/>
    </xf>
    <xf numFmtId="2" fontId="54" fillId="0" borderId="0" xfId="24" applyNumberFormat="1" applyFont="1" applyAlignment="1" applyProtection="1">
      <alignment horizontal="right"/>
      <protection locked="0"/>
    </xf>
    <xf numFmtId="39" fontId="54" fillId="0" borderId="0" xfId="24" applyNumberFormat="1" applyFont="1" applyAlignment="1" applyProtection="1">
      <alignment horizontal="right"/>
      <protection locked="0"/>
    </xf>
    <xf numFmtId="0" fontId="60" fillId="0" borderId="0" xfId="24" applyFont="1" applyAlignment="1" applyProtection="1">
      <alignment horizontal="right" vertical="center"/>
      <protection locked="0"/>
    </xf>
    <xf numFmtId="4" fontId="177" fillId="0" borderId="0" xfId="67" applyNumberFormat="1" applyFont="1" applyFill="1" applyAlignment="1">
      <alignment horizontal="left" vertical="center"/>
      <protection locked="0"/>
    </xf>
    <xf numFmtId="2" fontId="37" fillId="0" borderId="30" xfId="24" applyNumberFormat="1" applyFont="1" applyBorder="1" applyAlignment="1" applyProtection="1">
      <alignment horizontal="left" wrapText="1"/>
      <protection locked="0"/>
    </xf>
    <xf numFmtId="0" fontId="67" fillId="0" borderId="30" xfId="24" applyFont="1" applyBorder="1" applyAlignment="1" applyProtection="1">
      <alignment horizontal="left" vertical="top"/>
      <protection locked="0"/>
    </xf>
    <xf numFmtId="37" fontId="37" fillId="0" borderId="30" xfId="40" applyNumberFormat="1" applyFont="1" applyBorder="1" applyAlignment="1">
      <alignment horizontal="right"/>
      <protection locked="0"/>
    </xf>
    <xf numFmtId="0" fontId="37" fillId="0" borderId="30" xfId="40" applyFont="1" applyBorder="1" applyAlignment="1">
      <alignment horizontal="left" wrapText="1"/>
      <protection locked="0"/>
    </xf>
    <xf numFmtId="0" fontId="67" fillId="0" borderId="30" xfId="40" applyBorder="1" applyAlignment="1">
      <alignment horizontal="left" vertical="top"/>
      <protection locked="0"/>
    </xf>
    <xf numFmtId="0" fontId="60" fillId="0" borderId="0" xfId="40" applyFont="1" applyAlignment="1">
      <alignment horizontal="left" vertical="center"/>
      <protection locked="0"/>
    </xf>
    <xf numFmtId="37" fontId="54" fillId="0" borderId="0" xfId="40" applyNumberFormat="1" applyFont="1" applyAlignment="1">
      <alignment horizontal="right"/>
      <protection locked="0"/>
    </xf>
    <xf numFmtId="0" fontId="54" fillId="0" borderId="0" xfId="40" applyFont="1" applyAlignment="1">
      <alignment horizontal="left" wrapText="1"/>
      <protection locked="0"/>
    </xf>
    <xf numFmtId="0" fontId="57" fillId="0" borderId="0" xfId="40" applyFont="1" applyAlignment="1">
      <alignment horizontal="left" wrapText="1"/>
      <protection locked="0"/>
    </xf>
    <xf numFmtId="2" fontId="54" fillId="0" borderId="0" xfId="40" applyNumberFormat="1" applyFont="1" applyAlignment="1">
      <alignment horizontal="right"/>
      <protection locked="0"/>
    </xf>
    <xf numFmtId="39" fontId="54" fillId="0" borderId="0" xfId="40" applyNumberFormat="1" applyFont="1" applyAlignment="1">
      <alignment horizontal="right"/>
      <protection locked="0"/>
    </xf>
    <xf numFmtId="0" fontId="60" fillId="0" borderId="0" xfId="40" applyFont="1" applyAlignment="1">
      <alignment horizontal="right" vertical="center"/>
      <protection locked="0"/>
    </xf>
    <xf numFmtId="0" fontId="11" fillId="0" borderId="0" xfId="40" applyFont="1" applyAlignment="1">
      <alignment horizontal="left" vertical="top"/>
      <protection locked="0"/>
    </xf>
    <xf numFmtId="2" fontId="8" fillId="0" borderId="30" xfId="25" applyNumberFormat="1" applyFont="1" applyBorder="1" applyAlignment="1" applyProtection="1">
      <alignment horizontal="right"/>
      <protection locked="0"/>
    </xf>
    <xf numFmtId="0" fontId="67" fillId="0" borderId="0" xfId="25" applyFont="1" applyAlignment="1" applyProtection="1">
      <alignment horizontal="right" vertical="center"/>
      <protection locked="0"/>
    </xf>
    <xf numFmtId="0" fontId="67" fillId="0" borderId="0" xfId="25" applyFont="1" applyAlignment="1" applyProtection="1">
      <alignment horizontal="left" vertical="top"/>
      <protection locked="0"/>
    </xf>
    <xf numFmtId="0" fontId="134" fillId="0" borderId="30" xfId="25" applyFont="1" applyBorder="1" applyAlignment="1" applyProtection="1">
      <alignment horizontal="center" vertical="center" wrapText="1"/>
      <protection locked="0"/>
    </xf>
    <xf numFmtId="0" fontId="67" fillId="0" borderId="0" xfId="25" applyFont="1" applyAlignment="1" applyProtection="1">
      <alignment horizontal="left" vertical="center"/>
      <protection locked="0"/>
    </xf>
    <xf numFmtId="175" fontId="16" fillId="0" borderId="0" xfId="25" applyNumberFormat="1" applyFont="1" applyAlignment="1" applyProtection="1">
      <alignment horizontal="left"/>
      <protection locked="0"/>
    </xf>
    <xf numFmtId="0" fontId="37" fillId="0" borderId="0" xfId="25" applyFont="1" applyAlignment="1" applyProtection="1">
      <alignment horizontal="left"/>
      <protection locked="0"/>
    </xf>
    <xf numFmtId="167" fontId="66" fillId="0" borderId="30" xfId="25" applyNumberFormat="1" applyFont="1" applyBorder="1" applyAlignment="1" applyProtection="1">
      <alignment horizontal="right" wrapText="1"/>
      <protection locked="0"/>
    </xf>
    <xf numFmtId="0" fontId="30" fillId="0" borderId="0" xfId="40" applyFont="1" applyAlignment="1">
      <alignment horizontal="left" vertical="center"/>
      <protection locked="0"/>
    </xf>
    <xf numFmtId="39" fontId="8" fillId="0" borderId="30" xfId="40" applyNumberFormat="1" applyFont="1" applyBorder="1" applyAlignment="1">
      <alignment vertical="center"/>
      <protection locked="0"/>
    </xf>
    <xf numFmtId="0" fontId="92" fillId="0" borderId="0" xfId="40" applyFont="1" applyAlignment="1">
      <alignment horizontal="left" vertical="center"/>
      <protection locked="0"/>
    </xf>
    <xf numFmtId="0" fontId="63" fillId="0" borderId="0" xfId="61" applyFill="1" applyBorder="1" applyAlignment="1" applyProtection="1">
      <alignment horizontal="left" vertical="center"/>
      <protection locked="0"/>
    </xf>
    <xf numFmtId="0" fontId="83" fillId="0" borderId="30" xfId="3" applyFont="1" applyBorder="1" applyAlignment="1" applyProtection="1">
      <alignment horizontal="center" wrapText="1"/>
      <protection locked="0"/>
    </xf>
    <xf numFmtId="167" fontId="8" fillId="0" borderId="30" xfId="40" applyNumberFormat="1" applyFont="1" applyBorder="1" applyAlignment="1">
      <alignment horizontal="left" wrapText="1"/>
      <protection locked="0"/>
    </xf>
    <xf numFmtId="39" fontId="8" fillId="0" borderId="30" xfId="40" applyNumberFormat="1" applyFont="1" applyBorder="1" applyAlignment="1">
      <alignment horizontal="right" vertical="center"/>
      <protection locked="0"/>
    </xf>
    <xf numFmtId="167" fontId="28" fillId="0" borderId="30" xfId="40" applyNumberFormat="1" applyFont="1" applyBorder="1" applyAlignment="1">
      <alignment horizontal="left" wrapText="1"/>
      <protection locked="0"/>
    </xf>
    <xf numFmtId="49" fontId="8" fillId="0" borderId="30" xfId="49" applyNumberFormat="1" applyFont="1" applyBorder="1" applyAlignment="1" applyProtection="1">
      <alignment horizontal="right" wrapText="1"/>
      <protection locked="0"/>
    </xf>
    <xf numFmtId="39" fontId="8" fillId="0" borderId="30" xfId="49" applyNumberFormat="1" applyFont="1" applyBorder="1" applyAlignment="1" applyProtection="1">
      <alignment horizontal="center"/>
      <protection locked="0"/>
    </xf>
    <xf numFmtId="0" fontId="178" fillId="0" borderId="0" xfId="49" applyFont="1" applyAlignment="1" applyProtection="1">
      <alignment vertical="top" wrapText="1"/>
      <protection locked="0"/>
    </xf>
    <xf numFmtId="0" fontId="178" fillId="0" borderId="0" xfId="49" applyFont="1" applyAlignment="1" applyProtection="1">
      <alignment vertical="top"/>
      <protection locked="0"/>
    </xf>
    <xf numFmtId="0" fontId="28" fillId="0" borderId="0" xfId="49" applyFont="1" applyAlignment="1" applyProtection="1">
      <alignment horizontal="left" wrapText="1"/>
      <protection locked="0"/>
    </xf>
    <xf numFmtId="0" fontId="8" fillId="0" borderId="0" xfId="49" applyFont="1" applyAlignment="1" applyProtection="1">
      <alignment horizontal="left" wrapText="1"/>
      <protection locked="0"/>
    </xf>
    <xf numFmtId="2" fontId="8" fillId="0" borderId="0" xfId="49" applyNumberFormat="1" applyFont="1" applyAlignment="1" applyProtection="1">
      <alignment horizontal="right"/>
      <protection locked="0"/>
    </xf>
    <xf numFmtId="39" fontId="8" fillId="0" borderId="0" xfId="49" applyNumberFormat="1" applyFont="1" applyAlignment="1" applyProtection="1">
      <alignment horizontal="right"/>
      <protection locked="0"/>
    </xf>
    <xf numFmtId="39" fontId="8" fillId="0" borderId="0" xfId="49" applyNumberFormat="1" applyFont="1" applyAlignment="1" applyProtection="1">
      <alignment horizontal="center"/>
      <protection locked="0"/>
    </xf>
    <xf numFmtId="0" fontId="93" fillId="0" borderId="0" xfId="49" applyFont="1" applyAlignment="1" applyProtection="1">
      <alignment horizontal="left" vertical="center" textRotation="90" wrapText="1"/>
      <protection locked="0"/>
    </xf>
    <xf numFmtId="37" fontId="66" fillId="0" borderId="30" xfId="49" applyNumberFormat="1" applyFont="1" applyBorder="1" applyAlignment="1" applyProtection="1">
      <alignment horizontal="right"/>
      <protection locked="0"/>
    </xf>
    <xf numFmtId="49" fontId="66" fillId="0" borderId="30" xfId="49" applyNumberFormat="1" applyFont="1" applyBorder="1" applyAlignment="1" applyProtection="1">
      <alignment horizontal="left" wrapText="1"/>
      <protection locked="0"/>
    </xf>
    <xf numFmtId="0" fontId="66" fillId="0" borderId="30" xfId="49" applyFont="1" applyBorder="1" applyAlignment="1" applyProtection="1">
      <alignment horizontal="left" wrapText="1"/>
      <protection locked="0"/>
    </xf>
    <xf numFmtId="4" fontId="8" fillId="0" borderId="30" xfId="49" applyNumberFormat="1" applyFont="1" applyBorder="1" applyAlignment="1" applyProtection="1">
      <alignment horizontal="right"/>
      <protection locked="0"/>
    </xf>
    <xf numFmtId="0" fontId="38" fillId="0" borderId="30" xfId="49" applyBorder="1" applyAlignment="1" applyProtection="1">
      <alignment horizontal="left" vertical="top"/>
      <protection locked="0"/>
    </xf>
    <xf numFmtId="4" fontId="28" fillId="5" borderId="30" xfId="49" applyNumberFormat="1" applyFont="1" applyFill="1" applyBorder="1" applyAlignment="1" applyProtection="1">
      <alignment horizontal="right"/>
      <protection locked="0"/>
    </xf>
    <xf numFmtId="39" fontId="72" fillId="0" borderId="30" xfId="49" applyNumberFormat="1" applyFont="1" applyBorder="1" applyAlignment="1" applyProtection="1">
      <alignment horizontal="center"/>
      <protection locked="0"/>
    </xf>
    <xf numFmtId="0" fontId="11" fillId="0" borderId="0" xfId="49" applyFont="1" applyAlignment="1" applyProtection="1">
      <alignment horizontal="left" vertical="center"/>
      <protection locked="0"/>
    </xf>
    <xf numFmtId="37" fontId="72" fillId="0" borderId="30" xfId="28" applyNumberFormat="1" applyFont="1" applyBorder="1" applyAlignment="1">
      <alignment horizontal="right"/>
      <protection locked="0"/>
    </xf>
    <xf numFmtId="2" fontId="8" fillId="0" borderId="30" xfId="40" applyNumberFormat="1" applyFont="1" applyBorder="1" applyAlignment="1">
      <alignment horizontal="right"/>
      <protection locked="0"/>
    </xf>
    <xf numFmtId="0" fontId="37" fillId="0" borderId="30" xfId="26" applyFont="1" applyBorder="1" applyAlignment="1" applyProtection="1">
      <alignment horizontal="left" wrapText="1"/>
      <protection locked="0"/>
    </xf>
    <xf numFmtId="39" fontId="8" fillId="0" borderId="30" xfId="26" applyNumberFormat="1" applyFont="1" applyBorder="1" applyAlignment="1" applyProtection="1">
      <alignment horizontal="right"/>
      <protection locked="0"/>
    </xf>
    <xf numFmtId="2" fontId="83" fillId="0" borderId="0" xfId="28" applyNumberFormat="1" applyFont="1" applyAlignment="1">
      <alignment horizontal="left" vertical="center"/>
      <protection locked="0"/>
    </xf>
    <xf numFmtId="0" fontId="109" fillId="0" borderId="0" xfId="26" applyFont="1" applyAlignment="1" applyProtection="1">
      <alignment horizontal="left" vertical="center"/>
      <protection locked="0"/>
    </xf>
    <xf numFmtId="37" fontId="72" fillId="0" borderId="30" xfId="68" applyNumberFormat="1" applyFont="1" applyBorder="1" applyAlignment="1">
      <alignment horizontal="right"/>
      <protection locked="0"/>
    </xf>
    <xf numFmtId="49" fontId="66" fillId="0" borderId="30" xfId="68" applyNumberFormat="1" applyFont="1" applyBorder="1" applyAlignment="1">
      <alignment horizontal="left" wrapText="1"/>
      <protection locked="0"/>
    </xf>
    <xf numFmtId="0" fontId="72" fillId="0" borderId="30" xfId="68" applyFont="1" applyBorder="1" applyAlignment="1">
      <alignment horizontal="left" wrapText="1"/>
      <protection locked="0"/>
    </xf>
    <xf numFmtId="167" fontId="28" fillId="0" borderId="30" xfId="68" applyNumberFormat="1" applyFont="1" applyBorder="1" applyAlignment="1">
      <alignment horizontal="right" wrapText="1"/>
      <protection locked="0"/>
    </xf>
    <xf numFmtId="4" fontId="28" fillId="5" borderId="30" xfId="68" applyNumberFormat="1" applyFont="1" applyFill="1" applyBorder="1" applyAlignment="1">
      <alignment horizontal="right"/>
      <protection locked="0"/>
    </xf>
    <xf numFmtId="0" fontId="84" fillId="0" borderId="0" xfId="68" applyFont="1" applyAlignment="1">
      <alignment horizontal="left" vertical="top"/>
      <protection locked="0"/>
    </xf>
    <xf numFmtId="0" fontId="28" fillId="0" borderId="30" xfId="68" applyFont="1" applyBorder="1" applyAlignment="1">
      <alignment horizontal="left" vertical="center" wrapText="1"/>
      <protection locked="0"/>
    </xf>
    <xf numFmtId="0" fontId="70" fillId="0" borderId="30" xfId="28" applyFont="1" applyBorder="1" applyAlignment="1">
      <alignment horizontal="right" vertical="center"/>
      <protection locked="0"/>
    </xf>
    <xf numFmtId="0" fontId="10" fillId="0" borderId="0" xfId="28" applyFont="1" applyAlignment="1">
      <alignment horizontal="left" vertical="top"/>
      <protection locked="0"/>
    </xf>
    <xf numFmtId="2" fontId="8" fillId="0" borderId="30" xfId="40" applyNumberFormat="1" applyFont="1" applyBorder="1" applyAlignment="1">
      <alignment horizontal="right" wrapText="1"/>
      <protection locked="0"/>
    </xf>
    <xf numFmtId="1" fontId="37" fillId="0" borderId="30" xfId="25" applyNumberFormat="1" applyFont="1" applyBorder="1" applyAlignment="1" applyProtection="1">
      <alignment horizontal="right"/>
      <protection locked="0"/>
    </xf>
    <xf numFmtId="169" fontId="37" fillId="0" borderId="30" xfId="25" applyNumberFormat="1" applyFont="1" applyBorder="1" applyAlignment="1" applyProtection="1">
      <alignment horizontal="right"/>
      <protection locked="0"/>
    </xf>
    <xf numFmtId="0" fontId="179" fillId="0" borderId="0" xfId="25" applyFont="1" applyAlignment="1" applyProtection="1">
      <alignment horizontal="left" vertical="top"/>
      <protection locked="0"/>
    </xf>
    <xf numFmtId="39" fontId="8" fillId="0" borderId="30" xfId="12" applyNumberFormat="1" applyFont="1" applyBorder="1" applyAlignment="1">
      <alignment horizontal="center"/>
      <protection locked="0"/>
    </xf>
    <xf numFmtId="0" fontId="16" fillId="0" borderId="0" xfId="45" applyFont="1" applyAlignment="1">
      <alignment horizontal="right"/>
      <protection locked="0"/>
    </xf>
    <xf numFmtId="0" fontId="10" fillId="0" borderId="30" xfId="25" applyFont="1" applyBorder="1" applyAlignment="1" applyProtection="1">
      <alignment horizontal="left" wrapText="1"/>
      <protection locked="0"/>
    </xf>
    <xf numFmtId="37" fontId="37" fillId="0" borderId="30" xfId="64" applyNumberFormat="1" applyFont="1" applyBorder="1" applyAlignment="1" applyProtection="1">
      <alignment horizontal="right"/>
      <protection locked="0"/>
    </xf>
    <xf numFmtId="0" fontId="37" fillId="0" borderId="30" xfId="64" applyFont="1" applyBorder="1" applyAlignment="1" applyProtection="1">
      <alignment horizontal="left" wrapText="1"/>
      <protection locked="0"/>
    </xf>
    <xf numFmtId="167" fontId="37" fillId="0" borderId="30" xfId="64" applyNumberFormat="1" applyFont="1" applyBorder="1" applyAlignment="1" applyProtection="1">
      <alignment horizontal="right"/>
      <protection locked="0"/>
    </xf>
    <xf numFmtId="39" fontId="37" fillId="0" borderId="30" xfId="64" applyNumberFormat="1" applyFont="1" applyBorder="1" applyAlignment="1" applyProtection="1">
      <alignment horizontal="right"/>
      <protection locked="0"/>
    </xf>
    <xf numFmtId="0" fontId="10" fillId="0" borderId="30" xfId="64" applyBorder="1" applyAlignment="1" applyProtection="1">
      <alignment horizontal="left" vertical="top"/>
      <protection locked="0"/>
    </xf>
    <xf numFmtId="0" fontId="10" fillId="0" borderId="0" xfId="64" applyAlignment="1" applyProtection="1">
      <alignment horizontal="left" vertical="top"/>
      <protection locked="0"/>
    </xf>
    <xf numFmtId="0" fontId="109" fillId="0" borderId="0" xfId="64" applyFont="1" applyAlignment="1" applyProtection="1">
      <alignment horizontal="left" vertical="top"/>
      <protection locked="0"/>
    </xf>
    <xf numFmtId="37" fontId="8" fillId="0" borderId="30" xfId="12" applyNumberFormat="1" applyFont="1" applyBorder="1" applyAlignment="1">
      <alignment horizontal="right"/>
      <protection locked="0"/>
    </xf>
    <xf numFmtId="0" fontId="8" fillId="0" borderId="30" xfId="12" applyFont="1" applyBorder="1" applyAlignment="1">
      <alignment horizontal="left" wrapText="1"/>
      <protection locked="0"/>
    </xf>
    <xf numFmtId="4" fontId="8" fillId="0" borderId="30" xfId="12" applyNumberFormat="1" applyFont="1" applyBorder="1" applyAlignment="1">
      <alignment horizontal="right"/>
      <protection locked="0"/>
    </xf>
    <xf numFmtId="0" fontId="32" fillId="0" borderId="0" xfId="40" applyFont="1" applyAlignment="1">
      <alignment horizontal="left" vertical="top"/>
      <protection locked="0"/>
    </xf>
    <xf numFmtId="0" fontId="11" fillId="0" borderId="0" xfId="12" applyAlignment="1">
      <alignment horizontal="left" vertical="top"/>
      <protection locked="0"/>
    </xf>
    <xf numFmtId="0" fontId="180" fillId="0" borderId="0" xfId="40" applyFont="1" applyAlignment="1">
      <alignment horizontal="left" vertical="center" wrapText="1"/>
      <protection locked="0"/>
    </xf>
    <xf numFmtId="0" fontId="43" fillId="0" borderId="0" xfId="3" applyFont="1" applyAlignment="1">
      <alignment horizontal="left" vertical="center"/>
    </xf>
    <xf numFmtId="37" fontId="86" fillId="0" borderId="0" xfId="65" applyNumberFormat="1" applyFont="1" applyAlignment="1">
      <alignment horizontal="right"/>
    </xf>
    <xf numFmtId="0" fontId="86" fillId="0" borderId="0" xfId="65" applyFont="1" applyAlignment="1">
      <alignment horizontal="left" wrapText="1"/>
    </xf>
    <xf numFmtId="167" fontId="86" fillId="0" borderId="0" xfId="65" applyNumberFormat="1" applyFont="1" applyAlignment="1">
      <alignment horizontal="right"/>
    </xf>
    <xf numFmtId="39" fontId="86" fillId="0" borderId="0" xfId="65" applyNumberFormat="1" applyFont="1" applyAlignment="1">
      <alignment horizontal="right"/>
    </xf>
    <xf numFmtId="37" fontId="8" fillId="0" borderId="21" xfId="65" applyNumberFormat="1" applyFont="1" applyBorder="1" applyAlignment="1">
      <alignment horizontal="right"/>
    </xf>
    <xf numFmtId="0" fontId="8" fillId="0" borderId="21" xfId="65" applyFont="1" applyBorder="1" applyAlignment="1">
      <alignment horizontal="left" wrapText="1"/>
    </xf>
    <xf numFmtId="0" fontId="8" fillId="0" borderId="21" xfId="65" applyFont="1" applyBorder="1" applyAlignment="1">
      <alignment horizontal="center" wrapText="1"/>
    </xf>
    <xf numFmtId="167" fontId="8" fillId="0" borderId="21" xfId="65" applyNumberFormat="1" applyFont="1" applyBorder="1" applyAlignment="1">
      <alignment horizontal="right"/>
    </xf>
    <xf numFmtId="39" fontId="8" fillId="0" borderId="21" xfId="65" applyNumberFormat="1" applyFont="1" applyBorder="1" applyAlignment="1">
      <alignment horizontal="right"/>
    </xf>
    <xf numFmtId="0" fontId="87" fillId="0" borderId="0" xfId="65" applyFont="1" applyAlignment="1">
      <alignment horizontal="left" vertical="top"/>
    </xf>
    <xf numFmtId="0" fontId="37" fillId="0" borderId="32" xfId="64" applyFont="1" applyBorder="1" applyAlignment="1" applyProtection="1">
      <alignment horizontal="left"/>
      <protection locked="0"/>
    </xf>
    <xf numFmtId="0" fontId="66" fillId="0" borderId="33" xfId="65" applyFont="1" applyBorder="1" applyAlignment="1">
      <alignment horizontal="center"/>
    </xf>
    <xf numFmtId="167" fontId="66" fillId="0" borderId="33" xfId="65" applyNumberFormat="1" applyFont="1" applyBorder="1" applyAlignment="1">
      <alignment horizontal="right"/>
    </xf>
    <xf numFmtId="39" fontId="8" fillId="0" borderId="33" xfId="65" applyNumberFormat="1" applyFont="1" applyBorder="1" applyAlignment="1">
      <alignment horizontal="right"/>
    </xf>
    <xf numFmtId="39" fontId="48" fillId="0" borderId="0" xfId="65" applyNumberFormat="1" applyFont="1" applyAlignment="1">
      <alignment horizontal="center"/>
    </xf>
    <xf numFmtId="37" fontId="66" fillId="0" borderId="0" xfId="65" applyNumberFormat="1" applyFont="1" applyAlignment="1">
      <alignment horizontal="right"/>
    </xf>
    <xf numFmtId="0" fontId="66" fillId="0" borderId="0" xfId="65" applyFont="1" applyAlignment="1">
      <alignment horizontal="left" wrapText="1"/>
    </xf>
    <xf numFmtId="0" fontId="8" fillId="0" borderId="0" xfId="65" applyFont="1" applyAlignment="1">
      <alignment horizontal="left" wrapText="1"/>
    </xf>
    <xf numFmtId="0" fontId="66" fillId="0" borderId="0" xfId="65" applyFont="1" applyAlignment="1">
      <alignment horizontal="center" wrapText="1"/>
    </xf>
    <xf numFmtId="167" fontId="66" fillId="0" borderId="0" xfId="65" applyNumberFormat="1" applyFont="1" applyAlignment="1">
      <alignment horizontal="right"/>
    </xf>
    <xf numFmtId="39" fontId="66" fillId="0" borderId="0" xfId="65" applyNumberFormat="1" applyFont="1" applyAlignment="1">
      <alignment horizontal="right"/>
    </xf>
    <xf numFmtId="39" fontId="8" fillId="0" borderId="0" xfId="65" applyNumberFormat="1" applyFont="1" applyAlignment="1">
      <alignment horizontal="right"/>
    </xf>
    <xf numFmtId="167" fontId="9" fillId="0" borderId="0" xfId="16" applyNumberFormat="1" applyFont="1" applyAlignment="1">
      <alignment vertical="center"/>
    </xf>
    <xf numFmtId="0" fontId="67" fillId="0" borderId="0" xfId="40" applyAlignment="1" applyProtection="1"/>
    <xf numFmtId="0" fontId="67" fillId="0" borderId="0" xfId="40" applyAlignment="1" applyProtection="1">
      <alignment horizontal="left" vertical="top"/>
    </xf>
    <xf numFmtId="167" fontId="7" fillId="0" borderId="0" xfId="65" applyNumberFormat="1"/>
    <xf numFmtId="2" fontId="37" fillId="0" borderId="37" xfId="65" applyNumberFormat="1" applyFont="1" applyBorder="1" applyAlignment="1" applyProtection="1">
      <alignment horizontal="right"/>
      <protection locked="0"/>
    </xf>
    <xf numFmtId="2" fontId="37" fillId="0" borderId="30" xfId="25" applyNumberFormat="1" applyFont="1" applyBorder="1" applyAlignment="1" applyProtection="1">
      <alignment horizontal="right"/>
      <protection locked="0"/>
    </xf>
    <xf numFmtId="37" fontId="8" fillId="0" borderId="30" xfId="64" applyNumberFormat="1" applyFont="1" applyBorder="1" applyAlignment="1" applyProtection="1">
      <alignment horizontal="right"/>
      <protection locked="0"/>
    </xf>
    <xf numFmtId="0" fontId="8" fillId="0" borderId="30" xfId="64" applyFont="1" applyBorder="1" applyAlignment="1" applyProtection="1">
      <alignment horizontal="left" wrapText="1"/>
      <protection locked="0"/>
    </xf>
    <xf numFmtId="39" fontId="8" fillId="0" borderId="30" xfId="64" applyNumberFormat="1" applyFont="1" applyBorder="1" applyAlignment="1" applyProtection="1">
      <alignment horizontal="right"/>
      <protection locked="0"/>
    </xf>
    <xf numFmtId="0" fontId="109" fillId="0" borderId="0" xfId="64" applyFont="1" applyAlignment="1" applyProtection="1">
      <alignment vertical="top"/>
      <protection locked="0"/>
    </xf>
    <xf numFmtId="37" fontId="8" fillId="0" borderId="30" xfId="47" applyNumberFormat="1" applyFont="1" applyBorder="1" applyAlignment="1">
      <alignment horizontal="right"/>
      <protection locked="0"/>
    </xf>
    <xf numFmtId="49" fontId="8" fillId="0" borderId="30" xfId="64" applyNumberFormat="1" applyFont="1" applyBorder="1" applyAlignment="1" applyProtection="1">
      <alignment horizontal="left" wrapText="1"/>
      <protection locked="0"/>
    </xf>
    <xf numFmtId="0" fontId="182" fillId="0" borderId="0" xfId="47" applyFont="1" applyAlignment="1">
      <alignment horizontal="left" vertical="top"/>
      <protection locked="0"/>
    </xf>
    <xf numFmtId="0" fontId="28" fillId="0" borderId="30" xfId="25" applyFont="1" applyBorder="1" applyAlignment="1" applyProtection="1">
      <alignment horizontal="left" vertical="center" wrapText="1"/>
      <protection locked="0"/>
    </xf>
    <xf numFmtId="0" fontId="90" fillId="0" borderId="0" xfId="33" applyFont="1" applyFill="1" applyAlignment="1" applyProtection="1">
      <alignment horizontal="left" vertical="center"/>
      <protection locked="0"/>
    </xf>
    <xf numFmtId="0" fontId="90" fillId="0" borderId="0" xfId="33" applyFont="1" applyFill="1" applyAlignment="1" applyProtection="1">
      <alignment horizontal="left" vertical="top"/>
      <protection locked="0"/>
    </xf>
    <xf numFmtId="0" fontId="10" fillId="0" borderId="0" xfId="33" applyFont="1" applyFill="1" applyAlignment="1" applyProtection="1">
      <alignment horizontal="right" vertical="top"/>
      <protection locked="0"/>
    </xf>
    <xf numFmtId="170" fontId="86" fillId="0" borderId="0" xfId="65" applyNumberFormat="1" applyFont="1" applyAlignment="1">
      <alignment horizontal="right"/>
    </xf>
    <xf numFmtId="170" fontId="8" fillId="0" borderId="21" xfId="65" applyNumberFormat="1" applyFont="1" applyBorder="1" applyAlignment="1">
      <alignment horizontal="right"/>
    </xf>
    <xf numFmtId="170" fontId="66" fillId="0" borderId="33" xfId="65" applyNumberFormat="1" applyFont="1" applyBorder="1" applyAlignment="1">
      <alignment horizontal="right"/>
    </xf>
    <xf numFmtId="170" fontId="66" fillId="0" borderId="0" xfId="65" applyNumberFormat="1" applyFont="1" applyAlignment="1">
      <alignment horizontal="right"/>
    </xf>
    <xf numFmtId="3" fontId="45" fillId="0" borderId="31" xfId="65" applyNumberFormat="1" applyFont="1" applyBorder="1" applyAlignment="1">
      <alignment horizontal="center" vertical="center" wrapText="1"/>
    </xf>
    <xf numFmtId="39" fontId="37" fillId="0" borderId="30" xfId="45" applyNumberFormat="1" applyFont="1" applyBorder="1" applyAlignment="1">
      <alignment horizontal="right"/>
      <protection locked="0"/>
    </xf>
    <xf numFmtId="0" fontId="52" fillId="0" borderId="0" xfId="45" applyFont="1" applyAlignment="1" applyProtection="1"/>
    <xf numFmtId="1" fontId="8" fillId="0" borderId="30" xfId="25" applyNumberFormat="1" applyFont="1" applyBorder="1" applyAlignment="1" applyProtection="1">
      <alignment horizontal="right"/>
      <protection locked="0"/>
    </xf>
    <xf numFmtId="0" fontId="39" fillId="0" borderId="0" xfId="25" applyFont="1" applyAlignment="1" applyProtection="1">
      <alignment horizontal="left" vertical="center"/>
      <protection locked="0"/>
    </xf>
    <xf numFmtId="4" fontId="186" fillId="0" borderId="30" xfId="25" applyNumberFormat="1" applyFont="1" applyBorder="1" applyAlignment="1" applyProtection="1">
      <alignment horizontal="right"/>
      <protection locked="0"/>
    </xf>
    <xf numFmtId="39" fontId="8" fillId="0" borderId="0" xfId="25" applyNumberFormat="1" applyFont="1" applyAlignment="1" applyProtection="1">
      <alignment horizontal="left"/>
      <protection locked="0"/>
    </xf>
    <xf numFmtId="1" fontId="54" fillId="0" borderId="30" xfId="25" applyNumberFormat="1" applyFont="1" applyBorder="1" applyAlignment="1" applyProtection="1">
      <alignment horizontal="right"/>
      <protection locked="0"/>
    </xf>
    <xf numFmtId="4" fontId="54" fillId="0" borderId="30" xfId="25" applyNumberFormat="1" applyFont="1" applyBorder="1" applyAlignment="1" applyProtection="1">
      <alignment horizontal="right"/>
      <protection locked="0"/>
    </xf>
    <xf numFmtId="0" fontId="187" fillId="0" borderId="0" xfId="25" applyFont="1" applyAlignment="1" applyProtection="1">
      <alignment horizontal="left" vertical="center"/>
      <protection locked="0"/>
    </xf>
    <xf numFmtId="0" fontId="188" fillId="0" borderId="0" xfId="25" applyFont="1" applyAlignment="1" applyProtection="1">
      <alignment horizontal="left" vertical="top"/>
      <protection locked="0"/>
    </xf>
    <xf numFmtId="0" fontId="55" fillId="0" borderId="0" xfId="25" applyFont="1" applyAlignment="1" applyProtection="1">
      <alignment horizontal="left" vertical="top"/>
      <protection locked="0"/>
    </xf>
    <xf numFmtId="49" fontId="54" fillId="0" borderId="30" xfId="25" applyNumberFormat="1" applyFont="1" applyBorder="1" applyAlignment="1" applyProtection="1">
      <alignment horizontal="right" wrapText="1"/>
      <protection locked="0"/>
    </xf>
    <xf numFmtId="4" fontId="189" fillId="0" borderId="30" xfId="25" applyNumberFormat="1" applyFont="1" applyBorder="1" applyAlignment="1" applyProtection="1">
      <alignment horizontal="right"/>
      <protection locked="0"/>
    </xf>
    <xf numFmtId="37" fontId="54" fillId="0" borderId="30" xfId="44" applyNumberFormat="1" applyFont="1" applyBorder="1" applyAlignment="1">
      <alignment horizontal="right"/>
      <protection locked="0"/>
    </xf>
    <xf numFmtId="0" fontId="54" fillId="0" borderId="30" xfId="44" applyFont="1" applyBorder="1" applyAlignment="1">
      <alignment horizontal="left" wrapText="1"/>
      <protection locked="0"/>
    </xf>
    <xf numFmtId="0" fontId="57" fillId="0" borderId="30" xfId="44" applyFont="1" applyBorder="1" applyAlignment="1">
      <alignment horizontal="left" wrapText="1"/>
      <protection locked="0"/>
    </xf>
    <xf numFmtId="39" fontId="57" fillId="0" borderId="30" xfId="44" applyNumberFormat="1" applyFont="1" applyBorder="1" applyAlignment="1">
      <alignment horizontal="right"/>
      <protection locked="0"/>
    </xf>
    <xf numFmtId="39" fontId="54" fillId="0" borderId="30" xfId="44" applyNumberFormat="1" applyFont="1" applyBorder="1" applyAlignment="1">
      <alignment horizontal="center"/>
      <protection locked="0"/>
    </xf>
    <xf numFmtId="0" fontId="190" fillId="0" borderId="0" xfId="40" applyFont="1" applyAlignment="1">
      <alignment horizontal="left" vertical="center"/>
      <protection locked="0"/>
    </xf>
    <xf numFmtId="0" fontId="191" fillId="0" borderId="0" xfId="26" applyFont="1" applyAlignment="1" applyProtection="1">
      <alignment horizontal="left" vertical="center"/>
      <protection locked="0"/>
    </xf>
    <xf numFmtId="0" fontId="60" fillId="0" borderId="0" xfId="40" applyFont="1" applyAlignment="1">
      <alignment horizontal="left" vertical="top"/>
      <protection locked="0"/>
    </xf>
    <xf numFmtId="0" fontId="192" fillId="0" borderId="0" xfId="45" applyFont="1" applyAlignment="1">
      <alignment horizontal="left" vertical="top"/>
      <protection locked="0"/>
    </xf>
    <xf numFmtId="37" fontId="8" fillId="0" borderId="30" xfId="69" applyNumberFormat="1" applyFont="1" applyBorder="1" applyAlignment="1" applyProtection="1">
      <alignment horizontal="right"/>
      <protection locked="0"/>
    </xf>
    <xf numFmtId="49" fontId="8" fillId="0" borderId="30" xfId="69" applyNumberFormat="1" applyFont="1" applyBorder="1" applyAlignment="1" applyProtection="1">
      <alignment horizontal="left" wrapText="1"/>
      <protection locked="0"/>
    </xf>
    <xf numFmtId="0" fontId="37" fillId="0" borderId="30" xfId="69" applyFont="1" applyBorder="1" applyAlignment="1" applyProtection="1">
      <alignment horizontal="left" wrapText="1"/>
      <protection locked="0"/>
    </xf>
    <xf numFmtId="4" fontId="8" fillId="0" borderId="30" xfId="69" applyNumberFormat="1" applyFont="1" applyBorder="1" applyAlignment="1" applyProtection="1">
      <alignment horizontal="right"/>
      <protection locked="0"/>
    </xf>
    <xf numFmtId="39" fontId="8" fillId="0" borderId="30" xfId="69" applyNumberFormat="1" applyFont="1" applyBorder="1" applyAlignment="1" applyProtection="1">
      <alignment horizontal="center"/>
      <protection locked="0"/>
    </xf>
    <xf numFmtId="0" fontId="10" fillId="0" borderId="0" xfId="69"/>
    <xf numFmtId="0" fontId="10" fillId="0" borderId="0" xfId="69" applyAlignment="1" applyProtection="1">
      <alignment horizontal="left" vertical="top"/>
      <protection locked="0"/>
    </xf>
    <xf numFmtId="37" fontId="66" fillId="0" borderId="30" xfId="25" applyNumberFormat="1" applyFont="1" applyBorder="1" applyAlignment="1" applyProtection="1">
      <alignment horizontal="right"/>
      <protection locked="0"/>
    </xf>
    <xf numFmtId="1" fontId="72" fillId="0" borderId="30" xfId="25" applyNumberFormat="1" applyFont="1" applyBorder="1" applyAlignment="1" applyProtection="1">
      <alignment horizontal="right"/>
      <protection locked="0"/>
    </xf>
    <xf numFmtId="37" fontId="28" fillId="0" borderId="30" xfId="25" applyNumberFormat="1" applyFont="1" applyBorder="1" applyAlignment="1" applyProtection="1">
      <alignment horizontal="right"/>
      <protection locked="0"/>
    </xf>
    <xf numFmtId="167" fontId="8" fillId="0" borderId="30" xfId="25" applyNumberFormat="1" applyFont="1" applyBorder="1" applyAlignment="1" applyProtection="1">
      <alignment horizontal="left" wrapText="1"/>
      <protection locked="0"/>
    </xf>
    <xf numFmtId="4" fontId="8" fillId="7" borderId="30" xfId="25" applyNumberFormat="1" applyFont="1" applyFill="1" applyBorder="1" applyAlignment="1" applyProtection="1">
      <alignment horizontal="right"/>
      <protection locked="0"/>
    </xf>
    <xf numFmtId="0" fontId="82" fillId="0" borderId="0" xfId="45" applyFont="1" applyAlignment="1">
      <alignment horizontal="left" vertical="top"/>
      <protection locked="0"/>
    </xf>
    <xf numFmtId="0" fontId="80" fillId="0" borderId="0" xfId="45" applyFont="1" applyAlignment="1">
      <alignment horizontal="left" vertical="top"/>
      <protection locked="0"/>
    </xf>
    <xf numFmtId="0" fontId="80" fillId="0" borderId="0" xfId="45" applyFont="1" applyAlignment="1" applyProtection="1"/>
    <xf numFmtId="0" fontId="109" fillId="0" borderId="0" xfId="45" applyFont="1" applyAlignment="1">
      <alignment horizontal="left" vertical="top"/>
      <protection locked="0"/>
    </xf>
    <xf numFmtId="0" fontId="109" fillId="0" borderId="0" xfId="45" applyFont="1" applyAlignment="1" applyProtection="1"/>
    <xf numFmtId="0" fontId="10" fillId="0" borderId="0" xfId="45" applyFont="1" applyAlignment="1">
      <alignment horizontal="left" vertical="center"/>
      <protection locked="0"/>
    </xf>
    <xf numFmtId="0" fontId="10" fillId="0" borderId="0" xfId="45" applyFont="1" applyAlignment="1">
      <alignment horizontal="left" vertical="top"/>
      <protection locked="0"/>
    </xf>
    <xf numFmtId="0" fontId="10" fillId="0" borderId="0" xfId="45" applyFont="1" applyAlignment="1" applyProtection="1"/>
    <xf numFmtId="0" fontId="10" fillId="0" borderId="0" xfId="45" applyFont="1" applyAlignment="1" applyProtection="1">
      <alignment vertical="center"/>
    </xf>
    <xf numFmtId="0" fontId="31" fillId="0" borderId="0" xfId="45" applyAlignment="1" applyProtection="1">
      <alignment vertical="center"/>
    </xf>
    <xf numFmtId="0" fontId="67" fillId="0" borderId="0" xfId="45" applyFont="1" applyAlignment="1" applyProtection="1">
      <alignment vertical="center"/>
    </xf>
    <xf numFmtId="1" fontId="72" fillId="0" borderId="30" xfId="49" applyNumberFormat="1" applyFont="1" applyBorder="1" applyAlignment="1" applyProtection="1">
      <alignment horizontal="right"/>
      <protection locked="0"/>
    </xf>
    <xf numFmtId="0" fontId="72" fillId="0" borderId="30" xfId="49" applyFont="1" applyBorder="1" applyAlignment="1" applyProtection="1">
      <alignment horizontal="left" wrapText="1"/>
      <protection locked="0"/>
    </xf>
    <xf numFmtId="37" fontId="72" fillId="0" borderId="30" xfId="59" applyNumberFormat="1" applyFont="1" applyBorder="1" applyAlignment="1" applyProtection="1">
      <alignment horizontal="right"/>
      <protection locked="0"/>
    </xf>
    <xf numFmtId="49" fontId="66" fillId="0" borderId="30" xfId="59" applyNumberFormat="1" applyFont="1" applyBorder="1" applyAlignment="1" applyProtection="1">
      <alignment horizontal="left" wrapText="1"/>
      <protection locked="0"/>
    </xf>
    <xf numFmtId="0" fontId="72" fillId="0" borderId="30" xfId="59" applyFont="1" applyBorder="1" applyAlignment="1" applyProtection="1">
      <alignment horizontal="left" wrapText="1"/>
      <protection locked="0"/>
    </xf>
    <xf numFmtId="167" fontId="28" fillId="0" borderId="30" xfId="59" applyNumberFormat="1" applyFont="1" applyBorder="1" applyAlignment="1" applyProtection="1">
      <alignment horizontal="right" wrapText="1"/>
      <protection locked="0"/>
    </xf>
    <xf numFmtId="0" fontId="84" fillId="0" borderId="0" xfId="59" applyFont="1" applyAlignment="1" applyProtection="1">
      <alignment horizontal="left" vertical="top"/>
      <protection locked="0"/>
    </xf>
    <xf numFmtId="0" fontId="70" fillId="0" borderId="30" xfId="45" applyFont="1" applyBorder="1" applyAlignment="1">
      <alignment horizontal="right" vertical="center"/>
      <protection locked="0"/>
    </xf>
    <xf numFmtId="2" fontId="70" fillId="0" borderId="0" xfId="45" applyNumberFormat="1" applyFont="1" applyAlignment="1">
      <alignment vertical="center"/>
      <protection locked="0"/>
    </xf>
    <xf numFmtId="167" fontId="8" fillId="0" borderId="30" xfId="25" applyNumberFormat="1" applyFont="1" applyBorder="1" applyProtection="1">
      <protection locked="0"/>
    </xf>
    <xf numFmtId="0" fontId="193" fillId="0" borderId="0" xfId="25" applyFont="1" applyAlignment="1" applyProtection="1">
      <alignment vertical="center"/>
      <protection locked="0"/>
    </xf>
    <xf numFmtId="0" fontId="178" fillId="0" borderId="0" xfId="25" applyFont="1" applyAlignment="1" applyProtection="1">
      <alignment vertical="top"/>
      <protection locked="0"/>
    </xf>
    <xf numFmtId="0" fontId="178" fillId="0" borderId="0" xfId="25" applyFont="1" applyAlignment="1" applyProtection="1">
      <alignment vertical="top" wrapText="1"/>
      <protection locked="0"/>
    </xf>
    <xf numFmtId="0" fontId="16" fillId="0" borderId="0" xfId="45" applyFont="1" applyAlignment="1">
      <alignment horizontal="right" vertical="center"/>
      <protection locked="0"/>
    </xf>
    <xf numFmtId="0" fontId="194" fillId="0" borderId="0" xfId="47" applyFont="1" applyAlignment="1">
      <alignment horizontal="left" vertical="center"/>
      <protection locked="0"/>
    </xf>
    <xf numFmtId="7" fontId="144" fillId="0" borderId="30" xfId="25" applyNumberFormat="1" applyFont="1" applyBorder="1" applyAlignment="1" applyProtection="1">
      <alignment horizontal="right"/>
      <protection locked="0"/>
    </xf>
    <xf numFmtId="4" fontId="7" fillId="0" borderId="0" xfId="25" applyNumberFormat="1" applyAlignment="1" applyProtection="1">
      <alignment horizontal="left" vertical="top"/>
      <protection locked="0"/>
    </xf>
    <xf numFmtId="167" fontId="8" fillId="0" borderId="30" xfId="64" applyNumberFormat="1" applyFont="1" applyBorder="1" applyAlignment="1" applyProtection="1">
      <alignment horizontal="right"/>
      <protection locked="0"/>
    </xf>
    <xf numFmtId="2" fontId="62" fillId="0" borderId="0" xfId="45" applyNumberFormat="1" applyFont="1" applyAlignment="1">
      <alignment horizontal="left" vertical="center"/>
      <protection locked="0"/>
    </xf>
    <xf numFmtId="0" fontId="103" fillId="0" borderId="0" xfId="25" applyFont="1" applyAlignment="1" applyProtection="1">
      <alignment horizontal="left" vertical="center"/>
      <protection locked="0"/>
    </xf>
    <xf numFmtId="0" fontId="11" fillId="0" borderId="15" xfId="47" applyBorder="1" applyAlignment="1">
      <alignment horizontal="right" vertical="top"/>
      <protection locked="0"/>
    </xf>
    <xf numFmtId="0" fontId="16" fillId="0" borderId="0" xfId="45" applyFont="1" applyAlignment="1">
      <alignment horizontal="right" vertical="top"/>
      <protection locked="0"/>
    </xf>
    <xf numFmtId="0" fontId="10" fillId="0" borderId="30" xfId="25" applyFont="1" applyBorder="1" applyAlignment="1" applyProtection="1">
      <alignment horizontal="left" vertical="top" wrapText="1"/>
      <protection locked="0"/>
    </xf>
    <xf numFmtId="0" fontId="16" fillId="0" borderId="0" xfId="45" applyFont="1" applyAlignment="1">
      <alignment horizontal="left" vertical="center"/>
      <protection locked="0"/>
    </xf>
    <xf numFmtId="171" fontId="10" fillId="0" borderId="0" xfId="64" applyNumberFormat="1" applyAlignment="1" applyProtection="1">
      <alignment horizontal="left" vertical="top"/>
      <protection locked="0"/>
    </xf>
    <xf numFmtId="0" fontId="10" fillId="0" borderId="0" xfId="64" applyAlignment="1" applyProtection="1">
      <alignment vertical="top"/>
      <protection locked="0"/>
    </xf>
    <xf numFmtId="0" fontId="16" fillId="0" borderId="0" xfId="64" applyFont="1" applyAlignment="1" applyProtection="1">
      <alignment vertical="top"/>
      <protection locked="0"/>
    </xf>
    <xf numFmtId="37" fontId="8" fillId="0" borderId="30" xfId="60" applyNumberFormat="1" applyFont="1" applyBorder="1" applyAlignment="1">
      <alignment horizontal="right"/>
      <protection locked="0"/>
    </xf>
    <xf numFmtId="0" fontId="8" fillId="0" borderId="30" xfId="60" applyFont="1" applyBorder="1" applyAlignment="1">
      <alignment horizontal="left" wrapText="1"/>
      <protection locked="0"/>
    </xf>
    <xf numFmtId="167" fontId="8" fillId="0" borderId="30" xfId="60" applyNumberFormat="1" applyFont="1" applyBorder="1" applyAlignment="1">
      <alignment horizontal="right"/>
      <protection locked="0"/>
    </xf>
    <xf numFmtId="39" fontId="8" fillId="0" borderId="30" xfId="60" applyNumberFormat="1" applyFont="1" applyBorder="1" applyAlignment="1">
      <alignment horizontal="right"/>
      <protection locked="0"/>
    </xf>
    <xf numFmtId="0" fontId="29" fillId="0" borderId="0" xfId="60" applyFont="1" applyAlignment="1">
      <alignment vertical="top" wrapText="1"/>
      <protection locked="0"/>
    </xf>
    <xf numFmtId="0" fontId="167" fillId="0" borderId="0" xfId="60" applyFont="1" applyAlignment="1">
      <alignment vertical="center"/>
      <protection locked="0"/>
    </xf>
    <xf numFmtId="0" fontId="52" fillId="0" borderId="0" xfId="60" applyFont="1" applyAlignment="1">
      <alignment horizontal="left" vertical="top"/>
      <protection locked="0"/>
    </xf>
    <xf numFmtId="0" fontId="8" fillId="0" borderId="0" xfId="60" applyFont="1" applyAlignment="1">
      <alignment horizontal="left" wrapText="1"/>
      <protection locked="0"/>
    </xf>
    <xf numFmtId="2" fontId="8" fillId="0" borderId="0" xfId="60" applyNumberFormat="1" applyFont="1" applyAlignment="1">
      <alignment horizontal="right"/>
      <protection locked="0"/>
    </xf>
    <xf numFmtId="39" fontId="8" fillId="0" borderId="0" xfId="60" applyNumberFormat="1" applyFont="1" applyAlignment="1">
      <alignment horizontal="right"/>
      <protection locked="0"/>
    </xf>
    <xf numFmtId="39" fontId="8" fillId="0" borderId="0" xfId="60" applyNumberFormat="1" applyFont="1" applyAlignment="1">
      <alignment horizontal="center"/>
      <protection locked="0"/>
    </xf>
    <xf numFmtId="168" fontId="93" fillId="0" borderId="0" xfId="60" applyNumberFormat="1" applyFont="1" applyAlignment="1">
      <alignment horizontal="left" vertical="center" textRotation="90" wrapText="1"/>
      <protection locked="0"/>
    </xf>
    <xf numFmtId="0" fontId="9" fillId="0" borderId="0" xfId="60" applyFont="1" applyAlignment="1">
      <alignment vertical="top" wrapText="1"/>
      <protection locked="0"/>
    </xf>
    <xf numFmtId="0" fontId="9" fillId="0" borderId="0" xfId="60" applyFont="1" applyAlignment="1">
      <alignment vertical="top"/>
      <protection locked="0"/>
    </xf>
    <xf numFmtId="0" fontId="48" fillId="0" borderId="30" xfId="60" applyFont="1" applyBorder="1" applyAlignment="1">
      <alignment horizontal="left" wrapText="1"/>
      <protection locked="0"/>
    </xf>
    <xf numFmtId="167" fontId="28" fillId="0" borderId="30" xfId="60" applyNumberFormat="1" applyFont="1" applyBorder="1" applyAlignment="1">
      <protection locked="0"/>
    </xf>
    <xf numFmtId="39" fontId="48" fillId="0" borderId="30" xfId="60" applyNumberFormat="1" applyFont="1" applyBorder="1" applyAlignment="1">
      <alignment horizontal="right"/>
      <protection locked="0"/>
    </xf>
    <xf numFmtId="39" fontId="48" fillId="0" borderId="30" xfId="60" applyNumberFormat="1" applyFont="1" applyBorder="1" applyAlignment="1">
      <alignment horizontal="center"/>
      <protection locked="0"/>
    </xf>
    <xf numFmtId="0" fontId="196" fillId="0" borderId="0" xfId="70" applyFont="1" applyAlignment="1">
      <alignment horizontal="left" vertical="center"/>
    </xf>
    <xf numFmtId="0" fontId="195" fillId="0" borderId="0" xfId="70"/>
    <xf numFmtId="0" fontId="195" fillId="0" borderId="0" xfId="70" applyAlignment="1">
      <alignment horizontal="left" vertical="center"/>
    </xf>
    <xf numFmtId="0" fontId="195" fillId="0" borderId="42" xfId="70" applyBorder="1"/>
    <xf numFmtId="0" fontId="195" fillId="0" borderId="43" xfId="70" applyBorder="1"/>
    <xf numFmtId="0" fontId="195" fillId="0" borderId="44" xfId="70" applyBorder="1"/>
    <xf numFmtId="0" fontId="197" fillId="0" borderId="0" xfId="70" applyFont="1" applyAlignment="1">
      <alignment horizontal="left" vertical="center"/>
    </xf>
    <xf numFmtId="0" fontId="198" fillId="0" borderId="0" xfId="70" applyFont="1" applyAlignment="1">
      <alignment horizontal="left" vertical="center"/>
    </xf>
    <xf numFmtId="0" fontId="199" fillId="0" borderId="0" xfId="70" applyFont="1" applyAlignment="1">
      <alignment horizontal="left" vertical="top"/>
    </xf>
    <xf numFmtId="0" fontId="10" fillId="0" borderId="0" xfId="70" applyFont="1" applyAlignment="1">
      <alignment horizontal="left" vertical="center"/>
    </xf>
    <xf numFmtId="0" fontId="144" fillId="0" borderId="0" xfId="70" applyFont="1" applyAlignment="1">
      <alignment horizontal="left" vertical="top"/>
    </xf>
    <xf numFmtId="0" fontId="199" fillId="0" borderId="0" xfId="70" applyFont="1" applyAlignment="1">
      <alignment horizontal="left" vertical="center"/>
    </xf>
    <xf numFmtId="0" fontId="10" fillId="0" borderId="0" xfId="70" applyFont="1" applyAlignment="1">
      <alignment horizontal="left" vertical="center" wrapText="1"/>
    </xf>
    <xf numFmtId="0" fontId="195" fillId="0" borderId="45" xfId="70" applyBorder="1"/>
    <xf numFmtId="0" fontId="200" fillId="0" borderId="0" xfId="70" applyFont="1" applyAlignment="1">
      <alignment horizontal="left" vertical="center"/>
    </xf>
    <xf numFmtId="4" fontId="10" fillId="0" borderId="0" xfId="70" applyNumberFormat="1" applyFont="1" applyAlignment="1">
      <alignment vertical="center"/>
    </xf>
    <xf numFmtId="0" fontId="195" fillId="0" borderId="0" xfId="70" applyAlignment="1">
      <alignment vertical="center"/>
    </xf>
    <xf numFmtId="0" fontId="195" fillId="0" borderId="44" xfId="70" applyBorder="1" applyAlignment="1">
      <alignment vertical="center"/>
    </xf>
    <xf numFmtId="0" fontId="16" fillId="0" borderId="46" xfId="70" applyFont="1" applyBorder="1" applyAlignment="1">
      <alignment horizontal="left" vertical="center"/>
    </xf>
    <xf numFmtId="0" fontId="195" fillId="0" borderId="46" xfId="70" applyBorder="1" applyAlignment="1">
      <alignment vertical="center"/>
    </xf>
    <xf numFmtId="0" fontId="199" fillId="0" borderId="0" xfId="70" applyFont="1" applyAlignment="1">
      <alignment horizontal="right" vertical="center"/>
    </xf>
    <xf numFmtId="0" fontId="199" fillId="0" borderId="0" xfId="70" applyFont="1" applyAlignment="1">
      <alignment vertical="center"/>
    </xf>
    <xf numFmtId="0" fontId="199" fillId="0" borderId="44" xfId="70" applyFont="1" applyBorder="1" applyAlignment="1">
      <alignment vertical="center"/>
    </xf>
    <xf numFmtId="0" fontId="195" fillId="8" borderId="0" xfId="70" applyFill="1" applyAlignment="1">
      <alignment vertical="center"/>
    </xf>
    <xf numFmtId="0" fontId="172" fillId="8" borderId="47" xfId="70" applyFont="1" applyFill="1" applyBorder="1" applyAlignment="1">
      <alignment horizontal="left" vertical="center"/>
    </xf>
    <xf numFmtId="0" fontId="195" fillId="8" borderId="48" xfId="70" applyFill="1" applyBorder="1" applyAlignment="1">
      <alignment vertical="center"/>
    </xf>
    <xf numFmtId="0" fontId="172" fillId="8" borderId="48" xfId="70" applyFont="1" applyFill="1" applyBorder="1" applyAlignment="1">
      <alignment horizontal="center" vertical="center"/>
    </xf>
    <xf numFmtId="0" fontId="202" fillId="0" borderId="45" xfId="70" applyFont="1" applyBorder="1" applyAlignment="1">
      <alignment horizontal="left" vertical="center"/>
    </xf>
    <xf numFmtId="0" fontId="195" fillId="0" borderId="45" xfId="70" applyBorder="1" applyAlignment="1">
      <alignment vertical="center"/>
    </xf>
    <xf numFmtId="0" fontId="199" fillId="0" borderId="46" xfId="70" applyFont="1" applyBorder="1" applyAlignment="1">
      <alignment horizontal="left" vertical="center"/>
    </xf>
    <xf numFmtId="0" fontId="195" fillId="0" borderId="50" xfId="70" applyBorder="1" applyAlignment="1">
      <alignment vertical="center"/>
    </xf>
    <xf numFmtId="0" fontId="195" fillId="0" borderId="51" xfId="70" applyBorder="1" applyAlignment="1">
      <alignment vertical="center"/>
    </xf>
    <xf numFmtId="0" fontId="195" fillId="0" borderId="42" xfId="70" applyBorder="1" applyAlignment="1">
      <alignment vertical="center"/>
    </xf>
    <xf numFmtId="0" fontId="195" fillId="0" borderId="43" xfId="70" applyBorder="1" applyAlignment="1">
      <alignment vertical="center"/>
    </xf>
    <xf numFmtId="0" fontId="10" fillId="0" borderId="0" xfId="70" applyFont="1" applyAlignment="1">
      <alignment vertical="center"/>
    </xf>
    <xf numFmtId="0" fontId="10" fillId="0" borderId="44" xfId="70" applyFont="1" applyBorder="1" applyAlignment="1">
      <alignment vertical="center"/>
    </xf>
    <xf numFmtId="0" fontId="144" fillId="0" borderId="0" xfId="70" applyFont="1" applyAlignment="1">
      <alignment vertical="center"/>
    </xf>
    <xf numFmtId="0" fontId="144" fillId="0" borderId="44" xfId="70" applyFont="1" applyBorder="1" applyAlignment="1">
      <alignment vertical="center"/>
    </xf>
    <xf numFmtId="0" fontId="144" fillId="0" borderId="0" xfId="70" applyFont="1" applyAlignment="1">
      <alignment horizontal="left" vertical="center"/>
    </xf>
    <xf numFmtId="0" fontId="16" fillId="0" borderId="0" xfId="70" applyFont="1" applyAlignment="1">
      <alignment vertical="center"/>
    </xf>
    <xf numFmtId="177" fontId="10" fillId="0" borderId="0" xfId="70" applyNumberFormat="1" applyFont="1" applyAlignment="1">
      <alignment horizontal="left" vertical="center"/>
    </xf>
    <xf numFmtId="0" fontId="195" fillId="0" borderId="53" xfId="70" applyBorder="1" applyAlignment="1">
      <alignment vertical="center"/>
    </xf>
    <xf numFmtId="0" fontId="195" fillId="0" borderId="54" xfId="70" applyBorder="1" applyAlignment="1">
      <alignment vertical="center"/>
    </xf>
    <xf numFmtId="0" fontId="204" fillId="0" borderId="0" xfId="70" applyFont="1" applyAlignment="1">
      <alignment horizontal="left" vertical="center"/>
    </xf>
    <xf numFmtId="0" fontId="195" fillId="0" borderId="56" xfId="70" applyBorder="1" applyAlignment="1">
      <alignment vertical="center"/>
    </xf>
    <xf numFmtId="0" fontId="195" fillId="9" borderId="48" xfId="70" applyFill="1" applyBorder="1" applyAlignment="1">
      <alignment vertical="center"/>
    </xf>
    <xf numFmtId="0" fontId="59" fillId="9" borderId="0" xfId="70" applyFont="1" applyFill="1" applyAlignment="1">
      <alignment horizontal="center" vertical="center"/>
    </xf>
    <xf numFmtId="0" fontId="205" fillId="0" borderId="57" xfId="70" applyFont="1" applyBorder="1" applyAlignment="1">
      <alignment horizontal="center" vertical="center" wrapText="1"/>
    </xf>
    <xf numFmtId="0" fontId="205" fillId="0" borderId="58" xfId="70" applyFont="1" applyBorder="1" applyAlignment="1">
      <alignment horizontal="center" vertical="center" wrapText="1"/>
    </xf>
    <xf numFmtId="0" fontId="205" fillId="0" borderId="59" xfId="70" applyFont="1" applyBorder="1" applyAlignment="1">
      <alignment horizontal="center" vertical="center" wrapText="1"/>
    </xf>
    <xf numFmtId="0" fontId="195" fillId="0" borderId="52" xfId="70" applyBorder="1" applyAlignment="1">
      <alignment vertical="center"/>
    </xf>
    <xf numFmtId="0" fontId="172" fillId="0" borderId="0" xfId="70" applyFont="1" applyAlignment="1">
      <alignment vertical="center"/>
    </xf>
    <xf numFmtId="0" fontId="172" fillId="0" borderId="44" xfId="70" applyFont="1" applyBorder="1" applyAlignment="1">
      <alignment vertical="center"/>
    </xf>
    <xf numFmtId="0" fontId="206" fillId="0" borderId="0" xfId="70" applyFont="1" applyAlignment="1">
      <alignment horizontal="left" vertical="center"/>
    </xf>
    <xf numFmtId="0" fontId="206" fillId="0" borderId="0" xfId="70" applyFont="1" applyAlignment="1">
      <alignment vertical="center"/>
    </xf>
    <xf numFmtId="4" fontId="206" fillId="0" borderId="0" xfId="70" applyNumberFormat="1" applyFont="1" applyAlignment="1">
      <alignment vertical="center"/>
    </xf>
    <xf numFmtId="0" fontId="172" fillId="0" borderId="0" xfId="70" applyFont="1" applyAlignment="1">
      <alignment horizontal="center" vertical="center"/>
    </xf>
    <xf numFmtId="4" fontId="203" fillId="0" borderId="55" xfId="70" applyNumberFormat="1" applyFont="1" applyBorder="1" applyAlignment="1">
      <alignment vertical="center"/>
    </xf>
    <xf numFmtId="4" fontId="203" fillId="0" borderId="0" xfId="70" applyNumberFormat="1" applyFont="1" applyAlignment="1">
      <alignment vertical="center"/>
    </xf>
    <xf numFmtId="174" fontId="203" fillId="0" borderId="0" xfId="70" applyNumberFormat="1" applyFont="1" applyAlignment="1">
      <alignment vertical="center"/>
    </xf>
    <xf numFmtId="4" fontId="203" fillId="0" borderId="56" xfId="70" applyNumberFormat="1" applyFont="1" applyBorder="1" applyAlignment="1">
      <alignment vertical="center"/>
    </xf>
    <xf numFmtId="0" fontId="172" fillId="0" borderId="0" xfId="70" applyFont="1" applyAlignment="1">
      <alignment horizontal="left" vertical="center"/>
    </xf>
    <xf numFmtId="0" fontId="207" fillId="0" borderId="0" xfId="70" applyFont="1" applyAlignment="1">
      <alignment horizontal="left" vertical="center"/>
    </xf>
    <xf numFmtId="0" fontId="208" fillId="0" borderId="0" xfId="33" applyFont="1" applyAlignment="1">
      <alignment horizontal="center" vertical="center"/>
    </xf>
    <xf numFmtId="0" fontId="164" fillId="0" borderId="44" xfId="70" applyFont="1" applyBorder="1" applyAlignment="1">
      <alignment vertical="center"/>
    </xf>
    <xf numFmtId="0" fontId="209" fillId="0" borderId="0" xfId="70" applyFont="1" applyAlignment="1">
      <alignment vertical="center"/>
    </xf>
    <xf numFmtId="0" fontId="210" fillId="0" borderId="0" xfId="70" applyFont="1" applyAlignment="1">
      <alignment vertical="center"/>
    </xf>
    <xf numFmtId="0" fontId="144" fillId="0" borderId="0" xfId="70" applyFont="1" applyAlignment="1">
      <alignment horizontal="center" vertical="center"/>
    </xf>
    <xf numFmtId="4" fontId="211" fillId="0" borderId="55" xfId="70" applyNumberFormat="1" applyFont="1" applyBorder="1" applyAlignment="1">
      <alignment vertical="center"/>
    </xf>
    <xf numFmtId="4" fontId="211" fillId="0" borderId="0" xfId="70" applyNumberFormat="1" applyFont="1" applyAlignment="1">
      <alignment vertical="center"/>
    </xf>
    <xf numFmtId="174" fontId="211" fillId="0" borderId="0" xfId="70" applyNumberFormat="1" applyFont="1" applyAlignment="1">
      <alignment vertical="center"/>
    </xf>
    <xf numFmtId="4" fontId="211" fillId="0" borderId="56" xfId="70" applyNumberFormat="1" applyFont="1" applyBorder="1" applyAlignment="1">
      <alignment vertical="center"/>
    </xf>
    <xf numFmtId="0" fontId="164" fillId="0" borderId="0" xfId="70" applyFont="1" applyAlignment="1">
      <alignment vertical="center"/>
    </xf>
    <xf numFmtId="0" fontId="164" fillId="0" borderId="0" xfId="70" applyFont="1" applyAlignment="1">
      <alignment horizontal="left" vertical="center"/>
    </xf>
    <xf numFmtId="4" fontId="211" fillId="0" borderId="60" xfId="70" applyNumberFormat="1" applyFont="1" applyBorder="1" applyAlignment="1">
      <alignment vertical="center"/>
    </xf>
    <xf numFmtId="4" fontId="211" fillId="0" borderId="61" xfId="70" applyNumberFormat="1" applyFont="1" applyBorder="1" applyAlignment="1">
      <alignment vertical="center"/>
    </xf>
    <xf numFmtId="174" fontId="211" fillId="0" borderId="61" xfId="70" applyNumberFormat="1" applyFont="1" applyBorder="1" applyAlignment="1">
      <alignment vertical="center"/>
    </xf>
    <xf numFmtId="4" fontId="211" fillId="0" borderId="62" xfId="70" applyNumberFormat="1" applyFont="1" applyBorder="1" applyAlignment="1">
      <alignment vertical="center"/>
    </xf>
    <xf numFmtId="0" fontId="195" fillId="0" borderId="63" xfId="70" applyBorder="1" applyAlignment="1">
      <alignment vertical="center"/>
    </xf>
    <xf numFmtId="0" fontId="206" fillId="9" borderId="0" xfId="70" applyFont="1" applyFill="1" applyAlignment="1">
      <alignment horizontal="left" vertical="center"/>
    </xf>
    <xf numFmtId="0" fontId="195" fillId="9" borderId="0" xfId="70" applyFill="1" applyAlignment="1">
      <alignment vertical="center"/>
    </xf>
    <xf numFmtId="4" fontId="206" fillId="9" borderId="0" xfId="70" applyNumberFormat="1" applyFont="1" applyFill="1" applyAlignment="1">
      <alignment vertical="center"/>
    </xf>
    <xf numFmtId="0" fontId="212" fillId="0" borderId="0" xfId="70" applyFont="1" applyAlignment="1">
      <alignment horizontal="left" vertical="center"/>
    </xf>
    <xf numFmtId="0" fontId="195" fillId="0" borderId="0" xfId="70" applyAlignment="1">
      <alignment vertical="center" wrapText="1"/>
    </xf>
    <xf numFmtId="0" fontId="195" fillId="0" borderId="44" xfId="70" applyBorder="1" applyAlignment="1">
      <alignment vertical="center" wrapText="1"/>
    </xf>
    <xf numFmtId="0" fontId="16" fillId="0" borderId="0" xfId="70" applyFont="1" applyAlignment="1">
      <alignment horizontal="left" vertical="center"/>
    </xf>
    <xf numFmtId="4" fontId="199" fillId="0" borderId="0" xfId="70" applyNumberFormat="1" applyFont="1" applyAlignment="1">
      <alignment vertical="center"/>
    </xf>
    <xf numFmtId="176" fontId="199" fillId="0" borderId="0" xfId="70" applyNumberFormat="1" applyFont="1" applyAlignment="1">
      <alignment horizontal="right" vertical="center"/>
    </xf>
    <xf numFmtId="0" fontId="172" fillId="9" borderId="47" xfId="70" applyFont="1" applyFill="1" applyBorder="1" applyAlignment="1">
      <alignment horizontal="left" vertical="center"/>
    </xf>
    <xf numFmtId="0" fontId="172" fillId="9" borderId="48" xfId="70" applyFont="1" applyFill="1" applyBorder="1" applyAlignment="1">
      <alignment horizontal="right" vertical="center"/>
    </xf>
    <xf numFmtId="0" fontId="172" fillId="9" borderId="48" xfId="70" applyFont="1" applyFill="1" applyBorder="1" applyAlignment="1">
      <alignment horizontal="center" vertical="center"/>
    </xf>
    <xf numFmtId="4" fontId="172" fillId="9" borderId="48" xfId="70" applyNumberFormat="1" applyFont="1" applyFill="1" applyBorder="1" applyAlignment="1">
      <alignment vertical="center"/>
    </xf>
    <xf numFmtId="0" fontId="195" fillId="9" borderId="49" xfId="70" applyFill="1" applyBorder="1" applyAlignment="1">
      <alignment vertical="center"/>
    </xf>
    <xf numFmtId="0" fontId="199" fillId="0" borderId="46" xfId="70" applyFont="1" applyBorder="1" applyAlignment="1">
      <alignment horizontal="center" vertical="center"/>
    </xf>
    <xf numFmtId="0" fontId="199" fillId="0" borderId="46" xfId="70" applyFont="1" applyBorder="1" applyAlignment="1">
      <alignment horizontal="right" vertical="center"/>
    </xf>
    <xf numFmtId="0" fontId="59" fillId="9" borderId="0" xfId="70" applyFont="1" applyFill="1" applyAlignment="1">
      <alignment horizontal="left" vertical="center"/>
    </xf>
    <xf numFmtId="0" fontId="59" fillId="9" borderId="0" xfId="70" applyFont="1" applyFill="1" applyAlignment="1">
      <alignment horizontal="right" vertical="center"/>
    </xf>
    <xf numFmtId="0" fontId="213" fillId="0" borderId="0" xfId="70" applyFont="1" applyAlignment="1">
      <alignment horizontal="left" vertical="center"/>
    </xf>
    <xf numFmtId="0" fontId="214" fillId="0" borderId="0" xfId="70" applyFont="1" applyAlignment="1">
      <alignment vertical="center"/>
    </xf>
    <xf numFmtId="0" fontId="214" fillId="0" borderId="44" xfId="70" applyFont="1" applyBorder="1" applyAlignment="1">
      <alignment vertical="center"/>
    </xf>
    <xf numFmtId="0" fontId="214" fillId="0" borderId="61" xfId="70" applyFont="1" applyBorder="1" applyAlignment="1">
      <alignment horizontal="left" vertical="center"/>
    </xf>
    <xf numFmtId="0" fontId="214" fillId="0" borderId="61" xfId="70" applyFont="1" applyBorder="1" applyAlignment="1">
      <alignment vertical="center"/>
    </xf>
    <xf numFmtId="4" fontId="214" fillId="0" borderId="61" xfId="70" applyNumberFormat="1" applyFont="1" applyBorder="1" applyAlignment="1">
      <alignment vertical="center"/>
    </xf>
    <xf numFmtId="0" fontId="215" fillId="0" borderId="0" xfId="70" applyFont="1" applyAlignment="1">
      <alignment vertical="center"/>
    </xf>
    <xf numFmtId="0" fontId="215" fillId="0" borderId="44" xfId="70" applyFont="1" applyBorder="1" applyAlignment="1">
      <alignment vertical="center"/>
    </xf>
    <xf numFmtId="0" fontId="215" fillId="0" borderId="61" xfId="70" applyFont="1" applyBorder="1" applyAlignment="1">
      <alignment horizontal="left" vertical="center"/>
    </xf>
    <xf numFmtId="0" fontId="215" fillId="0" borderId="61" xfId="70" applyFont="1" applyBorder="1" applyAlignment="1">
      <alignment vertical="center"/>
    </xf>
    <xf numFmtId="4" fontId="215" fillId="0" borderId="61" xfId="70" applyNumberFormat="1" applyFont="1" applyBorder="1" applyAlignment="1">
      <alignment vertical="center"/>
    </xf>
    <xf numFmtId="4" fontId="213" fillId="0" borderId="0" xfId="70" applyNumberFormat="1" applyFont="1" applyAlignment="1">
      <alignment vertical="center"/>
    </xf>
    <xf numFmtId="0" fontId="205" fillId="0" borderId="0" xfId="70" applyFont="1" applyAlignment="1">
      <alignment horizontal="center" vertical="center"/>
    </xf>
    <xf numFmtId="0" fontId="195" fillId="0" borderId="44" xfId="70" applyBorder="1" applyAlignment="1" applyProtection="1">
      <alignment vertical="center"/>
      <protection locked="0"/>
    </xf>
    <xf numFmtId="0" fontId="195" fillId="0" borderId="0" xfId="70" applyAlignment="1" applyProtection="1">
      <alignment vertical="center"/>
      <protection locked="0"/>
    </xf>
    <xf numFmtId="0" fontId="199" fillId="0" borderId="0" xfId="70" applyFont="1" applyAlignment="1" applyProtection="1">
      <alignment horizontal="center" vertical="center"/>
      <protection locked="0"/>
    </xf>
    <xf numFmtId="0" fontId="195" fillId="0" borderId="0" xfId="70" applyAlignment="1" applyProtection="1">
      <alignment horizontal="left" vertical="center"/>
      <protection locked="0"/>
    </xf>
    <xf numFmtId="4" fontId="195" fillId="0" borderId="0" xfId="70" applyNumberFormat="1" applyAlignment="1" applyProtection="1">
      <alignment vertical="center"/>
      <protection locked="0"/>
    </xf>
    <xf numFmtId="0" fontId="195" fillId="0" borderId="0" xfId="70" applyAlignment="1">
      <alignment horizontal="center" vertical="center" wrapText="1"/>
    </xf>
    <xf numFmtId="0" fontId="195" fillId="0" borderId="44" xfId="70" applyBorder="1" applyAlignment="1">
      <alignment horizontal="center" vertical="center" wrapText="1"/>
    </xf>
    <xf numFmtId="0" fontId="59" fillId="9" borderId="57" xfId="70" applyFont="1" applyFill="1" applyBorder="1" applyAlignment="1">
      <alignment horizontal="center" vertical="center" wrapText="1"/>
    </xf>
    <xf numFmtId="0" fontId="59" fillId="9" borderId="58" xfId="70" applyFont="1" applyFill="1" applyBorder="1" applyAlignment="1">
      <alignment horizontal="center" vertical="center" wrapText="1"/>
    </xf>
    <xf numFmtId="0" fontId="59" fillId="9" borderId="59" xfId="70" applyFont="1" applyFill="1" applyBorder="1" applyAlignment="1">
      <alignment horizontal="center" vertical="center" wrapText="1"/>
    </xf>
    <xf numFmtId="4" fontId="206" fillId="0" borderId="0" xfId="70" applyNumberFormat="1" applyFont="1"/>
    <xf numFmtId="174" fontId="216" fillId="0" borderId="53" xfId="70" applyNumberFormat="1" applyFont="1" applyBorder="1"/>
    <xf numFmtId="174" fontId="216" fillId="0" borderId="54" xfId="70" applyNumberFormat="1" applyFont="1" applyBorder="1"/>
    <xf numFmtId="4" fontId="37" fillId="0" borderId="0" xfId="70" applyNumberFormat="1" applyFont="1" applyAlignment="1">
      <alignment vertical="center"/>
    </xf>
    <xf numFmtId="0" fontId="217" fillId="0" borderId="0" xfId="70" applyFont="1"/>
    <xf numFmtId="0" fontId="217" fillId="0" borderId="44" xfId="70" applyFont="1" applyBorder="1"/>
    <xf numFmtId="0" fontId="217" fillId="0" borderId="0" xfId="70" applyFont="1" applyAlignment="1">
      <alignment horizontal="left"/>
    </xf>
    <xf numFmtId="0" fontId="214" fillId="0" borderId="0" xfId="70" applyFont="1" applyAlignment="1">
      <alignment horizontal="left"/>
    </xf>
    <xf numFmtId="4" fontId="214" fillId="0" borderId="0" xfId="70" applyNumberFormat="1" applyFont="1"/>
    <xf numFmtId="0" fontId="217" fillId="0" borderId="55" xfId="70" applyFont="1" applyBorder="1"/>
    <xf numFmtId="174" fontId="217" fillId="0" borderId="0" xfId="70" applyNumberFormat="1" applyFont="1"/>
    <xf numFmtId="174" fontId="217" fillId="0" borderId="56" xfId="70" applyNumberFormat="1" applyFont="1" applyBorder="1"/>
    <xf numFmtId="0" fontId="217" fillId="0" borderId="0" xfId="70" applyFont="1" applyAlignment="1">
      <alignment horizontal="center"/>
    </xf>
    <xf numFmtId="4" fontId="217" fillId="0" borderId="0" xfId="70" applyNumberFormat="1" applyFont="1" applyAlignment="1">
      <alignment vertical="center"/>
    </xf>
    <xf numFmtId="0" fontId="215" fillId="0" borderId="0" xfId="70" applyFont="1" applyAlignment="1">
      <alignment horizontal="left"/>
    </xf>
    <xf numFmtId="4" fontId="215" fillId="0" borderId="0" xfId="70" applyNumberFormat="1" applyFont="1"/>
    <xf numFmtId="0" fontId="205" fillId="0" borderId="55" xfId="70" applyFont="1" applyBorder="1" applyAlignment="1">
      <alignment horizontal="left" vertical="center"/>
    </xf>
    <xf numFmtId="174" fontId="205" fillId="0" borderId="0" xfId="70" applyNumberFormat="1" applyFont="1" applyAlignment="1">
      <alignment vertical="center"/>
    </xf>
    <xf numFmtId="174" fontId="205" fillId="0" borderId="56" xfId="70" applyNumberFormat="1" applyFont="1" applyBorder="1" applyAlignment="1">
      <alignment vertical="center"/>
    </xf>
    <xf numFmtId="0" fontId="59" fillId="0" borderId="0" xfId="70" applyFont="1" applyAlignment="1">
      <alignment horizontal="left" vertical="center"/>
    </xf>
    <xf numFmtId="4" fontId="195" fillId="0" borderId="0" xfId="70" applyNumberFormat="1" applyAlignment="1">
      <alignment vertical="center"/>
    </xf>
    <xf numFmtId="0" fontId="218" fillId="0" borderId="0" xfId="70" applyFont="1" applyAlignment="1">
      <alignment vertical="center"/>
    </xf>
    <xf numFmtId="0" fontId="218" fillId="0" borderId="44" xfId="70" applyFont="1" applyBorder="1" applyAlignment="1">
      <alignment vertical="center"/>
    </xf>
    <xf numFmtId="0" fontId="219" fillId="0" borderId="0" xfId="70" applyFont="1" applyAlignment="1">
      <alignment horizontal="left" vertical="center"/>
    </xf>
    <xf numFmtId="0" fontId="218" fillId="0" borderId="0" xfId="70" applyFont="1" applyAlignment="1">
      <alignment horizontal="left" vertical="center"/>
    </xf>
    <xf numFmtId="0" fontId="218" fillId="0" borderId="0" xfId="70" applyFont="1" applyAlignment="1">
      <alignment horizontal="left" vertical="center" wrapText="1"/>
    </xf>
    <xf numFmtId="0" fontId="218" fillId="0" borderId="55" xfId="70" applyFont="1" applyBorder="1" applyAlignment="1">
      <alignment vertical="center"/>
    </xf>
    <xf numFmtId="0" fontId="218" fillId="0" borderId="56" xfId="70" applyFont="1" applyBorder="1" applyAlignment="1">
      <alignment vertical="center"/>
    </xf>
    <xf numFmtId="0" fontId="220" fillId="0" borderId="0" xfId="70" applyFont="1" applyAlignment="1">
      <alignment vertical="center"/>
    </xf>
    <xf numFmtId="0" fontId="220" fillId="0" borderId="44" xfId="70" applyFont="1" applyBorder="1" applyAlignment="1">
      <alignment vertical="center"/>
    </xf>
    <xf numFmtId="0" fontId="220" fillId="0" borderId="0" xfId="70" applyFont="1" applyAlignment="1">
      <alignment horizontal="left" vertical="center"/>
    </xf>
    <xf numFmtId="0" fontId="220" fillId="0" borderId="0" xfId="70" applyFont="1" applyAlignment="1">
      <alignment horizontal="left" vertical="center" wrapText="1"/>
    </xf>
    <xf numFmtId="167" fontId="220" fillId="0" borderId="0" xfId="70" applyNumberFormat="1" applyFont="1" applyAlignment="1">
      <alignment vertical="center"/>
    </xf>
    <xf numFmtId="0" fontId="220" fillId="0" borderId="55" xfId="70" applyFont="1" applyBorder="1" applyAlignment="1">
      <alignment vertical="center"/>
    </xf>
    <xf numFmtId="0" fontId="220" fillId="0" borderId="56" xfId="70" applyFont="1" applyBorder="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1" fillId="0" borderId="0" xfId="70" applyFont="1" applyAlignment="1">
      <alignment horizontal="left" vertical="center"/>
    </xf>
    <xf numFmtId="0" fontId="221" fillId="0" borderId="0" xfId="70" applyFont="1" applyAlignment="1">
      <alignment horizontal="left" vertical="center" wrapText="1"/>
    </xf>
    <xf numFmtId="167" fontId="221" fillId="0" borderId="0" xfId="70" applyNumberFormat="1" applyFont="1" applyAlignment="1">
      <alignment vertical="center"/>
    </xf>
    <xf numFmtId="0" fontId="221" fillId="0" borderId="55" xfId="70" applyFont="1" applyBorder="1" applyAlignment="1">
      <alignment vertical="center"/>
    </xf>
    <xf numFmtId="0" fontId="221" fillId="0" borderId="56" xfId="70" applyFont="1" applyBorder="1" applyAlignment="1">
      <alignment vertical="center"/>
    </xf>
    <xf numFmtId="0" fontId="85" fillId="0" borderId="0" xfId="70" applyFont="1" applyAlignment="1">
      <alignment vertical="center"/>
    </xf>
    <xf numFmtId="0" fontId="85" fillId="0" borderId="44" xfId="70" applyFont="1" applyBorder="1" applyAlignment="1">
      <alignment vertical="center"/>
    </xf>
    <xf numFmtId="0" fontId="85" fillId="0" borderId="0" xfId="70" applyFont="1" applyAlignment="1">
      <alignment horizontal="left" vertical="center"/>
    </xf>
    <xf numFmtId="0" fontId="85" fillId="0" borderId="0" xfId="70" applyFont="1" applyAlignment="1">
      <alignment horizontal="left" vertical="center" wrapText="1"/>
    </xf>
    <xf numFmtId="167" fontId="85" fillId="0" borderId="0" xfId="70" applyNumberFormat="1" applyFont="1" applyAlignment="1">
      <alignment vertical="center"/>
    </xf>
    <xf numFmtId="0" fontId="85" fillId="0" borderId="55" xfId="70" applyFont="1" applyBorder="1" applyAlignment="1">
      <alignment vertical="center"/>
    </xf>
    <xf numFmtId="0" fontId="85" fillId="0" borderId="56" xfId="70" applyFont="1" applyBorder="1" applyAlignment="1">
      <alignment vertical="center"/>
    </xf>
    <xf numFmtId="0" fontId="137" fillId="0" borderId="44" xfId="70" applyFont="1" applyBorder="1" applyAlignment="1">
      <alignment vertical="center"/>
    </xf>
    <xf numFmtId="0" fontId="222" fillId="0" borderId="55" xfId="70" applyFont="1" applyBorder="1" applyAlignment="1">
      <alignment horizontal="left" vertical="center"/>
    </xf>
    <xf numFmtId="0" fontId="222" fillId="0" borderId="0" xfId="70" applyFont="1" applyAlignment="1">
      <alignment horizontal="center" vertical="center"/>
    </xf>
    <xf numFmtId="0" fontId="205" fillId="0" borderId="60" xfId="70" applyFont="1" applyBorder="1" applyAlignment="1">
      <alignment horizontal="left" vertical="center"/>
    </xf>
    <xf numFmtId="0" fontId="205" fillId="0" borderId="61" xfId="70" applyFont="1" applyBorder="1" applyAlignment="1">
      <alignment horizontal="center" vertical="center"/>
    </xf>
    <xf numFmtId="174" fontId="205" fillId="0" borderId="61" xfId="70" applyNumberFormat="1" applyFont="1" applyBorder="1" applyAlignment="1">
      <alignment vertical="center"/>
    </xf>
    <xf numFmtId="174" fontId="205" fillId="0" borderId="62" xfId="70" applyNumberFormat="1" applyFont="1" applyBorder="1" applyAlignment="1">
      <alignment vertical="center"/>
    </xf>
    <xf numFmtId="0" fontId="223" fillId="0" borderId="0" xfId="70" applyFont="1" applyAlignment="1">
      <alignment horizontal="left" vertical="center"/>
    </xf>
    <xf numFmtId="0" fontId="221" fillId="0" borderId="60" xfId="70" applyFont="1" applyBorder="1" applyAlignment="1">
      <alignment vertical="center"/>
    </xf>
    <xf numFmtId="0" fontId="221" fillId="0" borderId="61" xfId="70" applyFont="1" applyBorder="1" applyAlignment="1">
      <alignment vertical="center"/>
    </xf>
    <xf numFmtId="0" fontId="221" fillId="0" borderId="62" xfId="70" applyFont="1" applyBorder="1" applyAlignment="1">
      <alignment vertical="center"/>
    </xf>
    <xf numFmtId="0" fontId="85" fillId="0" borderId="60" xfId="70" applyFont="1" applyBorder="1" applyAlignment="1">
      <alignment vertical="center"/>
    </xf>
    <xf numFmtId="0" fontId="85" fillId="0" borderId="61" xfId="70" applyFont="1" applyBorder="1" applyAlignment="1">
      <alignment vertical="center"/>
    </xf>
    <xf numFmtId="0" fontId="85" fillId="0" borderId="62" xfId="70" applyFont="1" applyBorder="1" applyAlignment="1">
      <alignment vertical="center"/>
    </xf>
    <xf numFmtId="0" fontId="172" fillId="0" borderId="0" xfId="70" applyFont="1" applyAlignment="1">
      <alignment horizontal="left" vertical="center" wrapText="1"/>
    </xf>
    <xf numFmtId="0" fontId="224" fillId="0" borderId="57" xfId="70" applyFont="1" applyBorder="1" applyAlignment="1">
      <alignment horizontal="left" vertical="center" wrapText="1"/>
    </xf>
    <xf numFmtId="0" fontId="224" fillId="0" borderId="64" xfId="70" applyFont="1" applyBorder="1" applyAlignment="1">
      <alignment horizontal="left" vertical="center" wrapText="1"/>
    </xf>
    <xf numFmtId="0" fontId="224" fillId="0" borderId="64" xfId="70" applyFont="1" applyBorder="1" applyAlignment="1">
      <alignment horizontal="left" vertical="center"/>
    </xf>
    <xf numFmtId="167" fontId="224" fillId="0" borderId="59" xfId="70" applyNumberFormat="1" applyFont="1" applyBorder="1" applyAlignment="1">
      <alignment vertical="center"/>
    </xf>
    <xf numFmtId="0" fontId="195" fillId="0" borderId="0" xfId="70" applyAlignment="1">
      <alignment horizontal="left" vertical="center" wrapText="1"/>
    </xf>
    <xf numFmtId="167" fontId="195" fillId="0" borderId="0" xfId="70" applyNumberFormat="1" applyAlignment="1">
      <alignment vertical="center"/>
    </xf>
    <xf numFmtId="0" fontId="37" fillId="0" borderId="0" xfId="70" applyFont="1" applyAlignment="1">
      <alignment horizontal="left" vertical="center"/>
    </xf>
    <xf numFmtId="0" fontId="37" fillId="0" borderId="0" xfId="25" applyFont="1" applyAlignment="1">
      <alignment horizontal="left"/>
    </xf>
    <xf numFmtId="37" fontId="37" fillId="0" borderId="0" xfId="25" applyNumberFormat="1" applyFont="1" applyAlignment="1">
      <alignment horizontal="right"/>
    </xf>
    <xf numFmtId="0" fontId="37" fillId="0" borderId="0" xfId="25" applyFont="1" applyAlignment="1">
      <alignment horizontal="left" wrapText="1"/>
    </xf>
    <xf numFmtId="170" fontId="37" fillId="0" borderId="0" xfId="25" applyNumberFormat="1" applyFont="1" applyAlignment="1">
      <alignment horizontal="right"/>
    </xf>
    <xf numFmtId="4" fontId="37" fillId="0" borderId="0" xfId="25" applyNumberFormat="1" applyFont="1" applyAlignment="1">
      <alignment horizontal="right"/>
    </xf>
    <xf numFmtId="37" fontId="37" fillId="7" borderId="30" xfId="25" applyNumberFormat="1" applyFont="1" applyFill="1" applyBorder="1" applyAlignment="1" applyProtection="1">
      <alignment horizontal="right"/>
      <protection locked="0"/>
    </xf>
    <xf numFmtId="1" fontId="8" fillId="0" borderId="30" xfId="25" applyNumberFormat="1" applyFont="1" applyBorder="1" applyAlignment="1">
      <alignment horizontal="right"/>
    </xf>
    <xf numFmtId="39" fontId="57" fillId="0" borderId="30" xfId="3" applyNumberFormat="1" applyFont="1" applyBorder="1" applyAlignment="1" applyProtection="1">
      <alignment horizontal="right"/>
      <protection locked="0"/>
    </xf>
    <xf numFmtId="0" fontId="69" fillId="0" borderId="0" xfId="51" applyFont="1" applyFill="1" applyAlignment="1" applyProtection="1">
      <alignment horizontal="left" vertical="center"/>
    </xf>
    <xf numFmtId="37" fontId="37" fillId="0" borderId="30" xfId="25" applyNumberFormat="1" applyFont="1" applyBorder="1" applyAlignment="1">
      <alignment horizontal="right"/>
    </xf>
    <xf numFmtId="0" fontId="37" fillId="0" borderId="30" xfId="25" applyFont="1" applyBorder="1" applyAlignment="1">
      <alignment horizontal="left" wrapText="1"/>
    </xf>
    <xf numFmtId="167" fontId="37" fillId="0" borderId="30" xfId="25" applyNumberFormat="1" applyFont="1" applyBorder="1" applyAlignment="1">
      <alignment horizontal="right"/>
    </xf>
    <xf numFmtId="39" fontId="37" fillId="0" borderId="30" xfId="25" applyNumberFormat="1" applyFont="1" applyBorder="1" applyAlignment="1">
      <alignment horizontal="right"/>
    </xf>
    <xf numFmtId="0" fontId="7" fillId="0" borderId="30" xfId="25" applyBorder="1" applyAlignment="1">
      <alignment horizontal="left" vertical="top"/>
    </xf>
    <xf numFmtId="0" fontId="11" fillId="7" borderId="0" xfId="25" applyFont="1" applyFill="1" applyAlignment="1" applyProtection="1">
      <alignment horizontal="left" vertical="top"/>
      <protection locked="0"/>
    </xf>
    <xf numFmtId="39" fontId="28" fillId="0" borderId="30" xfId="25" applyNumberFormat="1" applyFont="1" applyBorder="1" applyAlignment="1" applyProtection="1">
      <alignment horizontal="right"/>
      <protection locked="0"/>
    </xf>
    <xf numFmtId="0" fontId="11" fillId="0" borderId="30" xfId="25" applyFont="1" applyBorder="1" applyAlignment="1" applyProtection="1">
      <alignment horizontal="center" vertical="top"/>
      <protection locked="0"/>
    </xf>
    <xf numFmtId="39" fontId="11" fillId="0" borderId="30" xfId="25" applyNumberFormat="1" applyFont="1" applyBorder="1" applyAlignment="1" applyProtection="1">
      <alignment horizontal="center" vertical="top"/>
      <protection locked="0"/>
    </xf>
    <xf numFmtId="0" fontId="104" fillId="0" borderId="0" xfId="72" applyFont="1" applyFill="1" applyAlignment="1">
      <alignment horizontal="left" vertical="center"/>
      <protection locked="0"/>
    </xf>
    <xf numFmtId="0" fontId="91" fillId="0" borderId="0" xfId="72" applyFill="1" applyAlignment="1">
      <alignment horizontal="left" vertical="top"/>
      <protection locked="0"/>
    </xf>
    <xf numFmtId="0" fontId="81" fillId="0" borderId="0" xfId="72" applyFont="1" applyFill="1" applyAlignment="1">
      <alignment horizontal="left" vertical="center"/>
      <protection locked="0"/>
    </xf>
    <xf numFmtId="1" fontId="8" fillId="0" borderId="30" xfId="73" applyNumberFormat="1" applyFont="1" applyBorder="1" applyAlignment="1">
      <alignment horizontal="right"/>
      <protection locked="0"/>
    </xf>
    <xf numFmtId="0" fontId="96" fillId="0" borderId="30" xfId="48" applyFont="1" applyBorder="1" applyAlignment="1">
      <alignment horizontal="left" wrapText="1"/>
      <protection locked="0"/>
    </xf>
    <xf numFmtId="0" fontId="94" fillId="0" borderId="0" xfId="48" applyFont="1" applyAlignment="1">
      <alignment horizontal="left" vertical="top"/>
      <protection locked="0"/>
    </xf>
    <xf numFmtId="37" fontId="72" fillId="0" borderId="30" xfId="25" applyNumberFormat="1" applyFont="1" applyBorder="1" applyAlignment="1" applyProtection="1">
      <alignment horizontal="right"/>
      <protection locked="0"/>
    </xf>
    <xf numFmtId="4" fontId="72" fillId="5" borderId="30" xfId="25" applyNumberFormat="1" applyFont="1" applyFill="1" applyBorder="1" applyAlignment="1" applyProtection="1">
      <alignment horizontal="right"/>
      <protection locked="0"/>
    </xf>
    <xf numFmtId="0" fontId="94" fillId="0" borderId="0" xfId="25" applyFont="1" applyAlignment="1" applyProtection="1">
      <alignment horizontal="left" vertical="top"/>
      <protection locked="0"/>
    </xf>
    <xf numFmtId="37" fontId="137" fillId="0" borderId="30" xfId="25" applyNumberFormat="1" applyFont="1" applyBorder="1" applyAlignment="1" applyProtection="1">
      <alignment horizontal="right"/>
      <protection locked="0"/>
    </xf>
    <xf numFmtId="0" fontId="228" fillId="0" borderId="30" xfId="25" applyFont="1" applyBorder="1" applyAlignment="1" applyProtection="1">
      <alignment horizontal="left" wrapText="1"/>
      <protection locked="0"/>
    </xf>
    <xf numFmtId="0" fontId="137" fillId="0" borderId="30" xfId="25" applyFont="1" applyBorder="1" applyAlignment="1" applyProtection="1">
      <alignment horizontal="left" wrapText="1"/>
      <protection locked="0"/>
    </xf>
    <xf numFmtId="4" fontId="137" fillId="5" borderId="30" xfId="25" applyNumberFormat="1" applyFont="1" applyFill="1" applyBorder="1" applyAlignment="1" applyProtection="1">
      <alignment horizontal="right"/>
      <protection locked="0"/>
    </xf>
    <xf numFmtId="0" fontId="7" fillId="0" borderId="0" xfId="25" applyAlignment="1" applyProtection="1">
      <alignment vertical="top"/>
      <protection locked="0"/>
    </xf>
    <xf numFmtId="37" fontId="96" fillId="0" borderId="30" xfId="25" applyNumberFormat="1" applyFont="1" applyBorder="1" applyAlignment="1" applyProtection="1">
      <alignment horizontal="right"/>
      <protection locked="0"/>
    </xf>
    <xf numFmtId="0" fontId="96" fillId="0" borderId="30" xfId="25" applyFont="1" applyBorder="1" applyAlignment="1" applyProtection="1">
      <alignment horizontal="left" wrapText="1"/>
      <protection locked="0"/>
    </xf>
    <xf numFmtId="39" fontId="96" fillId="0" borderId="30" xfId="25" applyNumberFormat="1" applyFont="1" applyBorder="1" applyAlignment="1" applyProtection="1">
      <alignment horizontal="right"/>
      <protection locked="0"/>
    </xf>
    <xf numFmtId="167" fontId="7" fillId="0" borderId="0" xfId="25" applyNumberFormat="1" applyAlignment="1" applyProtection="1">
      <alignment vertical="top"/>
      <protection locked="0"/>
    </xf>
    <xf numFmtId="1" fontId="28" fillId="0" borderId="30" xfId="8" applyNumberFormat="1" applyFont="1" applyBorder="1" applyAlignment="1" applyProtection="1">
      <alignment horizontal="right"/>
      <protection locked="0"/>
    </xf>
    <xf numFmtId="0" fontId="28" fillId="0" borderId="30" xfId="8" applyFont="1" applyBorder="1" applyAlignment="1" applyProtection="1">
      <alignment horizontal="left" wrapText="1"/>
      <protection locked="0"/>
    </xf>
    <xf numFmtId="167" fontId="28" fillId="0" borderId="30" xfId="8" applyNumberFormat="1" applyFont="1" applyBorder="1" applyAlignment="1" applyProtection="1">
      <alignment horizontal="right"/>
      <protection locked="0"/>
    </xf>
    <xf numFmtId="4" fontId="28" fillId="0" borderId="30" xfId="8" applyNumberFormat="1" applyFont="1" applyBorder="1" applyAlignment="1" applyProtection="1">
      <alignment horizontal="right"/>
      <protection locked="0"/>
    </xf>
    <xf numFmtId="0" fontId="10" fillId="0" borderId="0" xfId="8" applyAlignment="1" applyProtection="1">
      <alignment horizontal="left" vertical="top"/>
      <protection locked="0"/>
    </xf>
    <xf numFmtId="0" fontId="10" fillId="0" borderId="0" xfId="8"/>
    <xf numFmtId="0" fontId="38" fillId="0" borderId="0" xfId="37"/>
    <xf numFmtId="0" fontId="38" fillId="7" borderId="0" xfId="37" applyFill="1"/>
    <xf numFmtId="0" fontId="94" fillId="7" borderId="0" xfId="25" applyFont="1" applyFill="1" applyAlignment="1" applyProtection="1">
      <alignment horizontal="left" vertical="top"/>
      <protection locked="0"/>
    </xf>
    <xf numFmtId="0" fontId="94" fillId="0" borderId="0" xfId="37" applyFont="1" applyAlignment="1" applyProtection="1">
      <alignment horizontal="left" vertical="top"/>
      <protection locked="0"/>
    </xf>
    <xf numFmtId="0" fontId="67" fillId="0" borderId="0" xfId="60" applyAlignment="1" applyProtection="1"/>
    <xf numFmtId="39" fontId="8" fillId="0" borderId="30" xfId="37" applyNumberFormat="1" applyFont="1" applyBorder="1" applyAlignment="1">
      <alignment horizontal="right"/>
    </xf>
    <xf numFmtId="171" fontId="100" fillId="0" borderId="0" xfId="72" applyNumberFormat="1" applyFont="1" applyFill="1" applyAlignment="1">
      <alignment horizontal="center" vertical="center"/>
      <protection locked="0"/>
    </xf>
    <xf numFmtId="0" fontId="100" fillId="0" borderId="0" xfId="72" applyFont="1" applyFill="1" applyAlignment="1">
      <alignment horizontal="center" vertical="center"/>
      <protection locked="0"/>
    </xf>
    <xf numFmtId="2" fontId="100" fillId="0" borderId="0" xfId="72" applyNumberFormat="1" applyFont="1" applyFill="1" applyAlignment="1">
      <alignment horizontal="center" vertical="center"/>
      <protection locked="0"/>
    </xf>
    <xf numFmtId="39" fontId="100" fillId="0" borderId="0" xfId="72" applyNumberFormat="1" applyFont="1" applyFill="1" applyAlignment="1">
      <alignment horizontal="center" vertical="center"/>
      <protection locked="0"/>
    </xf>
    <xf numFmtId="0" fontId="103" fillId="0" borderId="0" xfId="51" applyFont="1" applyFill="1" applyAlignment="1" applyProtection="1">
      <alignment horizontal="left" vertical="center"/>
      <protection locked="0"/>
    </xf>
    <xf numFmtId="0" fontId="62" fillId="0" borderId="0" xfId="72" applyFont="1" applyFill="1" applyAlignment="1" applyProtection="1">
      <alignment horizontal="left" vertical="center"/>
      <protection locked="0"/>
    </xf>
    <xf numFmtId="49" fontId="123" fillId="0" borderId="0" xfId="51" applyNumberFormat="1" applyFill="1" applyAlignment="1" applyProtection="1">
      <alignment horizontal="left" vertical="top"/>
      <protection locked="0"/>
    </xf>
    <xf numFmtId="6" fontId="123" fillId="0" borderId="0" xfId="51" applyNumberFormat="1" applyFill="1" applyAlignment="1" applyProtection="1">
      <alignment horizontal="left" vertical="top"/>
      <protection locked="0"/>
    </xf>
    <xf numFmtId="0" fontId="94" fillId="0" borderId="0" xfId="40" applyFont="1" applyAlignment="1">
      <alignment horizontal="left" vertical="top"/>
      <protection locked="0"/>
    </xf>
    <xf numFmtId="0" fontId="67" fillId="0" borderId="0" xfId="40" applyAlignment="1">
      <alignment vertical="top"/>
      <protection locked="0"/>
    </xf>
    <xf numFmtId="0" fontId="53" fillId="0" borderId="0" xfId="71" applyFont="1" applyAlignment="1" applyProtection="1">
      <alignment horizontal="left" vertical="top"/>
      <protection locked="0"/>
    </xf>
    <xf numFmtId="0" fontId="94" fillId="0" borderId="0" xfId="25" applyFont="1" applyAlignment="1" applyProtection="1">
      <alignment horizontal="left"/>
      <protection locked="0"/>
    </xf>
    <xf numFmtId="0" fontId="94" fillId="7" borderId="0" xfId="25" applyFont="1" applyFill="1" applyAlignment="1" applyProtection="1">
      <alignment horizontal="left"/>
      <protection locked="0"/>
    </xf>
    <xf numFmtId="0" fontId="7" fillId="0" borderId="0" xfId="75" applyAlignment="1" applyProtection="1">
      <alignment horizontal="left" vertical="top"/>
      <protection locked="0"/>
    </xf>
    <xf numFmtId="0" fontId="94" fillId="0" borderId="0" xfId="75" applyFont="1" applyAlignment="1" applyProtection="1">
      <alignment horizontal="left"/>
      <protection locked="0"/>
    </xf>
    <xf numFmtId="0" fontId="94" fillId="7" borderId="0" xfId="75" applyFont="1" applyFill="1" applyAlignment="1" applyProtection="1">
      <alignment horizontal="left"/>
      <protection locked="0"/>
    </xf>
    <xf numFmtId="0" fontId="28" fillId="0" borderId="30" xfId="74" applyFont="1" applyBorder="1" applyAlignment="1">
      <alignment horizontal="left" wrapText="1"/>
      <protection locked="0"/>
    </xf>
    <xf numFmtId="0" fontId="81" fillId="0" borderId="0" xfId="28" applyFont="1" applyAlignment="1">
      <alignment horizontal="left" vertical="center"/>
      <protection locked="0"/>
    </xf>
    <xf numFmtId="0" fontId="123" fillId="0" borderId="0" xfId="51" applyFill="1" applyAlignment="1" applyProtection="1">
      <alignment vertical="top"/>
    </xf>
    <xf numFmtId="0" fontId="94" fillId="0" borderId="0" xfId="63" applyFont="1" applyAlignment="1" applyProtection="1">
      <alignment horizontal="left" vertical="top"/>
      <protection locked="0"/>
    </xf>
    <xf numFmtId="0" fontId="171" fillId="0" borderId="0" xfId="67" applyFont="1" applyFill="1" applyAlignment="1" applyProtection="1">
      <alignment horizontal="left" vertical="center"/>
      <protection locked="0"/>
    </xf>
    <xf numFmtId="0" fontId="91" fillId="0" borderId="0" xfId="76" applyFill="1" applyAlignment="1" applyProtection="1">
      <alignment horizontal="left" vertical="center"/>
      <protection locked="0"/>
    </xf>
    <xf numFmtId="0" fontId="62" fillId="0" borderId="0" xfId="67" applyFont="1" applyFill="1" applyAlignment="1" applyProtection="1">
      <alignment horizontal="left" vertical="center"/>
      <protection locked="0"/>
    </xf>
    <xf numFmtId="0" fontId="176" fillId="0" borderId="0" xfId="67" applyFill="1" applyAlignment="1" applyProtection="1">
      <alignment horizontal="left" vertical="top"/>
      <protection locked="0"/>
    </xf>
    <xf numFmtId="0" fontId="67" fillId="0" borderId="0" xfId="48" applyAlignment="1" applyProtection="1"/>
    <xf numFmtId="0" fontId="123" fillId="0" borderId="0" xfId="51" applyFill="1" applyAlignment="1">
      <alignment horizontal="left" vertical="top"/>
      <protection locked="0"/>
    </xf>
    <xf numFmtId="0" fontId="248" fillId="0" borderId="0" xfId="51" applyFont="1" applyFill="1" applyAlignment="1" applyProtection="1">
      <alignment horizontal="left" vertical="center"/>
      <protection locked="0"/>
    </xf>
    <xf numFmtId="0" fontId="81" fillId="0" borderId="0" xfId="67" applyFont="1" applyFill="1" applyAlignment="1" applyProtection="1">
      <alignment horizontal="left" vertical="center"/>
      <protection locked="0"/>
    </xf>
    <xf numFmtId="0" fontId="67" fillId="0" borderId="0" xfId="67" applyFont="1" applyFill="1" applyAlignment="1" applyProtection="1">
      <alignment horizontal="left" vertical="center"/>
      <protection locked="0"/>
    </xf>
    <xf numFmtId="0" fontId="11" fillId="0" borderId="0" xfId="37" applyFont="1" applyAlignment="1" applyProtection="1">
      <alignment horizontal="left" vertical="top"/>
      <protection locked="0"/>
    </xf>
    <xf numFmtId="0" fontId="11" fillId="7" borderId="0" xfId="37" applyFont="1" applyFill="1" applyAlignment="1" applyProtection="1">
      <alignment horizontal="left" vertical="top"/>
      <protection locked="0"/>
    </xf>
    <xf numFmtId="0" fontId="38" fillId="0" borderId="0" xfId="37" applyAlignment="1" applyProtection="1">
      <alignment horizontal="left" vertical="top"/>
      <protection locked="0"/>
    </xf>
    <xf numFmtId="4" fontId="8" fillId="0" borderId="30" xfId="25" applyNumberFormat="1" applyFont="1" applyBorder="1" applyAlignment="1">
      <alignment horizontal="right"/>
    </xf>
    <xf numFmtId="39" fontId="66" fillId="0" borderId="30" xfId="25" applyNumberFormat="1" applyFont="1" applyBorder="1" applyAlignment="1" applyProtection="1">
      <alignment horizontal="right"/>
      <protection locked="0"/>
    </xf>
    <xf numFmtId="0" fontId="67" fillId="0" borderId="30" xfId="8" applyFont="1" applyBorder="1" applyAlignment="1" applyProtection="1">
      <alignment horizontal="left" vertical="center"/>
      <protection locked="0"/>
    </xf>
    <xf numFmtId="1" fontId="28" fillId="0" borderId="30" xfId="37" applyNumberFormat="1" applyFont="1" applyBorder="1" applyAlignment="1">
      <alignment horizontal="right"/>
    </xf>
    <xf numFmtId="37" fontId="28" fillId="0" borderId="30" xfId="37" applyNumberFormat="1" applyFont="1" applyBorder="1" applyAlignment="1">
      <alignment horizontal="right"/>
    </xf>
    <xf numFmtId="167" fontId="28" fillId="0" borderId="30" xfId="37" applyNumberFormat="1" applyFont="1" applyBorder="1" applyAlignment="1">
      <alignment horizontal="right"/>
    </xf>
    <xf numFmtId="4" fontId="28" fillId="0" borderId="30" xfId="37" applyNumberFormat="1" applyFont="1" applyBorder="1" applyAlignment="1">
      <alignment horizontal="right"/>
    </xf>
    <xf numFmtId="167" fontId="28" fillId="0" borderId="30" xfId="25" applyNumberFormat="1" applyFont="1" applyBorder="1" applyAlignment="1" applyProtection="1">
      <alignment horizontal="right" wrapText="1"/>
      <protection locked="0"/>
    </xf>
    <xf numFmtId="167" fontId="53" fillId="0" borderId="30" xfId="25" applyNumberFormat="1" applyFont="1" applyBorder="1" applyAlignment="1" applyProtection="1">
      <alignment horizontal="left" vertical="top"/>
      <protection locked="0"/>
    </xf>
    <xf numFmtId="0" fontId="230" fillId="0" borderId="30" xfId="37" applyFont="1" applyBorder="1" applyAlignment="1">
      <alignment horizontal="right" vertical="center"/>
    </xf>
    <xf numFmtId="167" fontId="94" fillId="0" borderId="0" xfId="25" applyNumberFormat="1" applyFont="1" applyAlignment="1" applyProtection="1">
      <alignment horizontal="left" vertical="top"/>
      <protection locked="0"/>
    </xf>
    <xf numFmtId="0" fontId="72" fillId="0" borderId="30" xfId="8" applyFont="1" applyBorder="1" applyAlignment="1" applyProtection="1">
      <alignment horizontal="left" wrapText="1"/>
      <protection locked="0"/>
    </xf>
    <xf numFmtId="0" fontId="67" fillId="0" borderId="30" xfId="8" applyFont="1" applyBorder="1" applyAlignment="1" applyProtection="1">
      <alignment horizontal="right" vertical="center"/>
      <protection locked="0"/>
    </xf>
    <xf numFmtId="167" fontId="96" fillId="0" borderId="30" xfId="25" applyNumberFormat="1" applyFont="1" applyBorder="1" applyAlignment="1" applyProtection="1">
      <alignment horizontal="left" wrapText="1"/>
      <protection locked="0"/>
    </xf>
    <xf numFmtId="0" fontId="72" fillId="0" borderId="30" xfId="74" applyFont="1" applyBorder="1" applyAlignment="1">
      <alignment horizontal="left" wrapText="1"/>
      <protection locked="0"/>
    </xf>
    <xf numFmtId="0" fontId="11" fillId="0" borderId="30" xfId="60" applyFont="1" applyBorder="1" applyAlignment="1">
      <alignment horizontal="left" vertical="top"/>
      <protection locked="0"/>
    </xf>
    <xf numFmtId="0" fontId="70" fillId="0" borderId="30" xfId="37" applyFont="1" applyBorder="1" applyAlignment="1">
      <alignment horizontal="right" vertical="center"/>
    </xf>
    <xf numFmtId="0" fontId="227" fillId="0" borderId="30" xfId="48" applyFont="1" applyBorder="1" applyAlignment="1">
      <alignment horizontal="left" vertical="center" wrapText="1"/>
      <protection locked="0"/>
    </xf>
    <xf numFmtId="0" fontId="72" fillId="0" borderId="30" xfId="48" quotePrefix="1" applyFont="1" applyBorder="1" applyAlignment="1" applyProtection="1">
      <alignment horizontal="left" wrapText="1"/>
    </xf>
    <xf numFmtId="171" fontId="8" fillId="0" borderId="30" xfId="25" applyNumberFormat="1" applyFont="1" applyBorder="1" applyAlignment="1" applyProtection="1">
      <alignment horizontal="right"/>
      <protection locked="0"/>
    </xf>
    <xf numFmtId="49" fontId="28" fillId="0" borderId="30" xfId="69" applyNumberFormat="1" applyFont="1" applyBorder="1" applyAlignment="1" applyProtection="1">
      <alignment horizontal="right"/>
      <protection locked="0"/>
    </xf>
    <xf numFmtId="49" fontId="66" fillId="0" borderId="30" xfId="69" applyNumberFormat="1" applyFont="1" applyBorder="1" applyAlignment="1" applyProtection="1">
      <alignment horizontal="left" wrapText="1"/>
      <protection locked="0"/>
    </xf>
    <xf numFmtId="0" fontId="66" fillId="0" borderId="30" xfId="69" applyFont="1" applyBorder="1" applyAlignment="1" applyProtection="1">
      <alignment horizontal="left" wrapText="1"/>
      <protection locked="0"/>
    </xf>
    <xf numFmtId="0" fontId="28" fillId="0" borderId="30" xfId="69" applyFont="1" applyBorder="1" applyAlignment="1" applyProtection="1">
      <alignment horizontal="left" wrapText="1"/>
      <protection locked="0"/>
    </xf>
    <xf numFmtId="167" fontId="99" fillId="0" borderId="30" xfId="69" applyNumberFormat="1" applyFont="1" applyBorder="1" applyAlignment="1" applyProtection="1">
      <alignment horizontal="right" wrapText="1"/>
      <protection locked="0"/>
    </xf>
    <xf numFmtId="4" fontId="66" fillId="0" borderId="30" xfId="69" applyNumberFormat="1" applyFont="1" applyBorder="1" applyAlignment="1" applyProtection="1">
      <alignment horizontal="right"/>
      <protection locked="0"/>
    </xf>
    <xf numFmtId="0" fontId="10" fillId="0" borderId="30" xfId="69" applyBorder="1" applyAlignment="1" applyProtection="1">
      <alignment horizontal="left" vertical="top"/>
      <protection locked="0"/>
    </xf>
    <xf numFmtId="0" fontId="7" fillId="0" borderId="0" xfId="71"/>
    <xf numFmtId="0" fontId="37" fillId="0" borderId="0" xfId="71" applyFont="1" applyAlignment="1">
      <alignment horizontal="left"/>
    </xf>
    <xf numFmtId="0" fontId="8" fillId="0" borderId="0" xfId="71" applyFont="1" applyAlignment="1">
      <alignment horizontal="left"/>
    </xf>
    <xf numFmtId="0" fontId="36" fillId="0" borderId="0" xfId="71" applyFont="1" applyAlignment="1">
      <alignment horizontal="left"/>
    </xf>
    <xf numFmtId="0" fontId="7" fillId="0" borderId="0" xfId="71" applyAlignment="1" applyProtection="1">
      <alignment horizontal="left" vertical="top"/>
      <protection locked="0"/>
    </xf>
    <xf numFmtId="0" fontId="43" fillId="0" borderId="0" xfId="71" applyFont="1" applyAlignment="1">
      <alignment horizontal="left"/>
    </xf>
    <xf numFmtId="0" fontId="36" fillId="0" borderId="0" xfId="71" applyFont="1" applyAlignment="1">
      <alignment horizontal="center"/>
    </xf>
    <xf numFmtId="0" fontId="44" fillId="0" borderId="0" xfId="71" applyFont="1" applyAlignment="1">
      <alignment horizontal="right" vertical="top"/>
    </xf>
    <xf numFmtId="0" fontId="45" fillId="0" borderId="31" xfId="71" applyFont="1" applyBorder="1" applyAlignment="1">
      <alignment horizontal="center" vertical="center" wrapText="1"/>
    </xf>
    <xf numFmtId="0" fontId="45" fillId="0" borderId="12" xfId="71" applyFont="1" applyBorder="1" applyAlignment="1">
      <alignment horizontal="center" vertical="center" wrapText="1"/>
    </xf>
    <xf numFmtId="37" fontId="37" fillId="0" borderId="0" xfId="71" applyNumberFormat="1" applyFont="1" applyAlignment="1">
      <alignment horizontal="right"/>
    </xf>
    <xf numFmtId="0" fontId="37" fillId="0" borderId="0" xfId="71" applyFont="1" applyAlignment="1">
      <alignment horizontal="left" wrapText="1"/>
    </xf>
    <xf numFmtId="170" fontId="37" fillId="0" borderId="0" xfId="71" applyNumberFormat="1" applyFont="1" applyAlignment="1">
      <alignment horizontal="right"/>
    </xf>
    <xf numFmtId="4" fontId="37" fillId="0" borderId="0" xfId="71" applyNumberFormat="1" applyFont="1" applyAlignment="1">
      <alignment horizontal="right"/>
    </xf>
    <xf numFmtId="0" fontId="7" fillId="0" borderId="0" xfId="71" applyAlignment="1">
      <alignment horizontal="left" vertical="top"/>
    </xf>
    <xf numFmtId="37" fontId="37" fillId="7" borderId="30" xfId="71" applyNumberFormat="1" applyFont="1" applyFill="1" applyBorder="1" applyAlignment="1" applyProtection="1">
      <alignment horizontal="right"/>
      <protection locked="0"/>
    </xf>
    <xf numFmtId="0" fontId="37" fillId="7" borderId="30" xfId="71" applyFont="1" applyFill="1" applyBorder="1" applyAlignment="1" applyProtection="1">
      <alignment horizontal="left" wrapText="1"/>
      <protection locked="0"/>
    </xf>
    <xf numFmtId="2" fontId="37" fillId="7" borderId="30" xfId="71" applyNumberFormat="1" applyFont="1" applyFill="1" applyBorder="1" applyAlignment="1" applyProtection="1">
      <alignment horizontal="right"/>
      <protection locked="0"/>
    </xf>
    <xf numFmtId="39" fontId="37" fillId="7" borderId="30" xfId="71" applyNumberFormat="1" applyFont="1" applyFill="1" applyBorder="1" applyAlignment="1" applyProtection="1">
      <alignment horizontal="right"/>
      <protection locked="0"/>
    </xf>
    <xf numFmtId="39" fontId="37" fillId="0" borderId="30" xfId="71" applyNumberFormat="1" applyFont="1" applyBorder="1" applyAlignment="1" applyProtection="1">
      <alignment horizontal="right"/>
      <protection locked="0"/>
    </xf>
    <xf numFmtId="0" fontId="7" fillId="0" borderId="30" xfId="71" applyBorder="1" applyAlignment="1" applyProtection="1">
      <alignment vertical="top"/>
      <protection locked="0"/>
    </xf>
    <xf numFmtId="0" fontId="7" fillId="7" borderId="0" xfId="71" applyFill="1" applyAlignment="1" applyProtection="1">
      <alignment horizontal="left" vertical="top"/>
      <protection locked="0"/>
    </xf>
    <xf numFmtId="0" fontId="8" fillId="0" borderId="30" xfId="71" applyFont="1" applyBorder="1" applyAlignment="1" applyProtection="1">
      <alignment horizontal="left" wrapText="1"/>
      <protection locked="0"/>
    </xf>
    <xf numFmtId="167" fontId="8" fillId="0" borderId="30" xfId="71" applyNumberFormat="1" applyFont="1" applyBorder="1" applyAlignment="1" applyProtection="1">
      <alignment horizontal="right"/>
      <protection locked="0"/>
    </xf>
    <xf numFmtId="49" fontId="8" fillId="0" borderId="30" xfId="71" applyNumberFormat="1" applyFont="1" applyBorder="1" applyAlignment="1" applyProtection="1">
      <alignment horizontal="left" wrapText="1"/>
      <protection locked="0"/>
    </xf>
    <xf numFmtId="0" fontId="28" fillId="0" borderId="30" xfId="71" applyFont="1" applyBorder="1" applyAlignment="1" applyProtection="1">
      <alignment horizontal="left" wrapText="1"/>
      <protection locked="0"/>
    </xf>
    <xf numFmtId="167" fontId="28" fillId="0" borderId="30" xfId="71" applyNumberFormat="1" applyFont="1" applyBorder="1" applyAlignment="1" applyProtection="1">
      <alignment horizontal="right"/>
      <protection locked="0"/>
    </xf>
    <xf numFmtId="39" fontId="8" fillId="0" borderId="30" xfId="71" applyNumberFormat="1" applyFont="1" applyBorder="1" applyAlignment="1" applyProtection="1">
      <alignment horizontal="right"/>
      <protection locked="0"/>
    </xf>
    <xf numFmtId="39" fontId="8" fillId="0" borderId="30" xfId="71" applyNumberFormat="1" applyFont="1" applyBorder="1" applyAlignment="1" applyProtection="1">
      <alignment horizontal="center"/>
      <protection locked="0"/>
    </xf>
    <xf numFmtId="0" fontId="7" fillId="0" borderId="30" xfId="71" applyBorder="1" applyAlignment="1" applyProtection="1">
      <alignment horizontal="left" vertical="top"/>
      <protection locked="0"/>
    </xf>
    <xf numFmtId="37" fontId="8" fillId="0" borderId="30" xfId="71" applyNumberFormat="1" applyFont="1" applyBorder="1" applyAlignment="1" applyProtection="1">
      <alignment horizontal="right"/>
      <protection locked="0"/>
    </xf>
    <xf numFmtId="0" fontId="37" fillId="0" borderId="30" xfId="71" applyFont="1" applyBorder="1" applyAlignment="1" applyProtection="1">
      <alignment horizontal="left" wrapText="1"/>
      <protection locked="0"/>
    </xf>
    <xf numFmtId="167" fontId="37" fillId="0" borderId="30" xfId="71" applyNumberFormat="1" applyFont="1" applyBorder="1" applyAlignment="1" applyProtection="1">
      <alignment horizontal="right"/>
      <protection locked="0"/>
    </xf>
    <xf numFmtId="37" fontId="37" fillId="0" borderId="30" xfId="71" applyNumberFormat="1" applyFont="1" applyBorder="1" applyAlignment="1">
      <alignment horizontal="right"/>
    </xf>
    <xf numFmtId="0" fontId="37" fillId="0" borderId="30" xfId="71" applyFont="1" applyBorder="1" applyAlignment="1">
      <alignment horizontal="left" wrapText="1"/>
    </xf>
    <xf numFmtId="39" fontId="37" fillId="0" borderId="30" xfId="71" applyNumberFormat="1" applyFont="1" applyBorder="1" applyAlignment="1">
      <alignment horizontal="right"/>
    </xf>
    <xf numFmtId="0" fontId="7" fillId="0" borderId="30" xfId="71" applyBorder="1" applyAlignment="1">
      <alignment horizontal="left" vertical="top"/>
    </xf>
    <xf numFmtId="0" fontId="249" fillId="0" borderId="0" xfId="51" applyFont="1" applyFill="1" applyAlignment="1" applyProtection="1">
      <alignment horizontal="left" vertical="center"/>
      <protection locked="0"/>
    </xf>
    <xf numFmtId="0" fontId="94" fillId="0" borderId="0" xfId="71" applyFont="1" applyAlignment="1" applyProtection="1">
      <alignment horizontal="left"/>
      <protection locked="0"/>
    </xf>
    <xf numFmtId="0" fontId="94" fillId="7" borderId="0" xfId="71" applyFont="1" applyFill="1" applyAlignment="1" applyProtection="1">
      <alignment horizontal="left"/>
      <protection locked="0"/>
    </xf>
    <xf numFmtId="0" fontId="91" fillId="0" borderId="0" xfId="76" applyFill="1" applyAlignment="1" applyProtection="1">
      <alignment horizontal="left" vertical="top"/>
      <protection locked="0"/>
    </xf>
    <xf numFmtId="0" fontId="11" fillId="0" borderId="0" xfId="71" applyFont="1" applyAlignment="1" applyProtection="1">
      <alignment horizontal="left" vertical="top"/>
      <protection locked="0"/>
    </xf>
    <xf numFmtId="0" fontId="11" fillId="7" borderId="0" xfId="71" applyFont="1" applyFill="1" applyAlignment="1" applyProtection="1">
      <alignment horizontal="left" vertical="top"/>
      <protection locked="0"/>
    </xf>
    <xf numFmtId="37" fontId="37" fillId="0" borderId="30" xfId="71" applyNumberFormat="1" applyFont="1" applyBorder="1" applyAlignment="1" applyProtection="1">
      <alignment horizontal="right"/>
      <protection locked="0"/>
    </xf>
    <xf numFmtId="39" fontId="8" fillId="0" borderId="30" xfId="63" applyNumberFormat="1" applyFont="1" applyBorder="1" applyAlignment="1" applyProtection="1">
      <alignment horizontal="center"/>
      <protection locked="0"/>
    </xf>
    <xf numFmtId="0" fontId="7" fillId="0" borderId="0" xfId="71" applyAlignment="1" applyProtection="1">
      <alignment vertical="top"/>
      <protection locked="0"/>
    </xf>
    <xf numFmtId="0" fontId="11" fillId="0" borderId="0" xfId="63" applyFont="1" applyAlignment="1" applyProtection="1">
      <alignment horizontal="left" vertical="top"/>
      <protection locked="0"/>
    </xf>
    <xf numFmtId="0" fontId="28" fillId="0" borderId="30" xfId="63" applyFont="1" applyBorder="1" applyAlignment="1" applyProtection="1">
      <alignment horizontal="left" wrapText="1"/>
      <protection locked="0"/>
    </xf>
    <xf numFmtId="39" fontId="48" fillId="0" borderId="30" xfId="71" applyNumberFormat="1" applyFont="1" applyBorder="1" applyAlignment="1" applyProtection="1">
      <alignment horizontal="center"/>
      <protection locked="0"/>
    </xf>
    <xf numFmtId="0" fontId="53" fillId="0" borderId="30" xfId="71" applyFont="1" applyBorder="1" applyAlignment="1" applyProtection="1">
      <alignment horizontal="left" vertical="top"/>
      <protection locked="0"/>
    </xf>
    <xf numFmtId="37" fontId="86" fillId="0" borderId="0" xfId="71" applyNumberFormat="1" applyFont="1" applyAlignment="1">
      <alignment horizontal="right"/>
    </xf>
    <xf numFmtId="0" fontId="86" fillId="0" borderId="0" xfId="71" applyFont="1" applyAlignment="1">
      <alignment horizontal="left" wrapText="1"/>
    </xf>
    <xf numFmtId="170" fontId="86" fillId="0" borderId="0" xfId="71" applyNumberFormat="1" applyFont="1" applyAlignment="1">
      <alignment horizontal="right"/>
    </xf>
    <xf numFmtId="39" fontId="86" fillId="0" borderId="0" xfId="71" applyNumberFormat="1" applyFont="1" applyAlignment="1">
      <alignment horizontal="right"/>
    </xf>
    <xf numFmtId="37" fontId="8" fillId="0" borderId="21" xfId="71" applyNumberFormat="1" applyFont="1" applyBorder="1" applyAlignment="1">
      <alignment horizontal="right"/>
    </xf>
    <xf numFmtId="0" fontId="8" fillId="0" borderId="21" xfId="71" applyFont="1" applyBorder="1" applyAlignment="1">
      <alignment horizontal="left" wrapText="1"/>
    </xf>
    <xf numFmtId="0" fontId="8" fillId="0" borderId="21" xfId="71" applyFont="1" applyBorder="1" applyAlignment="1">
      <alignment horizontal="center" wrapText="1"/>
    </xf>
    <xf numFmtId="170" fontId="8" fillId="0" borderId="21" xfId="71" applyNumberFormat="1" applyFont="1" applyBorder="1" applyAlignment="1">
      <alignment horizontal="right"/>
    </xf>
    <xf numFmtId="39" fontId="8" fillId="0" borderId="21" xfId="71" applyNumberFormat="1" applyFont="1" applyBorder="1" applyAlignment="1">
      <alignment horizontal="right"/>
    </xf>
    <xf numFmtId="0" fontId="87" fillId="0" borderId="0" xfId="71" applyFont="1" applyAlignment="1">
      <alignment horizontal="left" vertical="top"/>
    </xf>
    <xf numFmtId="0" fontId="37" fillId="0" borderId="32" xfId="71" applyFont="1" applyBorder="1" applyAlignment="1">
      <alignment horizontal="left"/>
    </xf>
    <xf numFmtId="0" fontId="66" fillId="0" borderId="33" xfId="71" applyFont="1" applyBorder="1" applyAlignment="1">
      <alignment horizontal="center"/>
    </xf>
    <xf numFmtId="170" fontId="66" fillId="0" borderId="33" xfId="71" applyNumberFormat="1" applyFont="1" applyBorder="1" applyAlignment="1">
      <alignment horizontal="right"/>
    </xf>
    <xf numFmtId="39" fontId="8" fillId="0" borderId="33" xfId="71" applyNumberFormat="1" applyFont="1" applyBorder="1" applyAlignment="1">
      <alignment horizontal="right"/>
    </xf>
    <xf numFmtId="39" fontId="48" fillId="0" borderId="0" xfId="71" applyNumberFormat="1" applyFont="1" applyAlignment="1">
      <alignment horizontal="center"/>
    </xf>
    <xf numFmtId="37" fontId="66" fillId="0" borderId="0" xfId="71" applyNumberFormat="1" applyFont="1" applyAlignment="1">
      <alignment horizontal="right"/>
    </xf>
    <xf numFmtId="0" fontId="66" fillId="0" borderId="0" xfId="71" applyFont="1" applyAlignment="1">
      <alignment horizontal="left" wrapText="1"/>
    </xf>
    <xf numFmtId="0" fontId="8" fillId="0" borderId="0" xfId="71" applyFont="1" applyAlignment="1">
      <alignment horizontal="left" wrapText="1"/>
    </xf>
    <xf numFmtId="0" fontId="66" fillId="0" borderId="0" xfId="71" applyFont="1" applyAlignment="1">
      <alignment horizontal="center" wrapText="1"/>
    </xf>
    <xf numFmtId="170" fontId="66" fillId="0" borderId="0" xfId="71" applyNumberFormat="1" applyFont="1" applyAlignment="1">
      <alignment horizontal="right"/>
    </xf>
    <xf numFmtId="39" fontId="66" fillId="0" borderId="0" xfId="71" applyNumberFormat="1" applyFont="1" applyAlignment="1">
      <alignment horizontal="right"/>
    </xf>
    <xf numFmtId="39" fontId="8" fillId="0" borderId="0" xfId="71" applyNumberFormat="1" applyFont="1" applyAlignment="1">
      <alignment horizontal="right"/>
    </xf>
    <xf numFmtId="0" fontId="37" fillId="0" borderId="0" xfId="27" applyFont="1" applyAlignment="1" applyProtection="1">
      <alignment horizontal="left"/>
    </xf>
    <xf numFmtId="0" fontId="37" fillId="0" borderId="0" xfId="27" applyFont="1" applyAlignment="1" applyProtection="1">
      <alignment wrapText="1"/>
    </xf>
    <xf numFmtId="0" fontId="67" fillId="0" borderId="0" xfId="27" applyFont="1" applyAlignment="1" applyProtection="1"/>
    <xf numFmtId="0" fontId="11" fillId="0" borderId="0" xfId="27" applyAlignment="1" applyProtection="1"/>
    <xf numFmtId="0" fontId="159" fillId="0" borderId="0" xfId="27" applyFont="1" applyAlignment="1" applyProtection="1">
      <alignment horizontal="left" vertical="center"/>
    </xf>
    <xf numFmtId="0" fontId="95" fillId="0" borderId="0" xfId="27" applyFont="1" applyAlignment="1">
      <alignment horizontal="left" vertical="top"/>
      <protection locked="0"/>
    </xf>
    <xf numFmtId="0" fontId="11" fillId="7" borderId="0" xfId="27" applyFill="1" applyAlignment="1">
      <alignment horizontal="left" vertical="top"/>
      <protection locked="0"/>
    </xf>
    <xf numFmtId="2" fontId="250" fillId="0" borderId="0" xfId="49" applyNumberFormat="1" applyFont="1" applyAlignment="1" applyProtection="1">
      <alignment horizontal="left" vertical="center"/>
      <protection locked="0"/>
    </xf>
    <xf numFmtId="0" fontId="250" fillId="0" borderId="0" xfId="60" applyFont="1" applyAlignment="1">
      <alignment horizontal="left" vertical="center"/>
      <protection locked="0"/>
    </xf>
    <xf numFmtId="2" fontId="250" fillId="0" borderId="0" xfId="60" applyNumberFormat="1" applyFont="1" applyAlignment="1">
      <alignment horizontal="left" vertical="center"/>
      <protection locked="0"/>
    </xf>
    <xf numFmtId="0" fontId="250" fillId="0" borderId="0" xfId="49" applyFont="1" applyAlignment="1" applyProtection="1">
      <alignment horizontal="left" vertical="center"/>
      <protection locked="0"/>
    </xf>
    <xf numFmtId="37" fontId="8" fillId="0" borderId="30" xfId="73" applyNumberFormat="1" applyFont="1" applyBorder="1" applyAlignment="1">
      <alignment horizontal="right"/>
      <protection locked="0"/>
    </xf>
    <xf numFmtId="0" fontId="52" fillId="0" borderId="0" xfId="48" applyFont="1" applyAlignment="1" applyProtection="1"/>
    <xf numFmtId="0" fontId="80" fillId="0" borderId="0" xfId="78" applyFont="1" applyAlignment="1" applyProtection="1">
      <alignment horizontal="left" vertical="center"/>
      <protection locked="0"/>
    </xf>
    <xf numFmtId="0" fontId="12" fillId="0" borderId="0" xfId="78" applyAlignment="1" applyProtection="1">
      <alignment horizontal="left" vertical="top"/>
      <protection locked="0"/>
    </xf>
    <xf numFmtId="0" fontId="12" fillId="0" borderId="0" xfId="78"/>
    <xf numFmtId="2" fontId="12" fillId="0" borderId="0" xfId="78" applyNumberFormat="1" applyAlignment="1" applyProtection="1">
      <alignment horizontal="left" vertical="top"/>
      <protection locked="0"/>
    </xf>
    <xf numFmtId="0" fontId="59" fillId="0" borderId="0" xfId="53" applyFont="1" applyAlignment="1" applyProtection="1">
      <alignment horizontal="left" vertical="top"/>
      <protection locked="0"/>
    </xf>
    <xf numFmtId="0" fontId="50" fillId="0" borderId="0" xfId="53" applyFont="1" applyAlignment="1" applyProtection="1">
      <alignment horizontal="left" vertical="top"/>
      <protection locked="0"/>
    </xf>
    <xf numFmtId="0" fontId="251" fillId="0" borderId="0" xfId="53" applyFont="1" applyAlignment="1" applyProtection="1">
      <alignment horizontal="left" vertical="top"/>
      <protection locked="0"/>
    </xf>
    <xf numFmtId="0" fontId="8" fillId="0" borderId="0" xfId="53" applyFont="1" applyAlignment="1" applyProtection="1">
      <alignment horizontal="left" vertical="top"/>
      <protection locked="0"/>
    </xf>
    <xf numFmtId="0" fontId="72" fillId="0" borderId="0" xfId="53" applyFont="1" applyAlignment="1" applyProtection="1">
      <alignment horizontal="left" wrapText="1"/>
      <protection locked="0"/>
    </xf>
    <xf numFmtId="0" fontId="8" fillId="0" borderId="0" xfId="53" applyFont="1" applyAlignment="1" applyProtection="1">
      <alignment vertical="top"/>
      <protection locked="0"/>
    </xf>
    <xf numFmtId="0" fontId="10" fillId="0" borderId="0" xfId="53" applyAlignment="1" applyProtection="1">
      <alignment vertical="top"/>
      <protection locked="0"/>
    </xf>
    <xf numFmtId="0" fontId="38" fillId="0" borderId="0" xfId="53" applyFont="1" applyAlignment="1" applyProtection="1">
      <alignment horizontal="left" vertical="top"/>
      <protection locked="0"/>
    </xf>
    <xf numFmtId="0" fontId="29" fillId="0" borderId="0" xfId="27" applyFont="1" applyAlignment="1">
      <alignment horizontal="left" vertical="center"/>
      <protection locked="0"/>
    </xf>
    <xf numFmtId="0" fontId="17" fillId="0" borderId="0" xfId="27" applyFont="1" applyAlignment="1">
      <alignment horizontal="right" vertical="top"/>
      <protection locked="0"/>
    </xf>
    <xf numFmtId="167" fontId="29" fillId="0" borderId="0" xfId="27" applyNumberFormat="1" applyFont="1" applyAlignment="1">
      <alignment horizontal="left" vertical="center"/>
      <protection locked="0"/>
    </xf>
    <xf numFmtId="0" fontId="11" fillId="0" borderId="0" xfId="53" applyFont="1" applyAlignment="1" applyProtection="1">
      <alignment horizontal="left" vertical="top"/>
      <protection locked="0"/>
    </xf>
    <xf numFmtId="0" fontId="38" fillId="0" borderId="0" xfId="53" applyFont="1" applyAlignment="1" applyProtection="1">
      <alignment vertical="top"/>
      <protection locked="0"/>
    </xf>
    <xf numFmtId="167" fontId="163" fillId="0" borderId="0" xfId="49" applyNumberFormat="1" applyFont="1" applyAlignment="1" applyProtection="1">
      <alignment horizontal="right" vertical="top"/>
      <protection locked="0"/>
    </xf>
    <xf numFmtId="0" fontId="52" fillId="0" borderId="0" xfId="80" applyFont="1" applyAlignment="1">
      <alignment horizontal="left" vertical="center"/>
      <protection locked="0"/>
    </xf>
    <xf numFmtId="0" fontId="31" fillId="0" borderId="0" xfId="80" applyAlignment="1">
      <alignment horizontal="left" vertical="center"/>
      <protection locked="0"/>
    </xf>
    <xf numFmtId="0" fontId="31" fillId="0" borderId="0" xfId="80" applyAlignment="1">
      <alignment horizontal="left" vertical="top"/>
      <protection locked="0"/>
    </xf>
    <xf numFmtId="0" fontId="154" fillId="0" borderId="0" xfId="80" applyFont="1" applyAlignment="1">
      <alignment horizontal="center" vertical="center"/>
      <protection locked="0"/>
    </xf>
    <xf numFmtId="0" fontId="82" fillId="0" borderId="0" xfId="80" applyFont="1" applyAlignment="1">
      <alignment horizontal="right" vertical="center"/>
      <protection locked="0"/>
    </xf>
    <xf numFmtId="0" fontId="52" fillId="0" borderId="0" xfId="83" applyFont="1" applyAlignment="1" applyProtection="1">
      <alignment horizontal="right" vertical="center"/>
      <protection locked="0"/>
    </xf>
    <xf numFmtId="0" fontId="38" fillId="0" borderId="0" xfId="83" applyAlignment="1">
      <alignment vertical="center"/>
    </xf>
    <xf numFmtId="0" fontId="31" fillId="0" borderId="0" xfId="82" applyAlignment="1">
      <alignment horizontal="left" vertical="top"/>
      <protection locked="0"/>
    </xf>
    <xf numFmtId="0" fontId="82" fillId="0" borderId="0" xfId="83" applyFont="1" applyAlignment="1" applyProtection="1">
      <alignment horizontal="right" vertical="center"/>
      <protection locked="0"/>
    </xf>
    <xf numFmtId="0" fontId="255" fillId="0" borderId="0" xfId="83" applyFont="1" applyAlignment="1" applyProtection="1">
      <alignment horizontal="right" vertical="center"/>
      <protection locked="0"/>
    </xf>
    <xf numFmtId="0" fontId="55" fillId="0" borderId="0" xfId="83" applyFont="1" applyAlignment="1">
      <alignment vertical="center"/>
    </xf>
    <xf numFmtId="0" fontId="11" fillId="0" borderId="0" xfId="82" applyFont="1" applyAlignment="1">
      <alignment horizontal="left" vertical="top"/>
      <protection locked="0"/>
    </xf>
    <xf numFmtId="0" fontId="82" fillId="0" borderId="0" xfId="82" applyFont="1" applyAlignment="1">
      <alignment horizontal="left" vertical="top"/>
      <protection locked="0"/>
    </xf>
    <xf numFmtId="0" fontId="256" fillId="0" borderId="0" xfId="83" applyFont="1" applyAlignment="1" applyProtection="1">
      <alignment horizontal="right" vertical="center"/>
      <protection locked="0"/>
    </xf>
    <xf numFmtId="0" fontId="8" fillId="0" borderId="15" xfId="80" applyFont="1" applyBorder="1" applyAlignment="1">
      <alignment horizontal="left" wrapText="1"/>
      <protection locked="0"/>
    </xf>
    <xf numFmtId="39" fontId="8" fillId="0" borderId="15" xfId="80" applyNumberFormat="1" applyFont="1" applyBorder="1" applyAlignment="1">
      <alignment horizontal="center"/>
      <protection locked="0"/>
    </xf>
    <xf numFmtId="4" fontId="8" fillId="0" borderId="15" xfId="80" applyNumberFormat="1" applyFont="1" applyBorder="1" applyAlignment="1">
      <alignment horizontal="right"/>
      <protection locked="0"/>
    </xf>
    <xf numFmtId="0" fontId="230" fillId="0" borderId="0" xfId="80" applyFont="1" applyAlignment="1">
      <alignment horizontal="left" vertical="center"/>
      <protection locked="0"/>
    </xf>
    <xf numFmtId="0" fontId="31" fillId="0" borderId="0" xfId="80" applyAlignment="1" applyProtection="1"/>
    <xf numFmtId="0" fontId="82" fillId="0" borderId="0" xfId="80" applyFont="1" applyAlignment="1">
      <alignment horizontal="left" vertical="top"/>
      <protection locked="0"/>
    </xf>
    <xf numFmtId="0" fontId="53" fillId="0" borderId="0" xfId="82" applyFont="1" applyAlignment="1">
      <alignment horizontal="left" vertical="top"/>
      <protection locked="0"/>
    </xf>
    <xf numFmtId="0" fontId="97" fillId="0" borderId="0" xfId="28" applyFont="1" applyAlignment="1">
      <alignment horizontal="left" vertical="center"/>
      <protection locked="0"/>
    </xf>
    <xf numFmtId="0" fontId="8" fillId="0" borderId="0" xfId="28" applyFont="1" applyAlignment="1">
      <alignment horizontal="left" vertical="top"/>
      <protection locked="0"/>
    </xf>
    <xf numFmtId="0" fontId="62" fillId="0" borderId="0" xfId="44" applyFont="1" applyAlignment="1" applyProtection="1">
      <alignment horizontal="left" vertical="center"/>
    </xf>
    <xf numFmtId="0" fontId="11" fillId="0" borderId="0" xfId="44" applyAlignment="1" applyProtection="1">
      <alignment horizontal="left" vertical="top"/>
    </xf>
    <xf numFmtId="178" fontId="38" fillId="0" borderId="0" xfId="49" applyNumberFormat="1" applyAlignment="1" applyProtection="1">
      <alignment horizontal="left" vertical="top"/>
      <protection locked="0"/>
    </xf>
    <xf numFmtId="0" fontId="82" fillId="0" borderId="0" xfId="44" applyFont="1" applyAlignment="1" applyProtection="1">
      <alignment horizontal="left" vertical="center"/>
    </xf>
    <xf numFmtId="0" fontId="103" fillId="0" borderId="0" xfId="49" applyFont="1" applyAlignment="1" applyProtection="1">
      <alignment horizontal="left" vertical="top"/>
      <protection locked="0"/>
    </xf>
    <xf numFmtId="0" fontId="171" fillId="0" borderId="0" xfId="49" applyFont="1" applyAlignment="1">
      <alignment horizontal="left" vertical="center"/>
    </xf>
    <xf numFmtId="0" fontId="168" fillId="0" borderId="0" xfId="49" applyFont="1" applyAlignment="1" applyProtection="1">
      <alignment horizontal="left" vertical="center"/>
      <protection locked="0"/>
    </xf>
    <xf numFmtId="0" fontId="168" fillId="0" borderId="0" xfId="49" applyFont="1" applyAlignment="1" applyProtection="1">
      <alignment horizontal="left" vertical="top"/>
      <protection locked="0"/>
    </xf>
    <xf numFmtId="0" fontId="179" fillId="0" borderId="0" xfId="49" applyFont="1" applyAlignment="1" applyProtection="1">
      <alignment horizontal="left" vertical="top"/>
      <protection locked="0"/>
    </xf>
    <xf numFmtId="39" fontId="179" fillId="0" borderId="0" xfId="49" applyNumberFormat="1" applyFont="1" applyAlignment="1" applyProtection="1">
      <alignment horizontal="left" vertical="top"/>
      <protection locked="0"/>
    </xf>
    <xf numFmtId="0" fontId="179" fillId="0" borderId="0" xfId="53" applyFont="1" applyAlignment="1" applyProtection="1">
      <alignment horizontal="left" vertical="top"/>
      <protection locked="0"/>
    </xf>
    <xf numFmtId="0" fontId="72" fillId="0" borderId="0" xfId="53" applyFont="1" applyAlignment="1" applyProtection="1">
      <alignment horizontal="left" vertical="top"/>
      <protection locked="0"/>
    </xf>
    <xf numFmtId="0" fontId="258" fillId="0" borderId="0" xfId="53" applyFont="1" applyAlignment="1" applyProtection="1">
      <alignment horizontal="left" vertical="top"/>
      <protection locked="0"/>
    </xf>
    <xf numFmtId="0" fontId="259" fillId="0" borderId="0" xfId="53" applyFont="1" applyAlignment="1" applyProtection="1">
      <alignment horizontal="left" vertical="top"/>
      <protection locked="0"/>
    </xf>
    <xf numFmtId="0" fontId="53" fillId="0" borderId="0" xfId="53" applyFont="1" applyAlignment="1" applyProtection="1">
      <alignment horizontal="left" vertical="top"/>
      <protection locked="0"/>
    </xf>
    <xf numFmtId="0" fontId="96" fillId="0" borderId="30" xfId="71" applyFont="1" applyBorder="1" applyAlignment="1" applyProtection="1">
      <alignment horizontal="left" wrapText="1"/>
      <protection locked="0"/>
    </xf>
    <xf numFmtId="0" fontId="69" fillId="0" borderId="0" xfId="58" applyFont="1" applyFill="1" applyAlignment="1" applyProtection="1">
      <alignment vertical="center"/>
    </xf>
    <xf numFmtId="0" fontId="121" fillId="0" borderId="0" xfId="60" applyFont="1" applyAlignment="1">
      <alignment horizontal="left" vertical="center"/>
      <protection locked="0"/>
    </xf>
    <xf numFmtId="0" fontId="37" fillId="0" borderId="0" xfId="60" applyFont="1" applyAlignment="1">
      <alignment horizontal="left" vertical="center"/>
      <protection locked="0"/>
    </xf>
    <xf numFmtId="0" fontId="263" fillId="0" borderId="0" xfId="84" applyFont="1" applyFill="1" applyAlignment="1" applyProtection="1">
      <alignment horizontal="left" vertical="top"/>
      <protection locked="0"/>
    </xf>
    <xf numFmtId="0" fontId="43" fillId="0" borderId="0" xfId="60" applyFont="1" applyAlignment="1">
      <alignment horizontal="left" vertical="center"/>
      <protection locked="0"/>
    </xf>
    <xf numFmtId="0" fontId="39" fillId="0" borderId="0" xfId="53" applyFont="1" applyAlignment="1" applyProtection="1">
      <alignment horizontal="left" vertical="center"/>
      <protection locked="0"/>
    </xf>
    <xf numFmtId="0" fontId="168" fillId="0" borderId="0" xfId="53" applyFont="1" applyAlignment="1" applyProtection="1">
      <alignment horizontal="left" vertical="top"/>
      <protection locked="0"/>
    </xf>
    <xf numFmtId="4" fontId="10" fillId="0" borderId="0" xfId="53" applyNumberFormat="1" applyAlignment="1" applyProtection="1">
      <alignment horizontal="right"/>
      <protection locked="0"/>
    </xf>
    <xf numFmtId="0" fontId="8" fillId="0" borderId="0" xfId="27" applyFont="1" applyAlignment="1">
      <alignment horizontal="left" vertical="top"/>
      <protection locked="0"/>
    </xf>
    <xf numFmtId="4" fontId="8" fillId="0" borderId="0" xfId="27" applyNumberFormat="1" applyFont="1" applyAlignment="1">
      <alignment horizontal="left" vertical="top"/>
      <protection locked="0"/>
    </xf>
    <xf numFmtId="0" fontId="11" fillId="7" borderId="0" xfId="40" applyFont="1" applyFill="1" applyAlignment="1">
      <alignment horizontal="left" vertical="top"/>
      <protection locked="0"/>
    </xf>
    <xf numFmtId="0" fontId="104" fillId="0" borderId="0" xfId="58" applyFont="1" applyFill="1" applyAlignment="1">
      <alignment horizontal="left" vertical="center"/>
      <protection locked="0"/>
    </xf>
    <xf numFmtId="171" fontId="100" fillId="0" borderId="0" xfId="58" applyNumberFormat="1" applyFont="1" applyFill="1" applyAlignment="1">
      <alignment horizontal="center" vertical="center"/>
      <protection locked="0"/>
    </xf>
    <xf numFmtId="0" fontId="100" fillId="0" borderId="0" xfId="58" applyFont="1" applyFill="1" applyAlignment="1">
      <alignment horizontal="center" vertical="center"/>
      <protection locked="0"/>
    </xf>
    <xf numFmtId="2" fontId="100" fillId="0" borderId="0" xfId="58" applyNumberFormat="1" applyFont="1" applyFill="1" applyAlignment="1">
      <alignment horizontal="center" vertical="center"/>
      <protection locked="0"/>
    </xf>
    <xf numFmtId="0" fontId="67" fillId="7" borderId="0" xfId="40" applyFill="1" applyAlignment="1">
      <alignment horizontal="left" vertical="top"/>
      <protection locked="0"/>
    </xf>
    <xf numFmtId="0" fontId="123" fillId="0" borderId="0" xfId="58" applyFill="1" applyAlignment="1" applyProtection="1">
      <alignment horizontal="left" vertical="center"/>
      <protection locked="0"/>
    </xf>
    <xf numFmtId="167" fontId="99" fillId="0" borderId="30" xfId="71" applyNumberFormat="1" applyFont="1" applyBorder="1" applyAlignment="1" applyProtection="1">
      <alignment horizontal="right"/>
      <protection locked="0"/>
    </xf>
    <xf numFmtId="0" fontId="94" fillId="0" borderId="0" xfId="83" applyFont="1" applyAlignment="1" applyProtection="1">
      <alignment horizontal="left" vertical="top"/>
      <protection locked="0"/>
    </xf>
    <xf numFmtId="0" fontId="11" fillId="0" borderId="0" xfId="83" applyFont="1" applyAlignment="1" applyProtection="1">
      <alignment horizontal="left" vertical="top"/>
      <protection locked="0"/>
    </xf>
    <xf numFmtId="0" fontId="11" fillId="7" borderId="0" xfId="83" applyFont="1" applyFill="1" applyAlignment="1" applyProtection="1">
      <alignment horizontal="left" vertical="top"/>
      <protection locked="0"/>
    </xf>
    <xf numFmtId="0" fontId="38" fillId="0" borderId="0" xfId="83" applyAlignment="1" applyProtection="1">
      <alignment horizontal="left" vertical="top"/>
      <protection locked="0"/>
    </xf>
    <xf numFmtId="0" fontId="52" fillId="0" borderId="0" xfId="82" applyFont="1" applyAlignment="1">
      <alignment horizontal="left" vertical="center"/>
      <protection locked="0"/>
    </xf>
    <xf numFmtId="0" fontId="53" fillId="0" borderId="0" xfId="40" applyFont="1" applyAlignment="1">
      <alignment horizontal="left" vertical="top"/>
      <protection locked="0"/>
    </xf>
    <xf numFmtId="0" fontId="183" fillId="0" borderId="0" xfId="40" applyFont="1" applyAlignment="1">
      <alignment horizontal="left" vertical="top"/>
      <protection locked="0"/>
    </xf>
    <xf numFmtId="0" fontId="157" fillId="0" borderId="0" xfId="40" applyFont="1" applyAlignment="1">
      <alignment horizontal="left" vertical="top"/>
      <protection locked="0"/>
    </xf>
    <xf numFmtId="0" fontId="265" fillId="0" borderId="0" xfId="40" applyFont="1" applyAlignment="1">
      <alignment horizontal="left" vertical="top"/>
      <protection locked="0"/>
    </xf>
    <xf numFmtId="0" fontId="266" fillId="0" borderId="0" xfId="40" applyFont="1" applyAlignment="1">
      <alignment horizontal="left" vertical="top"/>
      <protection locked="0"/>
    </xf>
    <xf numFmtId="0" fontId="39" fillId="0" borderId="0" xfId="31" applyFont="1" applyAlignment="1" applyProtection="1">
      <alignment horizontal="left" vertical="center"/>
      <protection locked="0"/>
    </xf>
    <xf numFmtId="6" fontId="11" fillId="0" borderId="0" xfId="44" applyNumberFormat="1" applyAlignment="1" applyProtection="1">
      <alignment horizontal="left" vertical="top"/>
    </xf>
    <xf numFmtId="0" fontId="38" fillId="0" borderId="0" xfId="49" applyAlignment="1" applyProtection="1">
      <alignment horizontal="right" vertical="top"/>
      <protection locked="0"/>
    </xf>
    <xf numFmtId="171" fontId="38" fillId="0" borderId="0" xfId="49" applyNumberFormat="1" applyAlignment="1" applyProtection="1">
      <alignment horizontal="left" vertical="center"/>
      <protection locked="0"/>
    </xf>
    <xf numFmtId="0" fontId="252" fillId="0" borderId="0" xfId="81" applyFill="1" applyAlignment="1">
      <alignment horizontal="left" vertical="center"/>
      <protection locked="0"/>
    </xf>
    <xf numFmtId="0" fontId="254" fillId="0" borderId="0" xfId="81" applyFont="1" applyFill="1" applyAlignment="1" applyProtection="1">
      <alignment horizontal="left" vertical="center"/>
      <protection locked="0"/>
    </xf>
    <xf numFmtId="0" fontId="252" fillId="0" borderId="0" xfId="81" applyFill="1" applyAlignment="1">
      <alignment horizontal="left" vertical="top"/>
      <protection locked="0"/>
    </xf>
    <xf numFmtId="0" fontId="35" fillId="7" borderId="0" xfId="85" applyFont="1" applyFill="1" applyAlignment="1">
      <alignment horizontal="left"/>
    </xf>
    <xf numFmtId="167" fontId="11" fillId="0" borderId="0" xfId="28" applyNumberFormat="1" applyAlignment="1" applyProtection="1">
      <alignment vertical="top"/>
    </xf>
    <xf numFmtId="0" fontId="37" fillId="0" borderId="0" xfId="0" applyFont="1" applyAlignment="1" applyProtection="1">
      <alignment horizontal="left"/>
    </xf>
    <xf numFmtId="0" fontId="8" fillId="0" borderId="0" xfId="0" applyFont="1" applyAlignment="1" applyProtection="1">
      <alignment horizontal="left"/>
    </xf>
    <xf numFmtId="167" fontId="36" fillId="0" borderId="0" xfId="0" applyNumberFormat="1" applyFont="1" applyAlignment="1" applyProtection="1">
      <alignment horizontal="left"/>
    </xf>
    <xf numFmtId="4" fontId="36" fillId="0" borderId="0" xfId="0" applyNumberFormat="1" applyFont="1" applyAlignment="1" applyProtection="1">
      <alignment horizontal="left"/>
    </xf>
    <xf numFmtId="4" fontId="0" fillId="0" borderId="0" xfId="0" applyNumberFormat="1" applyAlignment="1">
      <alignment horizontal="left" vertical="top"/>
      <protection locked="0"/>
    </xf>
    <xf numFmtId="0" fontId="45" fillId="0" borderId="31" xfId="0" applyFont="1" applyBorder="1" applyAlignment="1" applyProtection="1">
      <alignment horizontal="center" vertical="center" wrapText="1"/>
    </xf>
    <xf numFmtId="49" fontId="45" fillId="0" borderId="31" xfId="0" applyNumberFormat="1" applyFont="1" applyBorder="1" applyAlignment="1" applyProtection="1">
      <alignment horizontal="center" vertical="center" wrapText="1"/>
    </xf>
    <xf numFmtId="167" fontId="45" fillId="0" borderId="31" xfId="0" applyNumberFormat="1" applyFont="1" applyBorder="1" applyAlignment="1" applyProtection="1">
      <alignment horizontal="center" vertical="center" wrapText="1"/>
    </xf>
    <xf numFmtId="4" fontId="45"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7" fillId="0" borderId="29" xfId="0" applyNumberFormat="1" applyFont="1" applyBorder="1" applyAlignment="1">
      <alignment horizontal="right"/>
      <protection locked="0"/>
    </xf>
    <xf numFmtId="49" fontId="37" fillId="0" borderId="29" xfId="0" applyNumberFormat="1" applyFont="1" applyBorder="1" applyAlignment="1">
      <alignment horizontal="left" wrapText="1"/>
      <protection locked="0"/>
    </xf>
    <xf numFmtId="0" fontId="37" fillId="0" borderId="29" xfId="0" applyFont="1" applyBorder="1" applyAlignment="1">
      <alignment horizontal="left" wrapText="1"/>
      <protection locked="0"/>
    </xf>
    <xf numFmtId="0" fontId="37" fillId="0" borderId="0" xfId="0" applyFont="1" applyAlignment="1">
      <alignment horizontal="left" wrapText="1"/>
      <protection locked="0"/>
    </xf>
    <xf numFmtId="167" fontId="37" fillId="0" borderId="29" xfId="0" applyNumberFormat="1" applyFont="1" applyBorder="1" applyAlignment="1">
      <alignment horizontal="right"/>
      <protection locked="0"/>
    </xf>
    <xf numFmtId="4" fontId="37" fillId="0" borderId="29" xfId="0" applyNumberFormat="1" applyFont="1" applyBorder="1" applyAlignment="1">
      <alignment horizontal="right"/>
      <protection locked="0"/>
    </xf>
    <xf numFmtId="0" fontId="37" fillId="0" borderId="15" xfId="0" applyFont="1" applyBorder="1" applyAlignment="1">
      <alignment horizontal="left" wrapText="1"/>
      <protection locked="0"/>
    </xf>
    <xf numFmtId="0" fontId="0" fillId="0" borderId="15" xfId="0" applyBorder="1" applyAlignment="1">
      <alignment horizontal="left" vertical="top"/>
      <protection locked="0"/>
    </xf>
    <xf numFmtId="0" fontId="53" fillId="0" borderId="0" xfId="0" applyFont="1" applyAlignment="1">
      <alignment horizontal="left" vertical="top"/>
      <protection locked="0"/>
    </xf>
    <xf numFmtId="0" fontId="8" fillId="0" borderId="15" xfId="0" applyFont="1" applyBorder="1" applyAlignment="1">
      <alignment horizontal="left" wrapText="1"/>
      <protection locked="0"/>
    </xf>
    <xf numFmtId="39" fontId="8" fillId="0" borderId="15" xfId="0" applyNumberFormat="1" applyFont="1" applyBorder="1" applyAlignment="1">
      <alignment horizontal="center"/>
      <protection locked="0"/>
    </xf>
    <xf numFmtId="49" fontId="37" fillId="0" borderId="15" xfId="0" applyNumberFormat="1" applyFont="1" applyBorder="1" applyAlignment="1">
      <alignment horizontal="left" wrapText="1"/>
      <protection locked="0"/>
    </xf>
    <xf numFmtId="0" fontId="28" fillId="0" borderId="15" xfId="0" applyFont="1" applyBorder="1" applyAlignment="1">
      <alignment horizontal="left" wrapText="1"/>
      <protection locked="0"/>
    </xf>
    <xf numFmtId="167" fontId="28" fillId="0" borderId="15" xfId="0" applyNumberFormat="1" applyFont="1" applyBorder="1" applyAlignment="1">
      <alignment horizontal="right"/>
      <protection locked="0"/>
    </xf>
    <xf numFmtId="0" fontId="81" fillId="0" borderId="0" xfId="86" applyFont="1" applyFill="1" applyAlignment="1" applyProtection="1">
      <alignment horizontal="right" vertical="center"/>
      <protection locked="0"/>
    </xf>
    <xf numFmtId="0" fontId="94" fillId="0" borderId="0" xfId="0" applyFont="1" applyAlignment="1">
      <alignment horizontal="left"/>
      <protection locked="0"/>
    </xf>
    <xf numFmtId="39" fontId="8" fillId="0" borderId="15" xfId="0" applyNumberFormat="1" applyFont="1" applyBorder="1" applyAlignment="1">
      <alignment horizontal="right"/>
      <protection locked="0"/>
    </xf>
    <xf numFmtId="4" fontId="8" fillId="0" borderId="0" xfId="0" applyNumberFormat="1" applyFont="1" applyAlignment="1">
      <alignment horizontal="right"/>
      <protection locked="0"/>
    </xf>
    <xf numFmtId="1" fontId="8" fillId="0" borderId="15" xfId="0" applyNumberFormat="1" applyFont="1" applyBorder="1" applyAlignment="1">
      <alignment horizontal="right"/>
      <protection locked="0"/>
    </xf>
    <xf numFmtId="0" fontId="53" fillId="0" borderId="0" xfId="80" applyFont="1" applyAlignment="1">
      <alignment horizontal="left" vertical="top"/>
      <protection locked="0"/>
    </xf>
    <xf numFmtId="0" fontId="252" fillId="0" borderId="0" xfId="81" applyFill="1" applyAlignment="1" applyProtection="1"/>
    <xf numFmtId="167" fontId="0" fillId="0" borderId="0" xfId="0" applyNumberFormat="1" applyAlignment="1" applyProtection="1"/>
    <xf numFmtId="0" fontId="81" fillId="0" borderId="0" xfId="80" applyFont="1" applyAlignment="1">
      <alignment horizontal="left" vertical="center"/>
      <protection locked="0"/>
    </xf>
    <xf numFmtId="37" fontId="86" fillId="7" borderId="0" xfId="0" applyNumberFormat="1" applyFont="1" applyFill="1" applyAlignment="1">
      <alignment horizontal="right"/>
      <protection locked="0"/>
    </xf>
    <xf numFmtId="0" fontId="86" fillId="7" borderId="0" xfId="0" applyFont="1" applyFill="1" applyAlignment="1">
      <alignment horizontal="left" wrapText="1"/>
      <protection locked="0"/>
    </xf>
    <xf numFmtId="167" fontId="86" fillId="7" borderId="0" xfId="0" applyNumberFormat="1" applyFont="1" applyFill="1" applyAlignment="1">
      <alignment horizontal="right"/>
      <protection locked="0"/>
    </xf>
    <xf numFmtId="4" fontId="86" fillId="7" borderId="0" xfId="0" applyNumberFormat="1" applyFont="1" applyFill="1" applyAlignment="1">
      <alignment horizontal="right"/>
      <protection locked="0"/>
    </xf>
    <xf numFmtId="0" fontId="37" fillId="0" borderId="32" xfId="0" applyFont="1" applyBorder="1" applyAlignment="1">
      <alignment horizontal="left"/>
      <protection locked="0"/>
    </xf>
    <xf numFmtId="0" fontId="66" fillId="0" borderId="33" xfId="0" applyFont="1" applyBorder="1" applyAlignment="1">
      <alignment horizontal="center"/>
      <protection locked="0"/>
    </xf>
    <xf numFmtId="167" fontId="66" fillId="0" borderId="33" xfId="0" applyNumberFormat="1" applyFont="1" applyBorder="1" applyAlignment="1">
      <alignment horizontal="right"/>
      <protection locked="0"/>
    </xf>
    <xf numFmtId="4" fontId="8" fillId="0" borderId="33" xfId="0" applyNumberFormat="1" applyFont="1" applyBorder="1" applyAlignment="1">
      <alignment horizontal="right"/>
      <protection locked="0"/>
    </xf>
    <xf numFmtId="39" fontId="48" fillId="0" borderId="0" xfId="0" applyNumberFormat="1" applyFont="1" applyAlignment="1">
      <alignment horizontal="center"/>
      <protection locked="0"/>
    </xf>
    <xf numFmtId="0" fontId="94" fillId="7" borderId="0" xfId="0" applyFont="1" applyFill="1" applyAlignment="1">
      <alignment horizontal="left" vertical="top"/>
      <protection locked="0"/>
    </xf>
    <xf numFmtId="167" fontId="9" fillId="0" borderId="0" xfId="21" applyNumberFormat="1" applyFont="1" applyAlignment="1">
      <alignment vertical="center"/>
    </xf>
    <xf numFmtId="4" fontId="9" fillId="0" borderId="0" xfId="21" applyNumberFormat="1" applyFont="1" applyAlignment="1">
      <alignment vertical="center"/>
    </xf>
    <xf numFmtId="4" fontId="9" fillId="0" borderId="0" xfId="21" applyNumberFormat="1" applyFont="1" applyAlignment="1">
      <alignment horizontal="center" vertical="center" wrapText="1"/>
    </xf>
    <xf numFmtId="0" fontId="275" fillId="0" borderId="0" xfId="0" applyFont="1" applyAlignment="1">
      <alignment horizontal="left" wrapText="1"/>
      <protection locked="0"/>
    </xf>
    <xf numFmtId="0" fontId="66" fillId="0" borderId="0" xfId="0" applyFont="1" applyAlignment="1">
      <alignment horizontal="left" wrapText="1"/>
      <protection locked="0"/>
    </xf>
    <xf numFmtId="167" fontId="8"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49" fillId="0" borderId="0" xfId="88" applyFont="1" applyFill="1" applyAlignment="1" applyProtection="1">
      <alignment horizontal="left" vertical="center"/>
      <protection locked="0"/>
    </xf>
    <xf numFmtId="0" fontId="276" fillId="0" borderId="0" xfId="88" applyFill="1" applyAlignment="1" applyProtection="1">
      <alignment horizontal="left" vertical="center"/>
      <protection locked="0"/>
    </xf>
    <xf numFmtId="0" fontId="252" fillId="0" borderId="0" xfId="81" applyFill="1" applyAlignment="1">
      <alignment vertical="top"/>
      <protection locked="0"/>
    </xf>
    <xf numFmtId="4" fontId="252" fillId="0" borderId="0" xfId="81" applyNumberFormat="1" applyFill="1" applyAlignment="1" applyProtection="1">
      <alignment horizontal="left" vertical="top"/>
      <protection locked="0"/>
    </xf>
    <xf numFmtId="0" fontId="252" fillId="0" borderId="0" xfId="81" applyFill="1" applyAlignment="1" applyProtection="1">
      <alignment horizontal="left" vertical="top"/>
      <protection locked="0"/>
    </xf>
    <xf numFmtId="0" fontId="36" fillId="0" borderId="0" xfId="0" applyFont="1" applyAlignment="1" applyProtection="1">
      <alignment horizontal="left"/>
    </xf>
    <xf numFmtId="0" fontId="280" fillId="0" borderId="0" xfId="81" applyFont="1" applyFill="1" applyBorder="1" applyAlignment="1" applyProtection="1">
      <alignment horizontal="left" vertical="center"/>
    </xf>
    <xf numFmtId="37" fontId="37" fillId="7" borderId="0" xfId="0" applyNumberFormat="1" applyFont="1" applyFill="1" applyAlignment="1">
      <alignment horizontal="right"/>
      <protection locked="0"/>
    </xf>
    <xf numFmtId="0" fontId="37" fillId="7" borderId="0" xfId="0" applyFont="1" applyFill="1" applyAlignment="1">
      <alignment horizontal="left" wrapText="1"/>
      <protection locked="0"/>
    </xf>
    <xf numFmtId="170" fontId="37" fillId="7" borderId="0" xfId="0" applyNumberFormat="1" applyFont="1" applyFill="1" applyAlignment="1">
      <alignment horizontal="right"/>
      <protection locked="0"/>
    </xf>
    <xf numFmtId="39" fontId="37" fillId="7" borderId="0" xfId="0" applyNumberFormat="1" applyFont="1" applyFill="1" applyAlignment="1">
      <alignment horizontal="right"/>
      <protection locked="0"/>
    </xf>
    <xf numFmtId="2" fontId="37" fillId="0" borderId="30" xfId="0" applyNumberFormat="1" applyFont="1" applyBorder="1" applyAlignment="1">
      <alignment horizontal="right"/>
      <protection locked="0"/>
    </xf>
    <xf numFmtId="0" fontId="28" fillId="0" borderId="30" xfId="13" applyFont="1" applyBorder="1" applyAlignment="1">
      <alignment horizontal="left" vertical="center" wrapText="1"/>
      <protection locked="0"/>
    </xf>
    <xf numFmtId="0" fontId="11" fillId="7" borderId="0" xfId="0" applyFont="1" applyFill="1" applyAlignment="1">
      <alignment horizontal="left" vertical="top"/>
      <protection locked="0"/>
    </xf>
    <xf numFmtId="0" fontId="72" fillId="0" borderId="30" xfId="13" applyFont="1" applyBorder="1" applyAlignment="1">
      <alignment horizontal="left" wrapText="1"/>
      <protection locked="0"/>
    </xf>
    <xf numFmtId="0" fontId="28" fillId="0" borderId="30" xfId="13" applyFont="1" applyBorder="1" applyAlignment="1">
      <alignment horizontal="left" wrapText="1"/>
      <protection locked="0"/>
    </xf>
    <xf numFmtId="0" fontId="28" fillId="0" borderId="30" xfId="0" quotePrefix="1" applyFont="1" applyBorder="1" applyAlignment="1" applyProtection="1">
      <alignment horizontal="left" wrapText="1"/>
    </xf>
    <xf numFmtId="0" fontId="0" fillId="10" borderId="0" xfId="0" applyFill="1" applyAlignment="1" applyProtection="1"/>
    <xf numFmtId="0" fontId="83" fillId="0" borderId="30" xfId="0" applyFont="1" applyBorder="1" applyAlignment="1">
      <alignment horizontal="center" vertical="center" wrapText="1"/>
      <protection locked="0"/>
    </xf>
    <xf numFmtId="167" fontId="94" fillId="0" borderId="0" xfId="0" applyNumberFormat="1" applyFont="1" applyAlignment="1">
      <alignment horizontal="left" vertical="top"/>
      <protection locked="0"/>
    </xf>
    <xf numFmtId="2" fontId="252" fillId="0" borderId="0" xfId="81" applyNumberFormat="1" applyFill="1" applyAlignment="1">
      <alignment horizontal="left" vertical="center"/>
      <protection locked="0"/>
    </xf>
    <xf numFmtId="0" fontId="228" fillId="0" borderId="30" xfId="0" applyFont="1" applyBorder="1" applyAlignment="1">
      <alignment horizontal="left" wrapText="1"/>
      <protection locked="0"/>
    </xf>
    <xf numFmtId="0" fontId="8" fillId="0" borderId="30" xfId="68" applyFont="1" applyBorder="1" applyAlignment="1">
      <alignment horizontal="left" wrapText="1"/>
      <protection locked="0"/>
    </xf>
    <xf numFmtId="0" fontId="28" fillId="0" borderId="30" xfId="68" applyFont="1" applyBorder="1" applyAlignment="1">
      <alignment horizontal="left" wrapText="1"/>
      <protection locked="0"/>
    </xf>
    <xf numFmtId="167" fontId="28" fillId="0" borderId="30" xfId="68" applyNumberFormat="1" applyFont="1" applyBorder="1" applyAlignment="1">
      <alignment horizontal="right"/>
      <protection locked="0"/>
    </xf>
    <xf numFmtId="39" fontId="8" fillId="0" borderId="30" xfId="68" applyNumberFormat="1" applyFont="1" applyBorder="1" applyAlignment="1">
      <alignment horizontal="center"/>
      <protection locked="0"/>
    </xf>
    <xf numFmtId="0" fontId="252" fillId="0" borderId="0" xfId="81" applyFill="1" applyAlignment="1" applyProtection="1">
      <alignment horizontal="left" vertical="center"/>
      <protection locked="0"/>
    </xf>
    <xf numFmtId="167" fontId="96" fillId="0" borderId="30" xfId="0" applyNumberFormat="1" applyFont="1" applyBorder="1" applyAlignment="1">
      <alignment horizontal="right"/>
      <protection locked="0"/>
    </xf>
    <xf numFmtId="0" fontId="252" fillId="0" borderId="0" xfId="81" applyFill="1" applyAlignment="1" applyProtection="1">
      <alignment vertical="center"/>
    </xf>
    <xf numFmtId="0" fontId="53" fillId="0" borderId="0" xfId="30" applyFont="1" applyAlignment="1" applyProtection="1">
      <alignment horizontal="left" vertical="top"/>
      <protection locked="0"/>
    </xf>
    <xf numFmtId="0" fontId="94" fillId="7" borderId="0" xfId="0" applyFont="1" applyFill="1" applyAlignment="1">
      <alignment horizontal="left"/>
      <protection locked="0"/>
    </xf>
    <xf numFmtId="0" fontId="94" fillId="0" borderId="0" xfId="28" applyFont="1" applyAlignment="1">
      <alignment horizontal="left" vertical="top"/>
      <protection locked="0"/>
    </xf>
    <xf numFmtId="37" fontId="8" fillId="0" borderId="15" xfId="0" applyNumberFormat="1" applyFont="1" applyBorder="1" applyAlignment="1">
      <alignment horizontal="right"/>
      <protection locked="0"/>
    </xf>
    <xf numFmtId="1" fontId="8" fillId="0" borderId="15" xfId="68" applyNumberFormat="1" applyFont="1" applyBorder="1" applyAlignment="1">
      <alignment horizontal="right"/>
      <protection locked="0"/>
    </xf>
    <xf numFmtId="0" fontId="8" fillId="0" borderId="15" xfId="68" applyFont="1" applyBorder="1" applyAlignment="1">
      <alignment horizontal="left" wrapText="1"/>
      <protection locked="0"/>
    </xf>
    <xf numFmtId="0" fontId="67" fillId="0" borderId="0" xfId="68" applyAlignment="1">
      <alignment horizontal="left" vertical="top"/>
      <protection locked="0"/>
    </xf>
    <xf numFmtId="0" fontId="28" fillId="0" borderId="15" xfId="68" applyFont="1" applyBorder="1" applyAlignment="1">
      <alignment horizontal="left" wrapText="1"/>
      <protection locked="0"/>
    </xf>
    <xf numFmtId="167" fontId="28" fillId="0" borderId="15" xfId="68" applyNumberFormat="1" applyFont="1" applyBorder="1" applyAlignment="1">
      <alignment horizontal="right"/>
      <protection locked="0"/>
    </xf>
    <xf numFmtId="4" fontId="8" fillId="0" borderId="15" xfId="68" applyNumberFormat="1" applyFont="1" applyBorder="1" applyAlignment="1">
      <alignment horizontal="right"/>
      <protection locked="0"/>
    </xf>
    <xf numFmtId="1" fontId="37" fillId="0" borderId="15" xfId="68" applyNumberFormat="1" applyFont="1" applyBorder="1" applyAlignment="1">
      <alignment horizontal="right"/>
      <protection locked="0"/>
    </xf>
    <xf numFmtId="49" fontId="37" fillId="0" borderId="15" xfId="68" applyNumberFormat="1" applyFont="1" applyBorder="1" applyAlignment="1">
      <alignment horizontal="left" wrapText="1"/>
      <protection locked="0"/>
    </xf>
    <xf numFmtId="0" fontId="37" fillId="0" borderId="15" xfId="68" applyFont="1" applyBorder="1" applyAlignment="1">
      <alignment horizontal="left" wrapText="1"/>
      <protection locked="0"/>
    </xf>
    <xf numFmtId="167" fontId="67" fillId="0" borderId="0" xfId="68" applyNumberFormat="1" applyAlignment="1">
      <alignment horizontal="left" vertical="top"/>
      <protection locked="0"/>
    </xf>
    <xf numFmtId="4" fontId="122" fillId="0" borderId="15" xfId="68" applyNumberFormat="1" applyFont="1" applyBorder="1" applyAlignment="1">
      <alignment horizontal="right"/>
      <protection locked="0"/>
    </xf>
    <xf numFmtId="4" fontId="37" fillId="0" borderId="15" xfId="68" applyNumberFormat="1" applyFont="1" applyBorder="1" applyAlignment="1">
      <alignment horizontal="right"/>
      <protection locked="0"/>
    </xf>
    <xf numFmtId="9" fontId="66" fillId="0" borderId="30" xfId="0" applyNumberFormat="1" applyFont="1" applyBorder="1" applyAlignment="1">
      <alignment horizontal="left" wrapText="1"/>
      <protection locked="0"/>
    </xf>
    <xf numFmtId="37" fontId="37" fillId="0" borderId="15" xfId="0" applyNumberFormat="1" applyFont="1" applyBorder="1" applyAlignment="1">
      <alignment horizontal="right"/>
      <protection locked="0"/>
    </xf>
    <xf numFmtId="2" fontId="37" fillId="0" borderId="15" xfId="0" applyNumberFormat="1" applyFont="1" applyBorder="1" applyAlignment="1">
      <alignment horizontal="right"/>
      <protection locked="0"/>
    </xf>
    <xf numFmtId="0" fontId="103" fillId="0" borderId="0" xfId="81" applyFont="1" applyFill="1" applyAlignment="1" applyProtection="1">
      <alignment horizontal="left" vertical="center"/>
      <protection locked="0"/>
    </xf>
    <xf numFmtId="2" fontId="96" fillId="0" borderId="30" xfId="0" applyNumberFormat="1" applyFont="1" applyBorder="1" applyAlignment="1">
      <alignment horizontal="left" wrapText="1"/>
      <protection locked="0"/>
    </xf>
    <xf numFmtId="37" fontId="86" fillId="0" borderId="0" xfId="0" applyNumberFormat="1" applyFont="1" applyAlignment="1" applyProtection="1">
      <alignment horizontal="right"/>
    </xf>
    <xf numFmtId="0" fontId="86" fillId="0" borderId="0" xfId="0" applyFont="1" applyAlignment="1" applyProtection="1">
      <alignment horizontal="left" wrapText="1"/>
    </xf>
    <xf numFmtId="170" fontId="86" fillId="0" borderId="0" xfId="0" applyNumberFormat="1" applyFont="1" applyAlignment="1" applyProtection="1">
      <alignment horizontal="right"/>
    </xf>
    <xf numFmtId="39" fontId="86" fillId="0" borderId="0" xfId="0" applyNumberFormat="1" applyFont="1" applyAlignment="1" applyProtection="1">
      <alignment horizontal="right"/>
    </xf>
    <xf numFmtId="37" fontId="8" fillId="0" borderId="21" xfId="0" applyNumberFormat="1" applyFont="1" applyBorder="1" applyAlignment="1" applyProtection="1">
      <alignment horizontal="right"/>
    </xf>
    <xf numFmtId="0" fontId="8" fillId="0" borderId="21" xfId="0" applyFont="1" applyBorder="1" applyAlignment="1" applyProtection="1">
      <alignment horizontal="left" wrapText="1"/>
    </xf>
    <xf numFmtId="0" fontId="8" fillId="0" borderId="21" xfId="0" applyFont="1" applyBorder="1" applyAlignment="1" applyProtection="1">
      <alignment horizontal="center" wrapText="1"/>
    </xf>
    <xf numFmtId="170" fontId="8" fillId="0" borderId="21" xfId="0" applyNumberFormat="1" applyFont="1" applyBorder="1" applyAlignment="1" applyProtection="1">
      <alignment horizontal="right"/>
    </xf>
    <xf numFmtId="39" fontId="8" fillId="0" borderId="21" xfId="0" applyNumberFormat="1" applyFont="1" applyBorder="1" applyAlignment="1" applyProtection="1">
      <alignment horizontal="right"/>
    </xf>
    <xf numFmtId="0" fontId="87" fillId="0" borderId="0" xfId="0" applyFont="1" applyAlignment="1" applyProtection="1">
      <alignment horizontal="left" vertical="top"/>
    </xf>
    <xf numFmtId="0" fontId="37" fillId="0" borderId="32" xfId="0" applyFont="1" applyBorder="1" applyAlignment="1" applyProtection="1">
      <alignment horizontal="left"/>
    </xf>
    <xf numFmtId="0" fontId="66" fillId="0" borderId="33" xfId="0" applyFont="1" applyBorder="1" applyAlignment="1" applyProtection="1">
      <alignment horizontal="center"/>
    </xf>
    <xf numFmtId="170" fontId="66" fillId="0" borderId="33" xfId="0" applyNumberFormat="1" applyFont="1" applyBorder="1" applyAlignment="1" applyProtection="1">
      <alignment horizontal="right"/>
    </xf>
    <xf numFmtId="39" fontId="8" fillId="0" borderId="33" xfId="0" applyNumberFormat="1" applyFont="1" applyBorder="1" applyAlignment="1" applyProtection="1">
      <alignment horizontal="right"/>
    </xf>
    <xf numFmtId="39" fontId="48" fillId="0" borderId="0" xfId="0" applyNumberFormat="1" applyFont="1" applyAlignment="1" applyProtection="1">
      <alignment horizontal="center"/>
    </xf>
    <xf numFmtId="37" fontId="66" fillId="0" borderId="0" xfId="0" applyNumberFormat="1" applyFont="1" applyAlignment="1" applyProtection="1">
      <alignment horizontal="right"/>
    </xf>
    <xf numFmtId="0" fontId="66" fillId="0" borderId="0" xfId="0" applyFont="1" applyAlignment="1" applyProtection="1">
      <alignment horizontal="left" wrapText="1"/>
    </xf>
    <xf numFmtId="0" fontId="8" fillId="0" borderId="0" xfId="0" applyFont="1" applyAlignment="1" applyProtection="1">
      <alignment horizontal="left" wrapText="1"/>
    </xf>
    <xf numFmtId="0" fontId="66" fillId="0" borderId="0" xfId="0" applyFont="1" applyAlignment="1" applyProtection="1">
      <alignment horizontal="center" wrapText="1"/>
    </xf>
    <xf numFmtId="170" fontId="66" fillId="0" borderId="0" xfId="0" applyNumberFormat="1" applyFont="1" applyAlignment="1" applyProtection="1">
      <alignment horizontal="right"/>
    </xf>
    <xf numFmtId="39" fontId="66" fillId="0" borderId="0" xfId="0" applyNumberFormat="1" applyFont="1" applyAlignment="1" applyProtection="1">
      <alignment horizontal="right"/>
    </xf>
    <xf numFmtId="39" fontId="8" fillId="0" borderId="0" xfId="0" applyNumberFormat="1" applyFont="1" applyAlignment="1" applyProtection="1">
      <alignment horizontal="right"/>
    </xf>
    <xf numFmtId="0" fontId="11" fillId="0" borderId="0" xfId="0" applyFont="1" applyAlignment="1">
      <alignment vertical="center" wrapText="1"/>
      <protection locked="0"/>
    </xf>
    <xf numFmtId="37" fontId="96" fillId="0" borderId="0" xfId="0" applyNumberFormat="1" applyFont="1" applyAlignment="1">
      <alignment horizontal="right"/>
      <protection locked="0"/>
    </xf>
    <xf numFmtId="4" fontId="137" fillId="0" borderId="30" xfId="0" applyNumberFormat="1" applyFont="1" applyBorder="1" applyAlignment="1">
      <alignment horizontal="right"/>
      <protection locked="0"/>
    </xf>
    <xf numFmtId="39" fontId="37" fillId="0" borderId="15" xfId="0" applyNumberFormat="1" applyFont="1" applyBorder="1" applyAlignment="1">
      <alignment horizontal="right"/>
      <protection locked="0"/>
    </xf>
    <xf numFmtId="2" fontId="28" fillId="0" borderId="15" xfId="0" applyNumberFormat="1" applyFont="1" applyBorder="1" applyAlignment="1">
      <alignment horizontal="right"/>
      <protection locked="0"/>
    </xf>
    <xf numFmtId="0" fontId="7" fillId="0" borderId="0" xfId="85"/>
    <xf numFmtId="0" fontId="37" fillId="0" borderId="0" xfId="85" applyFont="1" applyAlignment="1">
      <alignment horizontal="left"/>
    </xf>
    <xf numFmtId="0" fontId="8" fillId="0" borderId="0" xfId="85" applyFont="1" applyAlignment="1">
      <alignment horizontal="left"/>
    </xf>
    <xf numFmtId="0" fontId="36" fillId="0" borderId="0" xfId="85" applyFont="1" applyAlignment="1">
      <alignment horizontal="left"/>
    </xf>
    <xf numFmtId="0" fontId="7" fillId="0" borderId="0" xfId="85" applyAlignment="1" applyProtection="1">
      <alignment horizontal="left" vertical="top"/>
      <protection locked="0"/>
    </xf>
    <xf numFmtId="2" fontId="45" fillId="0" borderId="31" xfId="0" applyNumberFormat="1" applyFont="1" applyBorder="1" applyAlignment="1" applyProtection="1">
      <alignment horizontal="center" vertical="center" wrapText="1"/>
    </xf>
    <xf numFmtId="37" fontId="37" fillId="0" borderId="29" xfId="0" applyNumberFormat="1" applyFont="1" applyBorder="1" applyAlignment="1">
      <alignment horizontal="right"/>
      <protection locked="0"/>
    </xf>
    <xf numFmtId="2" fontId="37" fillId="0" borderId="29" xfId="0" applyNumberFormat="1" applyFont="1" applyBorder="1" applyAlignment="1">
      <alignment horizontal="right"/>
      <protection locked="0"/>
    </xf>
    <xf numFmtId="171" fontId="37" fillId="0" borderId="29" xfId="0" applyNumberFormat="1" applyFont="1" applyBorder="1" applyAlignment="1">
      <alignment horizontal="right"/>
      <protection locked="0"/>
    </xf>
    <xf numFmtId="0" fontId="176" fillId="0" borderId="0" xfId="67" applyFill="1" applyAlignment="1">
      <alignment horizontal="left" vertical="top"/>
      <protection locked="0"/>
    </xf>
    <xf numFmtId="170" fontId="86" fillId="7" borderId="0" xfId="0" applyNumberFormat="1" applyFont="1" applyFill="1" applyAlignment="1">
      <alignment horizontal="right"/>
      <protection locked="0"/>
    </xf>
    <xf numFmtId="171" fontId="86" fillId="7" borderId="0" xfId="0" applyNumberFormat="1" applyFont="1" applyFill="1" applyAlignment="1">
      <alignment horizontal="right"/>
      <protection locked="0"/>
    </xf>
    <xf numFmtId="171" fontId="86"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6" fillId="0" borderId="33" xfId="0" applyNumberFormat="1" applyFont="1" applyBorder="1" applyAlignment="1">
      <alignment horizontal="right"/>
      <protection locked="0"/>
    </xf>
    <xf numFmtId="171" fontId="8" fillId="0" borderId="33" xfId="0" applyNumberFormat="1" applyFont="1" applyBorder="1" applyAlignment="1">
      <alignment horizontal="right"/>
      <protection locked="0"/>
    </xf>
    <xf numFmtId="2" fontId="9" fillId="0" borderId="0" xfId="21" applyNumberFormat="1" applyFont="1" applyAlignment="1">
      <alignment vertical="center"/>
    </xf>
    <xf numFmtId="2" fontId="0" fillId="0" borderId="0" xfId="0" applyNumberFormat="1" applyAlignment="1">
      <alignment vertical="top"/>
      <protection locked="0"/>
    </xf>
    <xf numFmtId="0" fontId="38" fillId="0" borderId="0" xfId="63" applyAlignment="1" applyProtection="1">
      <alignment horizontal="left" vertical="top"/>
      <protection locked="0"/>
    </xf>
    <xf numFmtId="0" fontId="35" fillId="0" borderId="0" xfId="85" applyFont="1" applyAlignment="1">
      <alignment horizontal="left"/>
    </xf>
    <xf numFmtId="37" fontId="66" fillId="0" borderId="0" xfId="0" applyNumberFormat="1" applyFont="1" applyAlignment="1">
      <alignment horizontal="right"/>
      <protection locked="0"/>
    </xf>
    <xf numFmtId="0" fontId="86" fillId="0" borderId="0" xfId="0" applyFont="1" applyAlignment="1">
      <alignment horizontal="left" wrapText="1"/>
      <protection locked="0"/>
    </xf>
    <xf numFmtId="170" fontId="86" fillId="0" borderId="0" xfId="0" applyNumberFormat="1" applyFont="1" applyAlignment="1">
      <alignment horizontal="right"/>
      <protection locked="0"/>
    </xf>
    <xf numFmtId="167" fontId="36" fillId="0" borderId="0" xfId="71" applyNumberFormat="1" applyFont="1" applyAlignment="1">
      <alignment horizontal="left"/>
    </xf>
    <xf numFmtId="167" fontId="45" fillId="0" borderId="31" xfId="71" applyNumberFormat="1" applyFont="1" applyBorder="1" applyAlignment="1">
      <alignment horizontal="center" vertical="center" wrapText="1"/>
    </xf>
    <xf numFmtId="0" fontId="291" fillId="0" borderId="0" xfId="51" applyFont="1" applyFill="1" applyBorder="1" applyAlignment="1" applyProtection="1">
      <alignment vertical="center"/>
    </xf>
    <xf numFmtId="167" fontId="37" fillId="0" borderId="30" xfId="71" applyNumberFormat="1" applyFont="1" applyBorder="1" applyAlignment="1">
      <alignment horizontal="right"/>
    </xf>
    <xf numFmtId="0" fontId="123" fillId="0" borderId="0" xfId="51" applyFill="1" applyBorder="1" applyAlignment="1" applyProtection="1">
      <alignment horizontal="left" vertical="top"/>
      <protection locked="0"/>
    </xf>
    <xf numFmtId="175" fontId="43" fillId="0" borderId="0" xfId="51" applyNumberFormat="1" applyFont="1" applyFill="1" applyBorder="1" applyAlignment="1">
      <alignment horizontal="center" vertical="center"/>
      <protection locked="0"/>
    </xf>
    <xf numFmtId="0" fontId="293" fillId="0" borderId="30" xfId="71" applyFont="1" applyBorder="1" applyAlignment="1" applyProtection="1">
      <alignment horizontal="right" vertical="center"/>
      <protection locked="0"/>
    </xf>
    <xf numFmtId="37" fontId="8" fillId="0" borderId="70" xfId="71" applyNumberFormat="1" applyFont="1" applyBorder="1" applyAlignment="1" applyProtection="1">
      <alignment horizontal="right"/>
      <protection locked="0"/>
    </xf>
    <xf numFmtId="0" fontId="8" fillId="0" borderId="71" xfId="71" applyFont="1" applyBorder="1" applyAlignment="1" applyProtection="1">
      <alignment horizontal="left" wrapText="1"/>
      <protection locked="0"/>
    </xf>
    <xf numFmtId="0" fontId="8" fillId="0" borderId="70" xfId="71" applyFont="1" applyBorder="1" applyAlignment="1" applyProtection="1">
      <alignment horizontal="left" wrapText="1"/>
      <protection locked="0"/>
    </xf>
    <xf numFmtId="39" fontId="8" fillId="0" borderId="70" xfId="71" applyNumberFormat="1" applyFont="1" applyBorder="1" applyAlignment="1" applyProtection="1">
      <alignment horizontal="right"/>
      <protection locked="0"/>
    </xf>
    <xf numFmtId="39" fontId="8" fillId="0" borderId="71" xfId="3" applyNumberFormat="1" applyFont="1" applyBorder="1" applyAlignment="1" applyProtection="1">
      <alignment horizontal="center"/>
      <protection locked="0"/>
    </xf>
    <xf numFmtId="0" fontId="16" fillId="0" borderId="39" xfId="51" applyFont="1" applyFill="1" applyBorder="1" applyAlignment="1">
      <alignment horizontal="right" vertical="center"/>
      <protection locked="0"/>
    </xf>
    <xf numFmtId="37" fontId="66" fillId="0" borderId="72" xfId="71" applyNumberFormat="1" applyFont="1" applyBorder="1" applyAlignment="1" applyProtection="1">
      <alignment horizontal="right"/>
      <protection locked="0"/>
    </xf>
    <xf numFmtId="0" fontId="66" fillId="0" borderId="72" xfId="71" applyFont="1" applyBorder="1" applyAlignment="1" applyProtection="1">
      <alignment horizontal="left" wrapText="1"/>
      <protection locked="0"/>
    </xf>
    <xf numFmtId="0" fontId="28" fillId="0" borderId="72" xfId="71" applyFont="1" applyBorder="1" applyAlignment="1" applyProtection="1">
      <alignment horizontal="left" wrapText="1"/>
      <protection locked="0"/>
    </xf>
    <xf numFmtId="167" fontId="28" fillId="0" borderId="72" xfId="71" applyNumberFormat="1" applyFont="1" applyBorder="1" applyAlignment="1" applyProtection="1">
      <alignment horizontal="right"/>
      <protection locked="0"/>
    </xf>
    <xf numFmtId="39" fontId="66" fillId="0" borderId="72" xfId="71" applyNumberFormat="1" applyFont="1" applyBorder="1" applyAlignment="1" applyProtection="1">
      <alignment horizontal="right"/>
      <protection locked="0"/>
    </xf>
    <xf numFmtId="0" fontId="39" fillId="0" borderId="72" xfId="71" applyFont="1" applyBorder="1" applyAlignment="1" applyProtection="1">
      <alignment horizontal="center" vertical="center"/>
      <protection locked="0"/>
    </xf>
    <xf numFmtId="0" fontId="16" fillId="0" borderId="0" xfId="51" applyFont="1" applyFill="1" applyBorder="1" applyAlignment="1">
      <alignment horizontal="right" vertical="center"/>
      <protection locked="0"/>
    </xf>
    <xf numFmtId="0" fontId="123" fillId="0" borderId="0" xfId="51" applyFill="1" applyBorder="1" applyAlignment="1" applyProtection="1">
      <alignment horizontal="left" vertical="center"/>
      <protection locked="0"/>
    </xf>
    <xf numFmtId="2" fontId="35" fillId="0" borderId="72" xfId="71" applyNumberFormat="1" applyFont="1" applyBorder="1" applyAlignment="1" applyProtection="1">
      <alignment horizontal="left" vertical="center"/>
      <protection locked="0"/>
    </xf>
    <xf numFmtId="0" fontId="7" fillId="0" borderId="72" xfId="71" applyBorder="1" applyAlignment="1" applyProtection="1">
      <alignment horizontal="left" vertical="top"/>
      <protection locked="0"/>
    </xf>
    <xf numFmtId="37" fontId="8" fillId="0" borderId="73" xfId="71" applyNumberFormat="1" applyFont="1" applyBorder="1" applyAlignment="1" applyProtection="1">
      <alignment horizontal="right"/>
      <protection locked="0"/>
    </xf>
    <xf numFmtId="0" fontId="8" fillId="0" borderId="74" xfId="71" applyFont="1" applyBorder="1" applyAlignment="1" applyProtection="1">
      <alignment horizontal="left" wrapText="1"/>
      <protection locked="0"/>
    </xf>
    <xf numFmtId="0" fontId="8" fillId="0" borderId="73" xfId="71" applyFont="1" applyBorder="1" applyAlignment="1" applyProtection="1">
      <alignment horizontal="left" wrapText="1"/>
      <protection locked="0"/>
    </xf>
    <xf numFmtId="167" fontId="8" fillId="0" borderId="75" xfId="71" applyNumberFormat="1" applyFont="1" applyBorder="1" applyAlignment="1" applyProtection="1">
      <alignment horizontal="right"/>
      <protection locked="0"/>
    </xf>
    <xf numFmtId="39" fontId="8" fillId="0" borderId="73" xfId="71" applyNumberFormat="1" applyFont="1" applyBorder="1" applyAlignment="1" applyProtection="1">
      <alignment horizontal="right"/>
      <protection locked="0"/>
    </xf>
    <xf numFmtId="39" fontId="8" fillId="0" borderId="74" xfId="3" applyNumberFormat="1" applyFont="1" applyBorder="1" applyAlignment="1" applyProtection="1">
      <alignment horizontal="center"/>
      <protection locked="0"/>
    </xf>
    <xf numFmtId="37" fontId="66" fillId="0" borderId="76" xfId="71" applyNumberFormat="1" applyFont="1" applyBorder="1" applyAlignment="1" applyProtection="1">
      <alignment horizontal="right"/>
      <protection locked="0"/>
    </xf>
    <xf numFmtId="0" fontId="66" fillId="0" borderId="76" xfId="71" applyFont="1" applyBorder="1" applyAlignment="1" applyProtection="1">
      <alignment horizontal="left" wrapText="1"/>
      <protection locked="0"/>
    </xf>
    <xf numFmtId="0" fontId="28" fillId="0" borderId="76" xfId="71" applyFont="1" applyBorder="1" applyAlignment="1" applyProtection="1">
      <alignment horizontal="left" wrapText="1"/>
      <protection locked="0"/>
    </xf>
    <xf numFmtId="167" fontId="28" fillId="0" borderId="76" xfId="71" applyNumberFormat="1" applyFont="1" applyBorder="1" applyAlignment="1" applyProtection="1">
      <alignment horizontal="right"/>
      <protection locked="0"/>
    </xf>
    <xf numFmtId="39" fontId="66" fillId="0" borderId="76" xfId="71" applyNumberFormat="1" applyFont="1" applyBorder="1" applyAlignment="1" applyProtection="1">
      <alignment horizontal="right"/>
      <protection locked="0"/>
    </xf>
    <xf numFmtId="0" fontId="39" fillId="0" borderId="76" xfId="71" applyFont="1" applyBorder="1" applyAlignment="1" applyProtection="1">
      <alignment horizontal="center" vertical="center"/>
      <protection locked="0"/>
    </xf>
    <xf numFmtId="2" fontId="35" fillId="0" borderId="76" xfId="71" applyNumberFormat="1" applyFont="1" applyBorder="1" applyAlignment="1" applyProtection="1">
      <alignment horizontal="left" vertical="center"/>
      <protection locked="0"/>
    </xf>
    <xf numFmtId="0" fontId="7" fillId="0" borderId="76" xfId="71" applyBorder="1" applyAlignment="1" applyProtection="1">
      <alignment horizontal="left" vertical="top"/>
      <protection locked="0"/>
    </xf>
    <xf numFmtId="37" fontId="8" fillId="0" borderId="77" xfId="71" applyNumberFormat="1" applyFont="1" applyBorder="1" applyAlignment="1" applyProtection="1">
      <alignment horizontal="right"/>
      <protection locked="0"/>
    </xf>
    <xf numFmtId="0" fontId="8" fillId="0" borderId="78" xfId="71" applyFont="1" applyBorder="1" applyAlignment="1" applyProtection="1">
      <alignment horizontal="left" wrapText="1"/>
      <protection locked="0"/>
    </xf>
    <xf numFmtId="0" fontId="8" fillId="0" borderId="77" xfId="71" applyFont="1" applyBorder="1" applyAlignment="1" applyProtection="1">
      <alignment horizontal="left" wrapText="1"/>
      <protection locked="0"/>
    </xf>
    <xf numFmtId="167" fontId="8" fillId="0" borderId="79" xfId="71" applyNumberFormat="1" applyFont="1" applyBorder="1" applyAlignment="1" applyProtection="1">
      <alignment horizontal="right"/>
      <protection locked="0"/>
    </xf>
    <xf numFmtId="39" fontId="8" fillId="0" borderId="77" xfId="71" applyNumberFormat="1" applyFont="1" applyBorder="1" applyAlignment="1" applyProtection="1">
      <alignment horizontal="right"/>
      <protection locked="0"/>
    </xf>
    <xf numFmtId="39" fontId="8" fillId="0" borderId="78" xfId="3" applyNumberFormat="1" applyFont="1" applyBorder="1" applyAlignment="1" applyProtection="1">
      <alignment horizontal="center"/>
      <protection locked="0"/>
    </xf>
    <xf numFmtId="37" fontId="66" fillId="0" borderId="80" xfId="71" applyNumberFormat="1" applyFont="1" applyBorder="1" applyAlignment="1" applyProtection="1">
      <alignment horizontal="right"/>
      <protection locked="0"/>
    </xf>
    <xf numFmtId="0" fontId="66" fillId="0" borderId="80" xfId="71" applyFont="1" applyBorder="1" applyAlignment="1" applyProtection="1">
      <alignment horizontal="left" wrapText="1"/>
      <protection locked="0"/>
    </xf>
    <xf numFmtId="0" fontId="28" fillId="0" borderId="80" xfId="71" applyFont="1" applyBorder="1" applyAlignment="1" applyProtection="1">
      <alignment horizontal="left" wrapText="1"/>
      <protection locked="0"/>
    </xf>
    <xf numFmtId="167" fontId="28" fillId="0" borderId="80" xfId="71" applyNumberFormat="1" applyFont="1" applyBorder="1" applyAlignment="1" applyProtection="1">
      <alignment horizontal="right"/>
      <protection locked="0"/>
    </xf>
    <xf numFmtId="39" fontId="66" fillId="0" borderId="80" xfId="71" applyNumberFormat="1" applyFont="1" applyBorder="1" applyAlignment="1" applyProtection="1">
      <alignment horizontal="right"/>
      <protection locked="0"/>
    </xf>
    <xf numFmtId="39" fontId="8" fillId="0" borderId="80" xfId="71" applyNumberFormat="1" applyFont="1" applyBorder="1" applyAlignment="1" applyProtection="1">
      <alignment horizontal="right"/>
      <protection locked="0"/>
    </xf>
    <xf numFmtId="0" fontId="39" fillId="0" borderId="80" xfId="71" applyFont="1" applyBorder="1" applyAlignment="1" applyProtection="1">
      <alignment horizontal="center" vertical="center"/>
      <protection locked="0"/>
    </xf>
    <xf numFmtId="2" fontId="35" fillId="0" borderId="80" xfId="71" applyNumberFormat="1" applyFont="1" applyBorder="1" applyAlignment="1" applyProtection="1">
      <alignment horizontal="left" vertical="center"/>
      <protection locked="0"/>
    </xf>
    <xf numFmtId="0" fontId="7" fillId="0" borderId="80" xfId="71" applyBorder="1" applyAlignment="1" applyProtection="1">
      <alignment horizontal="left" vertical="top"/>
      <protection locked="0"/>
    </xf>
    <xf numFmtId="37" fontId="8" fillId="0" borderId="81" xfId="71" applyNumberFormat="1" applyFont="1" applyBorder="1" applyAlignment="1" applyProtection="1">
      <alignment horizontal="right"/>
      <protection locked="0"/>
    </xf>
    <xf numFmtId="0" fontId="8" fillId="0" borderId="82" xfId="71" applyFont="1" applyBorder="1" applyAlignment="1" applyProtection="1">
      <alignment horizontal="left" wrapText="1"/>
      <protection locked="0"/>
    </xf>
    <xf numFmtId="0" fontId="8" fillId="0" borderId="81" xfId="71" applyFont="1" applyBorder="1" applyAlignment="1" applyProtection="1">
      <alignment horizontal="left" wrapText="1"/>
      <protection locked="0"/>
    </xf>
    <xf numFmtId="167" fontId="8" fillId="0" borderId="83" xfId="71" applyNumberFormat="1" applyFont="1" applyBorder="1" applyAlignment="1" applyProtection="1">
      <alignment horizontal="right"/>
      <protection locked="0"/>
    </xf>
    <xf numFmtId="39" fontId="8" fillId="0" borderId="81" xfId="71" applyNumberFormat="1" applyFont="1" applyBorder="1" applyAlignment="1" applyProtection="1">
      <alignment horizontal="right"/>
      <protection locked="0"/>
    </xf>
    <xf numFmtId="39" fontId="8" fillId="0" borderId="82" xfId="3" applyNumberFormat="1" applyFont="1" applyBorder="1" applyAlignment="1" applyProtection="1">
      <alignment horizontal="center"/>
      <protection locked="0"/>
    </xf>
    <xf numFmtId="37" fontId="66" fillId="0" borderId="84" xfId="71" applyNumberFormat="1" applyFont="1" applyBorder="1" applyAlignment="1" applyProtection="1">
      <alignment horizontal="right"/>
      <protection locked="0"/>
    </xf>
    <xf numFmtId="0" fontId="66" fillId="0" borderId="84" xfId="71" applyFont="1" applyBorder="1" applyAlignment="1" applyProtection="1">
      <alignment horizontal="left" wrapText="1"/>
      <protection locked="0"/>
    </xf>
    <xf numFmtId="0" fontId="28" fillId="0" borderId="84" xfId="71" applyFont="1" applyBorder="1" applyAlignment="1" applyProtection="1">
      <alignment horizontal="left" wrapText="1"/>
      <protection locked="0"/>
    </xf>
    <xf numFmtId="167" fontId="28" fillId="0" borderId="84" xfId="71" applyNumberFormat="1" applyFont="1" applyBorder="1" applyAlignment="1" applyProtection="1">
      <alignment horizontal="right"/>
      <protection locked="0"/>
    </xf>
    <xf numFmtId="39" fontId="66" fillId="0" borderId="84" xfId="71" applyNumberFormat="1" applyFont="1" applyBorder="1" applyAlignment="1" applyProtection="1">
      <alignment horizontal="right"/>
      <protection locked="0"/>
    </xf>
    <xf numFmtId="0" fontId="39" fillId="0" borderId="84" xfId="71" applyFont="1" applyBorder="1" applyAlignment="1" applyProtection="1">
      <alignment horizontal="center" vertical="center"/>
      <protection locked="0"/>
    </xf>
    <xf numFmtId="2" fontId="35" fillId="0" borderId="84" xfId="71" applyNumberFormat="1" applyFont="1" applyBorder="1" applyAlignment="1" applyProtection="1">
      <alignment horizontal="left" vertical="center"/>
      <protection locked="0"/>
    </xf>
    <xf numFmtId="0" fontId="7" fillId="0" borderId="84" xfId="71" applyBorder="1" applyAlignment="1" applyProtection="1">
      <alignment horizontal="left" vertical="top"/>
      <protection locked="0"/>
    </xf>
    <xf numFmtId="37" fontId="8" fillId="0" borderId="85" xfId="71" applyNumberFormat="1" applyFont="1" applyBorder="1" applyAlignment="1" applyProtection="1">
      <alignment horizontal="right"/>
      <protection locked="0"/>
    </xf>
    <xf numFmtId="0" fontId="8" fillId="0" borderId="86" xfId="71" applyFont="1" applyBorder="1" applyAlignment="1" applyProtection="1">
      <alignment horizontal="left" wrapText="1"/>
      <protection locked="0"/>
    </xf>
    <xf numFmtId="0" fontId="8" fillId="0" borderId="85" xfId="71" applyFont="1" applyBorder="1" applyAlignment="1" applyProtection="1">
      <alignment horizontal="left" wrapText="1"/>
      <protection locked="0"/>
    </xf>
    <xf numFmtId="167" fontId="8" fillId="0" borderId="87" xfId="71" applyNumberFormat="1" applyFont="1" applyBorder="1" applyAlignment="1" applyProtection="1">
      <alignment horizontal="right"/>
      <protection locked="0"/>
    </xf>
    <xf numFmtId="39" fontId="8" fillId="0" borderId="85" xfId="71" applyNumberFormat="1" applyFont="1" applyBorder="1" applyAlignment="1" applyProtection="1">
      <alignment horizontal="right"/>
      <protection locked="0"/>
    </xf>
    <xf numFmtId="39" fontId="8" fillId="0" borderId="86" xfId="3" applyNumberFormat="1" applyFont="1" applyBorder="1" applyAlignment="1" applyProtection="1">
      <alignment horizontal="center"/>
      <protection locked="0"/>
    </xf>
    <xf numFmtId="37" fontId="66" fillId="0" borderId="88" xfId="71" applyNumberFormat="1" applyFont="1" applyBorder="1" applyAlignment="1" applyProtection="1">
      <alignment horizontal="right"/>
      <protection locked="0"/>
    </xf>
    <xf numFmtId="0" fontId="66" fillId="0" borderId="88" xfId="71" applyFont="1" applyBorder="1" applyAlignment="1" applyProtection="1">
      <alignment horizontal="left" wrapText="1"/>
      <protection locked="0"/>
    </xf>
    <xf numFmtId="0" fontId="28" fillId="0" borderId="88" xfId="71" applyFont="1" applyBorder="1" applyAlignment="1" applyProtection="1">
      <alignment horizontal="left" wrapText="1"/>
      <protection locked="0"/>
    </xf>
    <xf numFmtId="167" fontId="28" fillId="0" borderId="88" xfId="71" applyNumberFormat="1" applyFont="1" applyBorder="1" applyAlignment="1" applyProtection="1">
      <alignment horizontal="right"/>
      <protection locked="0"/>
    </xf>
    <xf numFmtId="39" fontId="66" fillId="0" borderId="88" xfId="71" applyNumberFormat="1" applyFont="1" applyBorder="1" applyAlignment="1" applyProtection="1">
      <alignment horizontal="right"/>
      <protection locked="0"/>
    </xf>
    <xf numFmtId="0" fontId="39" fillId="0" borderId="88" xfId="71" applyFont="1" applyBorder="1" applyAlignment="1" applyProtection="1">
      <alignment horizontal="center" vertical="center"/>
      <protection locked="0"/>
    </xf>
    <xf numFmtId="2" fontId="35" fillId="0" borderId="88" xfId="71" applyNumberFormat="1" applyFont="1" applyBorder="1" applyAlignment="1" applyProtection="1">
      <alignment horizontal="left" vertical="center"/>
      <protection locked="0"/>
    </xf>
    <xf numFmtId="0" fontId="7" fillId="0" borderId="88" xfId="71" applyBorder="1" applyAlignment="1" applyProtection="1">
      <alignment horizontal="left" vertical="top"/>
      <protection locked="0"/>
    </xf>
    <xf numFmtId="37" fontId="8" fillId="0" borderId="89" xfId="71" applyNumberFormat="1" applyFont="1" applyBorder="1" applyAlignment="1" applyProtection="1">
      <alignment horizontal="right"/>
      <protection locked="0"/>
    </xf>
    <xf numFmtId="0" fontId="8" fillId="0" borderId="90" xfId="71" applyFont="1" applyBorder="1" applyAlignment="1" applyProtection="1">
      <alignment horizontal="left" wrapText="1"/>
      <protection locked="0"/>
    </xf>
    <xf numFmtId="0" fontId="8" fillId="0" borderId="89" xfId="71" applyFont="1" applyBorder="1" applyAlignment="1" applyProtection="1">
      <alignment horizontal="left" wrapText="1"/>
      <protection locked="0"/>
    </xf>
    <xf numFmtId="167" fontId="8" fillId="0" borderId="91" xfId="71" applyNumberFormat="1" applyFont="1" applyBorder="1" applyAlignment="1" applyProtection="1">
      <alignment horizontal="right"/>
      <protection locked="0"/>
    </xf>
    <xf numFmtId="39" fontId="8" fillId="0" borderId="89" xfId="71" applyNumberFormat="1" applyFont="1" applyBorder="1" applyAlignment="1" applyProtection="1">
      <alignment horizontal="right"/>
      <protection locked="0"/>
    </xf>
    <xf numFmtId="39" fontId="8" fillId="0" borderId="90" xfId="3" applyNumberFormat="1" applyFont="1" applyBorder="1" applyAlignment="1" applyProtection="1">
      <alignment horizontal="center"/>
      <protection locked="0"/>
    </xf>
    <xf numFmtId="37" fontId="66" fillId="0" borderId="92" xfId="71" applyNumberFormat="1" applyFont="1" applyBorder="1" applyAlignment="1" applyProtection="1">
      <alignment horizontal="right"/>
      <protection locked="0"/>
    </xf>
    <xf numFmtId="0" fontId="66" fillId="0" borderId="92" xfId="71" applyFont="1" applyBorder="1" applyAlignment="1" applyProtection="1">
      <alignment horizontal="left" wrapText="1"/>
      <protection locked="0"/>
    </xf>
    <xf numFmtId="0" fontId="28" fillId="0" borderId="92" xfId="71" applyFont="1" applyBorder="1" applyAlignment="1" applyProtection="1">
      <alignment horizontal="left" wrapText="1"/>
      <protection locked="0"/>
    </xf>
    <xf numFmtId="167" fontId="28" fillId="0" borderId="92" xfId="71" applyNumberFormat="1" applyFont="1" applyBorder="1" applyAlignment="1" applyProtection="1">
      <alignment horizontal="right"/>
      <protection locked="0"/>
    </xf>
    <xf numFmtId="39" fontId="66" fillId="0" borderId="92" xfId="71" applyNumberFormat="1" applyFont="1" applyBorder="1" applyAlignment="1" applyProtection="1">
      <alignment horizontal="right"/>
      <protection locked="0"/>
    </xf>
    <xf numFmtId="0" fontId="39" fillId="0" borderId="92" xfId="71" applyFont="1" applyBorder="1" applyAlignment="1" applyProtection="1">
      <alignment horizontal="center" vertical="center"/>
      <protection locked="0"/>
    </xf>
    <xf numFmtId="2" fontId="35" fillId="0" borderId="92" xfId="71" applyNumberFormat="1" applyFont="1" applyBorder="1" applyAlignment="1" applyProtection="1">
      <alignment horizontal="left" vertical="center"/>
      <protection locked="0"/>
    </xf>
    <xf numFmtId="0" fontId="7" fillId="0" borderId="92" xfId="71" applyBorder="1" applyAlignment="1" applyProtection="1">
      <alignment horizontal="left" vertical="top"/>
      <protection locked="0"/>
    </xf>
    <xf numFmtId="37" fontId="8" fillId="0" borderId="93" xfId="71" applyNumberFormat="1" applyFont="1" applyBorder="1" applyAlignment="1" applyProtection="1">
      <alignment horizontal="right"/>
      <protection locked="0"/>
    </xf>
    <xf numFmtId="0" fontId="8" fillId="0" borderId="94" xfId="71" applyFont="1" applyBorder="1" applyAlignment="1" applyProtection="1">
      <alignment horizontal="left" wrapText="1"/>
      <protection locked="0"/>
    </xf>
    <xf numFmtId="0" fontId="8" fillId="0" borderId="93" xfId="71" applyFont="1" applyBorder="1" applyAlignment="1" applyProtection="1">
      <alignment horizontal="left" wrapText="1"/>
      <protection locked="0"/>
    </xf>
    <xf numFmtId="167" fontId="8" fillId="0" borderId="95" xfId="71" applyNumberFormat="1" applyFont="1" applyBorder="1" applyAlignment="1" applyProtection="1">
      <alignment horizontal="right"/>
      <protection locked="0"/>
    </xf>
    <xf numFmtId="39" fontId="8" fillId="0" borderId="93" xfId="71" applyNumberFormat="1" applyFont="1" applyBorder="1" applyAlignment="1" applyProtection="1">
      <alignment horizontal="right"/>
      <protection locked="0"/>
    </xf>
    <xf numFmtId="39" fontId="8" fillId="0" borderId="94" xfId="3" applyNumberFormat="1" applyFont="1" applyBorder="1" applyAlignment="1" applyProtection="1">
      <alignment horizontal="center"/>
      <protection locked="0"/>
    </xf>
    <xf numFmtId="37" fontId="66" fillId="0" borderId="96" xfId="71" applyNumberFormat="1" applyFont="1" applyBorder="1" applyAlignment="1" applyProtection="1">
      <alignment horizontal="right"/>
      <protection locked="0"/>
    </xf>
    <xf numFmtId="0" fontId="66" fillId="0" borderId="96" xfId="71" applyFont="1" applyBorder="1" applyAlignment="1" applyProtection="1">
      <alignment horizontal="left" wrapText="1"/>
      <protection locked="0"/>
    </xf>
    <xf numFmtId="0" fontId="28" fillId="0" borderId="96" xfId="71" applyFont="1" applyBorder="1" applyAlignment="1" applyProtection="1">
      <alignment horizontal="left" wrapText="1"/>
      <protection locked="0"/>
    </xf>
    <xf numFmtId="167" fontId="28" fillId="0" borderId="96" xfId="71" applyNumberFormat="1" applyFont="1" applyBorder="1" applyAlignment="1" applyProtection="1">
      <alignment horizontal="right"/>
      <protection locked="0"/>
    </xf>
    <xf numFmtId="39" fontId="66" fillId="0" borderId="96" xfId="71" applyNumberFormat="1" applyFont="1" applyBorder="1" applyAlignment="1" applyProtection="1">
      <alignment horizontal="right"/>
      <protection locked="0"/>
    </xf>
    <xf numFmtId="0" fontId="39" fillId="0" borderId="96" xfId="71" applyFont="1" applyBorder="1" applyAlignment="1" applyProtection="1">
      <alignment horizontal="center" vertical="center"/>
      <protection locked="0"/>
    </xf>
    <xf numFmtId="2" fontId="35" fillId="0" borderId="96" xfId="71" applyNumberFormat="1" applyFont="1" applyBorder="1" applyAlignment="1" applyProtection="1">
      <alignment horizontal="left" vertical="center"/>
      <protection locked="0"/>
    </xf>
    <xf numFmtId="0" fontId="7" fillId="0" borderId="96" xfId="71" applyBorder="1" applyAlignment="1" applyProtection="1">
      <alignment horizontal="left" vertical="top"/>
      <protection locked="0"/>
    </xf>
    <xf numFmtId="37" fontId="8" fillId="0" borderId="97" xfId="71" applyNumberFormat="1" applyFont="1" applyBorder="1" applyAlignment="1" applyProtection="1">
      <alignment horizontal="right"/>
      <protection locked="0"/>
    </xf>
    <xf numFmtId="0" fontId="8" fillId="0" borderId="98" xfId="71" applyFont="1" applyBorder="1" applyAlignment="1" applyProtection="1">
      <alignment horizontal="left" wrapText="1"/>
      <protection locked="0"/>
    </xf>
    <xf numFmtId="0" fontId="8" fillId="0" borderId="97" xfId="71" applyFont="1" applyBorder="1" applyAlignment="1" applyProtection="1">
      <alignment horizontal="left" wrapText="1"/>
      <protection locked="0"/>
    </xf>
    <xf numFmtId="167" fontId="8" fillId="0" borderId="99" xfId="71" applyNumberFormat="1" applyFont="1" applyBorder="1" applyAlignment="1" applyProtection="1">
      <alignment horizontal="right"/>
      <protection locked="0"/>
    </xf>
    <xf numFmtId="39" fontId="8" fillId="0" borderId="97" xfId="71" applyNumberFormat="1" applyFont="1" applyBorder="1" applyAlignment="1" applyProtection="1">
      <alignment horizontal="right"/>
      <protection locked="0"/>
    </xf>
    <xf numFmtId="39" fontId="8" fillId="0" borderId="98" xfId="3" applyNumberFormat="1" applyFont="1" applyBorder="1" applyAlignment="1" applyProtection="1">
      <alignment horizontal="center"/>
      <protection locked="0"/>
    </xf>
    <xf numFmtId="37" fontId="66" fillId="0" borderId="100" xfId="71" applyNumberFormat="1" applyFont="1" applyBorder="1" applyAlignment="1" applyProtection="1">
      <alignment horizontal="right"/>
      <protection locked="0"/>
    </xf>
    <xf numFmtId="0" fontId="66" fillId="0" borderId="100" xfId="71" applyFont="1" applyBorder="1" applyAlignment="1" applyProtection="1">
      <alignment horizontal="left" wrapText="1"/>
      <protection locked="0"/>
    </xf>
    <xf numFmtId="0" fontId="28" fillId="0" borderId="100" xfId="71" applyFont="1" applyBorder="1" applyAlignment="1" applyProtection="1">
      <alignment horizontal="left" wrapText="1"/>
      <protection locked="0"/>
    </xf>
    <xf numFmtId="167" fontId="28" fillId="0" borderId="100" xfId="71" applyNumberFormat="1" applyFont="1" applyBorder="1" applyAlignment="1" applyProtection="1">
      <alignment horizontal="right"/>
      <protection locked="0"/>
    </xf>
    <xf numFmtId="39" fontId="66" fillId="0" borderId="100" xfId="71" applyNumberFormat="1" applyFont="1" applyBorder="1" applyAlignment="1" applyProtection="1">
      <alignment horizontal="right"/>
      <protection locked="0"/>
    </xf>
    <xf numFmtId="0" fontId="39" fillId="0" borderId="100" xfId="71" applyFont="1" applyBorder="1" applyAlignment="1" applyProtection="1">
      <alignment horizontal="center" vertical="center"/>
      <protection locked="0"/>
    </xf>
    <xf numFmtId="2" fontId="35" fillId="0" borderId="100" xfId="71" applyNumberFormat="1" applyFont="1" applyBorder="1" applyAlignment="1" applyProtection="1">
      <alignment horizontal="left" vertical="center"/>
      <protection locked="0"/>
    </xf>
    <xf numFmtId="0" fontId="7" fillId="0" borderId="100" xfId="71" applyBorder="1" applyAlignment="1" applyProtection="1">
      <alignment horizontal="left" vertical="top"/>
      <protection locked="0"/>
    </xf>
    <xf numFmtId="37" fontId="8" fillId="0" borderId="101" xfId="71" applyNumberFormat="1" applyFont="1" applyBorder="1" applyAlignment="1" applyProtection="1">
      <alignment horizontal="right"/>
      <protection locked="0"/>
    </xf>
    <xf numFmtId="0" fontId="8" fillId="0" borderId="102" xfId="71" applyFont="1" applyBorder="1" applyAlignment="1" applyProtection="1">
      <alignment horizontal="left" wrapText="1"/>
      <protection locked="0"/>
    </xf>
    <xf numFmtId="0" fontId="8" fillId="0" borderId="101" xfId="71" applyFont="1" applyBorder="1" applyAlignment="1" applyProtection="1">
      <alignment horizontal="left" wrapText="1"/>
      <protection locked="0"/>
    </xf>
    <xf numFmtId="167" fontId="8" fillId="0" borderId="103" xfId="71" applyNumberFormat="1" applyFont="1" applyBorder="1" applyAlignment="1" applyProtection="1">
      <alignment horizontal="right"/>
      <protection locked="0"/>
    </xf>
    <xf numFmtId="39" fontId="8" fillId="0" borderId="101" xfId="71" applyNumberFormat="1" applyFont="1" applyBorder="1" applyAlignment="1" applyProtection="1">
      <alignment horizontal="right"/>
      <protection locked="0"/>
    </xf>
    <xf numFmtId="39" fontId="8" fillId="0" borderId="102" xfId="3" applyNumberFormat="1" applyFont="1" applyBorder="1" applyAlignment="1" applyProtection="1">
      <alignment horizontal="center"/>
      <protection locked="0"/>
    </xf>
    <xf numFmtId="37" fontId="66" fillId="0" borderId="104" xfId="71" applyNumberFormat="1" applyFont="1" applyBorder="1" applyAlignment="1" applyProtection="1">
      <alignment horizontal="right"/>
      <protection locked="0"/>
    </xf>
    <xf numFmtId="0" fontId="66" fillId="0" borderId="104" xfId="71" applyFont="1" applyBorder="1" applyAlignment="1" applyProtection="1">
      <alignment horizontal="left" wrapText="1"/>
      <protection locked="0"/>
    </xf>
    <xf numFmtId="0" fontId="28" fillId="0" borderId="104" xfId="71" applyFont="1" applyBorder="1" applyAlignment="1" applyProtection="1">
      <alignment horizontal="left" wrapText="1"/>
      <protection locked="0"/>
    </xf>
    <xf numFmtId="167" fontId="28" fillId="0" borderId="104" xfId="71" applyNumberFormat="1" applyFont="1" applyBorder="1" applyAlignment="1" applyProtection="1">
      <alignment horizontal="right"/>
      <protection locked="0"/>
    </xf>
    <xf numFmtId="39" fontId="66" fillId="0" borderId="104" xfId="71" applyNumberFormat="1" applyFont="1" applyBorder="1" applyAlignment="1" applyProtection="1">
      <alignment horizontal="right"/>
      <protection locked="0"/>
    </xf>
    <xf numFmtId="0" fontId="39" fillId="0" borderId="104" xfId="71" applyFont="1" applyBorder="1" applyAlignment="1" applyProtection="1">
      <alignment horizontal="center" vertical="center"/>
      <protection locked="0"/>
    </xf>
    <xf numFmtId="2" fontId="35" fillId="0" borderId="104" xfId="71" applyNumberFormat="1" applyFont="1" applyBorder="1" applyAlignment="1" applyProtection="1">
      <alignment horizontal="left" vertical="center"/>
      <protection locked="0"/>
    </xf>
    <xf numFmtId="0" fontId="7" fillId="0" borderId="104" xfId="71" applyBorder="1" applyAlignment="1" applyProtection="1">
      <alignment horizontal="left" vertical="top"/>
      <protection locked="0"/>
    </xf>
    <xf numFmtId="37" fontId="8" fillId="0" borderId="105" xfId="71" applyNumberFormat="1" applyFont="1" applyBorder="1" applyAlignment="1" applyProtection="1">
      <alignment horizontal="right"/>
      <protection locked="0"/>
    </xf>
    <xf numFmtId="0" fontId="8" fillId="0" borderId="106" xfId="71" applyFont="1" applyBorder="1" applyAlignment="1" applyProtection="1">
      <alignment horizontal="left" wrapText="1"/>
      <protection locked="0"/>
    </xf>
    <xf numFmtId="0" fontId="8" fillId="0" borderId="105" xfId="71" applyFont="1" applyBorder="1" applyAlignment="1" applyProtection="1">
      <alignment horizontal="left" wrapText="1"/>
      <protection locked="0"/>
    </xf>
    <xf numFmtId="167" fontId="8" fillId="0" borderId="107" xfId="71" applyNumberFormat="1" applyFont="1" applyBorder="1" applyAlignment="1" applyProtection="1">
      <alignment horizontal="right"/>
      <protection locked="0"/>
    </xf>
    <xf numFmtId="39" fontId="8" fillId="0" borderId="105" xfId="71" applyNumberFormat="1" applyFont="1" applyBorder="1" applyAlignment="1" applyProtection="1">
      <alignment horizontal="right"/>
      <protection locked="0"/>
    </xf>
    <xf numFmtId="39" fontId="8" fillId="0" borderId="106" xfId="3" applyNumberFormat="1" applyFont="1" applyBorder="1" applyAlignment="1" applyProtection="1">
      <alignment horizontal="center"/>
      <protection locked="0"/>
    </xf>
    <xf numFmtId="37" fontId="66" fillId="0" borderId="108" xfId="71" applyNumberFormat="1" applyFont="1" applyBorder="1" applyAlignment="1" applyProtection="1">
      <alignment horizontal="right"/>
      <protection locked="0"/>
    </xf>
    <xf numFmtId="0" fontId="66" fillId="0" borderId="108" xfId="71" applyFont="1" applyBorder="1" applyAlignment="1" applyProtection="1">
      <alignment horizontal="left" wrapText="1"/>
      <protection locked="0"/>
    </xf>
    <xf numFmtId="0" fontId="28" fillId="0" borderId="108" xfId="71" applyFont="1" applyBorder="1" applyAlignment="1" applyProtection="1">
      <alignment horizontal="left" wrapText="1"/>
      <protection locked="0"/>
    </xf>
    <xf numFmtId="167" fontId="28" fillId="0" borderId="108" xfId="71" applyNumberFormat="1" applyFont="1" applyBorder="1" applyAlignment="1" applyProtection="1">
      <alignment horizontal="right"/>
      <protection locked="0"/>
    </xf>
    <xf numFmtId="39" fontId="66" fillId="0" borderId="108" xfId="71" applyNumberFormat="1" applyFont="1" applyBorder="1" applyAlignment="1" applyProtection="1">
      <alignment horizontal="right"/>
      <protection locked="0"/>
    </xf>
    <xf numFmtId="0" fontId="39" fillId="0" borderId="108" xfId="71" applyFont="1" applyBorder="1" applyAlignment="1" applyProtection="1">
      <alignment horizontal="center" vertical="center"/>
      <protection locked="0"/>
    </xf>
    <xf numFmtId="2" fontId="35" fillId="0" borderId="108" xfId="71" applyNumberFormat="1" applyFont="1" applyBorder="1" applyAlignment="1" applyProtection="1">
      <alignment horizontal="left" vertical="center"/>
      <protection locked="0"/>
    </xf>
    <xf numFmtId="0" fontId="7" fillId="0" borderId="108" xfId="71" applyBorder="1" applyAlignment="1" applyProtection="1">
      <alignment horizontal="left" vertical="top"/>
      <protection locked="0"/>
    </xf>
    <xf numFmtId="37" fontId="8" fillId="0" borderId="109" xfId="71" applyNumberFormat="1" applyFont="1" applyBorder="1" applyAlignment="1" applyProtection="1">
      <alignment horizontal="right"/>
      <protection locked="0"/>
    </xf>
    <xf numFmtId="0" fontId="8" fillId="0" borderId="110" xfId="71" applyFont="1" applyBorder="1" applyAlignment="1" applyProtection="1">
      <alignment horizontal="left" wrapText="1"/>
      <protection locked="0"/>
    </xf>
    <xf numFmtId="0" fontId="8" fillId="0" borderId="109" xfId="71" applyFont="1" applyBorder="1" applyAlignment="1" applyProtection="1">
      <alignment horizontal="left" wrapText="1"/>
      <protection locked="0"/>
    </xf>
    <xf numFmtId="167" fontId="8" fillId="0" borderId="111" xfId="71" applyNumberFormat="1" applyFont="1" applyBorder="1" applyAlignment="1" applyProtection="1">
      <alignment horizontal="right"/>
      <protection locked="0"/>
    </xf>
    <xf numFmtId="39" fontId="8" fillId="0" borderId="109" xfId="71" applyNumberFormat="1" applyFont="1" applyBorder="1" applyAlignment="1" applyProtection="1">
      <alignment horizontal="right"/>
      <protection locked="0"/>
    </xf>
    <xf numFmtId="39" fontId="8" fillId="0" borderId="110" xfId="3" applyNumberFormat="1" applyFont="1" applyBorder="1" applyAlignment="1" applyProtection="1">
      <alignment horizontal="center"/>
      <protection locked="0"/>
    </xf>
    <xf numFmtId="37" fontId="66" fillId="0" borderId="112" xfId="71" applyNumberFormat="1" applyFont="1" applyBorder="1" applyAlignment="1" applyProtection="1">
      <alignment horizontal="right"/>
      <protection locked="0"/>
    </xf>
    <xf numFmtId="0" fontId="66" fillId="0" borderId="112" xfId="71" applyFont="1" applyBorder="1" applyAlignment="1" applyProtection="1">
      <alignment horizontal="left" wrapText="1"/>
      <protection locked="0"/>
    </xf>
    <xf numFmtId="0" fontId="28" fillId="0" borderId="112" xfId="71" applyFont="1" applyBorder="1" applyAlignment="1" applyProtection="1">
      <alignment horizontal="left" wrapText="1"/>
      <protection locked="0"/>
    </xf>
    <xf numFmtId="167" fontId="28" fillId="0" borderId="112" xfId="71" applyNumberFormat="1" applyFont="1" applyBorder="1" applyAlignment="1" applyProtection="1">
      <alignment horizontal="right"/>
      <protection locked="0"/>
    </xf>
    <xf numFmtId="39" fontId="66" fillId="0" borderId="112" xfId="71" applyNumberFormat="1" applyFont="1" applyBorder="1" applyAlignment="1" applyProtection="1">
      <alignment horizontal="right"/>
      <protection locked="0"/>
    </xf>
    <xf numFmtId="0" fontId="39" fillId="0" borderId="112" xfId="71" applyFont="1" applyBorder="1" applyAlignment="1" applyProtection="1">
      <alignment horizontal="center" vertical="center"/>
      <protection locked="0"/>
    </xf>
    <xf numFmtId="2" fontId="35" fillId="0" borderId="112" xfId="71" applyNumberFormat="1" applyFont="1" applyBorder="1" applyAlignment="1" applyProtection="1">
      <alignment horizontal="left" vertical="center"/>
      <protection locked="0"/>
    </xf>
    <xf numFmtId="0" fontId="7" fillId="0" borderId="112" xfId="71" applyBorder="1" applyAlignment="1" applyProtection="1">
      <alignment horizontal="left" vertical="top"/>
      <protection locked="0"/>
    </xf>
    <xf numFmtId="37" fontId="8" fillId="0" borderId="113" xfId="71" applyNumberFormat="1" applyFont="1" applyBorder="1" applyAlignment="1" applyProtection="1">
      <alignment horizontal="right"/>
      <protection locked="0"/>
    </xf>
    <xf numFmtId="0" fontId="8" fillId="0" borderId="114" xfId="71" applyFont="1" applyBorder="1" applyAlignment="1" applyProtection="1">
      <alignment horizontal="left" wrapText="1"/>
      <protection locked="0"/>
    </xf>
    <xf numFmtId="0" fontId="8" fillId="0" borderId="113" xfId="71" applyFont="1" applyBorder="1" applyAlignment="1" applyProtection="1">
      <alignment horizontal="left" wrapText="1"/>
      <protection locked="0"/>
    </xf>
    <xf numFmtId="167" fontId="8" fillId="0" borderId="115" xfId="71" applyNumberFormat="1" applyFont="1" applyBorder="1" applyAlignment="1" applyProtection="1">
      <alignment horizontal="right"/>
      <protection locked="0"/>
    </xf>
    <xf numFmtId="39" fontId="8" fillId="0" borderId="113" xfId="71" applyNumberFormat="1" applyFont="1" applyBorder="1" applyAlignment="1" applyProtection="1">
      <alignment horizontal="right"/>
      <protection locked="0"/>
    </xf>
    <xf numFmtId="39" fontId="8" fillId="0" borderId="114" xfId="3" applyNumberFormat="1" applyFont="1" applyBorder="1" applyAlignment="1" applyProtection="1">
      <alignment horizontal="center"/>
      <protection locked="0"/>
    </xf>
    <xf numFmtId="37" fontId="66" fillId="0" borderId="116" xfId="71" applyNumberFormat="1" applyFont="1" applyBorder="1" applyAlignment="1" applyProtection="1">
      <alignment horizontal="right"/>
      <protection locked="0"/>
    </xf>
    <xf numFmtId="0" fontId="66" fillId="0" borderId="116" xfId="71" applyFont="1" applyBorder="1" applyAlignment="1" applyProtection="1">
      <alignment horizontal="left" wrapText="1"/>
      <protection locked="0"/>
    </xf>
    <xf numFmtId="0" fontId="28" fillId="0" borderId="116" xfId="71" applyFont="1" applyBorder="1" applyAlignment="1" applyProtection="1">
      <alignment horizontal="left" wrapText="1"/>
      <protection locked="0"/>
    </xf>
    <xf numFmtId="167" fontId="28" fillId="0" borderId="116" xfId="71" applyNumberFormat="1" applyFont="1" applyBorder="1" applyAlignment="1" applyProtection="1">
      <alignment horizontal="right"/>
      <protection locked="0"/>
    </xf>
    <xf numFmtId="39" fontId="66" fillId="0" borderId="116" xfId="71" applyNumberFormat="1" applyFont="1" applyBorder="1" applyAlignment="1" applyProtection="1">
      <alignment horizontal="right"/>
      <protection locked="0"/>
    </xf>
    <xf numFmtId="39" fontId="8" fillId="0" borderId="116" xfId="71" applyNumberFormat="1" applyFont="1" applyBorder="1" applyAlignment="1" applyProtection="1">
      <alignment horizontal="right"/>
      <protection locked="0"/>
    </xf>
    <xf numFmtId="0" fontId="39" fillId="0" borderId="116" xfId="71" applyFont="1" applyBorder="1" applyAlignment="1" applyProtection="1">
      <alignment horizontal="center" vertical="center"/>
      <protection locked="0"/>
    </xf>
    <xf numFmtId="2" fontId="35" fillId="0" borderId="116" xfId="71" applyNumberFormat="1" applyFont="1" applyBorder="1" applyAlignment="1" applyProtection="1">
      <alignment horizontal="left" vertical="center"/>
      <protection locked="0"/>
    </xf>
    <xf numFmtId="0" fontId="7" fillId="0" borderId="116" xfId="71" applyBorder="1" applyAlignment="1" applyProtection="1">
      <alignment horizontal="left" vertical="top"/>
      <protection locked="0"/>
    </xf>
    <xf numFmtId="37" fontId="8" fillId="0" borderId="117" xfId="71" applyNumberFormat="1" applyFont="1" applyBorder="1" applyAlignment="1" applyProtection="1">
      <alignment horizontal="right"/>
      <protection locked="0"/>
    </xf>
    <xf numFmtId="0" fontId="8" fillId="0" borderId="118" xfId="71" applyFont="1" applyBorder="1" applyAlignment="1" applyProtection="1">
      <alignment horizontal="left" wrapText="1"/>
      <protection locked="0"/>
    </xf>
    <xf numFmtId="0" fontId="8" fillId="0" borderId="117" xfId="71" applyFont="1" applyBorder="1" applyAlignment="1" applyProtection="1">
      <alignment horizontal="left" wrapText="1"/>
      <protection locked="0"/>
    </xf>
    <xf numFmtId="167" fontId="8" fillId="0" borderId="119" xfId="71" applyNumberFormat="1" applyFont="1" applyBorder="1" applyAlignment="1" applyProtection="1">
      <alignment horizontal="right"/>
      <protection locked="0"/>
    </xf>
    <xf numFmtId="39" fontId="8" fillId="0" borderId="117" xfId="71" applyNumberFormat="1" applyFont="1" applyBorder="1" applyAlignment="1" applyProtection="1">
      <alignment horizontal="right"/>
      <protection locked="0"/>
    </xf>
    <xf numFmtId="39" fontId="8" fillId="0" borderId="120" xfId="3" applyNumberFormat="1" applyFont="1" applyBorder="1" applyAlignment="1" applyProtection="1">
      <alignment horizontal="center"/>
      <protection locked="0"/>
    </xf>
    <xf numFmtId="0" fontId="144" fillId="0" borderId="38" xfId="51" applyFont="1" applyFill="1" applyBorder="1" applyAlignment="1">
      <alignment horizontal="right" vertical="center"/>
      <protection locked="0"/>
    </xf>
    <xf numFmtId="0" fontId="295" fillId="0" borderId="0" xfId="51" applyFont="1" applyFill="1" applyBorder="1" applyAlignment="1" applyProtection="1">
      <alignment horizontal="left" vertical="center"/>
      <protection locked="0"/>
    </xf>
    <xf numFmtId="0" fontId="8" fillId="0" borderId="116" xfId="71" applyFont="1" applyBorder="1" applyAlignment="1" applyProtection="1">
      <alignment horizontal="left" wrapText="1"/>
      <protection locked="0"/>
    </xf>
    <xf numFmtId="167" fontId="72" fillId="0" borderId="116" xfId="71" applyNumberFormat="1" applyFont="1" applyBorder="1" applyAlignment="1" applyProtection="1">
      <alignment horizontal="right"/>
      <protection locked="0"/>
    </xf>
    <xf numFmtId="39" fontId="8" fillId="0" borderId="121" xfId="3" applyNumberFormat="1" applyFont="1" applyBorder="1" applyAlignment="1" applyProtection="1">
      <alignment horizontal="center"/>
      <protection locked="0"/>
    </xf>
    <xf numFmtId="0" fontId="121" fillId="0" borderId="116" xfId="71" applyFont="1" applyBorder="1" applyAlignment="1" applyProtection="1">
      <alignment horizontal="center" vertical="center" wrapText="1"/>
      <protection locked="0"/>
    </xf>
    <xf numFmtId="0" fontId="144" fillId="0" borderId="0" xfId="51" applyFont="1" applyFill="1" applyBorder="1" applyAlignment="1">
      <alignment horizontal="right" vertical="center"/>
      <protection locked="0"/>
    </xf>
    <xf numFmtId="37" fontId="66" fillId="0" borderId="119" xfId="71" applyNumberFormat="1" applyFont="1" applyBorder="1" applyAlignment="1" applyProtection="1">
      <alignment horizontal="right"/>
      <protection locked="0"/>
    </xf>
    <xf numFmtId="0" fontId="66" fillId="0" borderId="119" xfId="71" applyFont="1" applyBorder="1" applyAlignment="1" applyProtection="1">
      <alignment horizontal="left" wrapText="1"/>
      <protection locked="0"/>
    </xf>
    <xf numFmtId="0" fontId="28" fillId="0" borderId="119" xfId="71" applyFont="1" applyBorder="1" applyAlignment="1" applyProtection="1">
      <alignment horizontal="left" vertical="center" wrapText="1"/>
      <protection locked="0"/>
    </xf>
    <xf numFmtId="2" fontId="28" fillId="0" borderId="119" xfId="71" applyNumberFormat="1" applyFont="1" applyBorder="1" applyAlignment="1" applyProtection="1">
      <alignment horizontal="right"/>
      <protection locked="0"/>
    </xf>
    <xf numFmtId="4" fontId="8" fillId="0" borderId="119" xfId="71" applyNumberFormat="1" applyFont="1" applyBorder="1" applyAlignment="1" applyProtection="1">
      <alignment horizontal="right"/>
      <protection locked="0"/>
    </xf>
    <xf numFmtId="0" fontId="7" fillId="0" borderId="119" xfId="71" applyBorder="1" applyAlignment="1" applyProtection="1">
      <alignment horizontal="left" vertical="top"/>
      <protection locked="0"/>
    </xf>
    <xf numFmtId="37" fontId="66" fillId="0" borderId="122" xfId="71" applyNumberFormat="1" applyFont="1" applyBorder="1" applyAlignment="1" applyProtection="1">
      <alignment horizontal="right"/>
      <protection locked="0"/>
    </xf>
    <xf numFmtId="0" fontId="66" fillId="0" borderId="122" xfId="71" applyFont="1" applyBorder="1" applyAlignment="1" applyProtection="1">
      <alignment horizontal="left" wrapText="1"/>
      <protection locked="0"/>
    </xf>
    <xf numFmtId="0" fontId="28" fillId="0" borderId="122" xfId="71" applyFont="1" applyBorder="1" applyAlignment="1" applyProtection="1">
      <alignment horizontal="left" wrapText="1"/>
      <protection locked="0"/>
    </xf>
    <xf numFmtId="167" fontId="28" fillId="0" borderId="122" xfId="71" applyNumberFormat="1" applyFont="1" applyBorder="1" applyAlignment="1" applyProtection="1">
      <alignment horizontal="right"/>
      <protection locked="0"/>
    </xf>
    <xf numFmtId="2" fontId="35" fillId="0" borderId="122" xfId="71" applyNumberFormat="1" applyFont="1" applyBorder="1" applyAlignment="1" applyProtection="1">
      <alignment horizontal="left" vertical="center"/>
      <protection locked="0"/>
    </xf>
    <xf numFmtId="39" fontId="8" fillId="0" borderId="122" xfId="71" applyNumberFormat="1" applyFont="1" applyBorder="1" applyAlignment="1" applyProtection="1">
      <alignment horizontal="right"/>
      <protection locked="0"/>
    </xf>
    <xf numFmtId="0" fontId="7" fillId="0" borderId="122" xfId="71" applyBorder="1" applyAlignment="1" applyProtection="1">
      <alignment horizontal="left" vertical="top"/>
      <protection locked="0"/>
    </xf>
    <xf numFmtId="37" fontId="8" fillId="0" borderId="123" xfId="71" applyNumberFormat="1" applyFont="1" applyBorder="1" applyAlignment="1" applyProtection="1">
      <alignment horizontal="right"/>
      <protection locked="0"/>
    </xf>
    <xf numFmtId="0" fontId="8" fillId="0" borderId="124" xfId="71" applyFont="1" applyBorder="1" applyAlignment="1" applyProtection="1">
      <alignment horizontal="left" wrapText="1"/>
      <protection locked="0"/>
    </xf>
    <xf numFmtId="0" fontId="8" fillId="0" borderId="123" xfId="71" applyFont="1" applyBorder="1" applyAlignment="1" applyProtection="1">
      <alignment horizontal="left" wrapText="1"/>
      <protection locked="0"/>
    </xf>
    <xf numFmtId="167" fontId="8" fillId="0" borderId="125" xfId="71" applyNumberFormat="1" applyFont="1" applyBorder="1" applyAlignment="1" applyProtection="1">
      <alignment horizontal="right"/>
      <protection locked="0"/>
    </xf>
    <xf numFmtId="39" fontId="8" fillId="0" borderId="123" xfId="71" applyNumberFormat="1" applyFont="1" applyBorder="1" applyAlignment="1" applyProtection="1">
      <alignment horizontal="right"/>
      <protection locked="0"/>
    </xf>
    <xf numFmtId="39" fontId="8" fillId="0" borderId="126" xfId="3" applyNumberFormat="1" applyFont="1" applyBorder="1" applyAlignment="1" applyProtection="1">
      <alignment horizontal="center"/>
      <protection locked="0"/>
    </xf>
    <xf numFmtId="0" fontId="8" fillId="0" borderId="122" xfId="71" applyFont="1" applyBorder="1" applyAlignment="1" applyProtection="1">
      <alignment horizontal="left" wrapText="1"/>
      <protection locked="0"/>
    </xf>
    <xf numFmtId="167" fontId="72" fillId="0" borderId="122" xfId="71" applyNumberFormat="1" applyFont="1" applyBorder="1" applyAlignment="1" applyProtection="1">
      <alignment horizontal="right"/>
      <protection locked="0"/>
    </xf>
    <xf numFmtId="39" fontId="8" fillId="0" borderId="127" xfId="3" applyNumberFormat="1" applyFont="1" applyBorder="1" applyAlignment="1" applyProtection="1">
      <alignment horizontal="center"/>
      <protection locked="0"/>
    </xf>
    <xf numFmtId="0" fontId="121" fillId="0" borderId="122" xfId="71" applyFont="1" applyBorder="1" applyAlignment="1" applyProtection="1">
      <alignment horizontal="center" vertical="center" wrapText="1"/>
      <protection locked="0"/>
    </xf>
    <xf numFmtId="39" fontId="66" fillId="0" borderId="122" xfId="71" applyNumberFormat="1" applyFont="1" applyBorder="1" applyAlignment="1" applyProtection="1">
      <alignment horizontal="right"/>
      <protection locked="0"/>
    </xf>
    <xf numFmtId="0" fontId="39" fillId="0" borderId="122" xfId="71" applyFont="1" applyBorder="1" applyAlignment="1" applyProtection="1">
      <alignment horizontal="center" vertical="center"/>
      <protection locked="0"/>
    </xf>
    <xf numFmtId="0" fontId="144" fillId="0" borderId="38" xfId="51" applyFont="1" applyFill="1" applyBorder="1" applyAlignment="1">
      <alignment horizontal="left" vertical="center"/>
      <protection locked="0"/>
    </xf>
    <xf numFmtId="2" fontId="69" fillId="0" borderId="0" xfId="88" applyNumberFormat="1" applyFont="1" applyFill="1" applyBorder="1" applyAlignment="1" applyProtection="1">
      <alignment vertical="center"/>
    </xf>
    <xf numFmtId="0" fontId="276" fillId="0" borderId="0" xfId="88" applyFill="1" applyBorder="1" applyAlignment="1" applyProtection="1">
      <alignment vertical="center"/>
    </xf>
    <xf numFmtId="0" fontId="123" fillId="0" borderId="0" xfId="51" applyFill="1" applyBorder="1" applyAlignment="1" applyProtection="1">
      <alignment vertical="center"/>
    </xf>
    <xf numFmtId="0" fontId="69" fillId="0" borderId="0" xfId="88" applyFont="1" applyFill="1" applyBorder="1" applyAlignment="1" applyProtection="1">
      <alignment vertical="center"/>
    </xf>
    <xf numFmtId="39" fontId="100" fillId="0" borderId="0" xfId="72" applyNumberFormat="1" applyFont="1" applyFill="1" applyBorder="1" applyAlignment="1">
      <alignment horizontal="left" vertical="center"/>
      <protection locked="0"/>
    </xf>
    <xf numFmtId="0" fontId="91" fillId="0" borderId="0" xfId="72" applyFill="1" applyBorder="1" applyAlignment="1">
      <alignment horizontal="left" vertical="top"/>
      <protection locked="0"/>
    </xf>
    <xf numFmtId="2" fontId="91" fillId="0" borderId="0" xfId="72" applyNumberFormat="1" applyFill="1" applyBorder="1" applyAlignment="1">
      <alignment horizontal="left" vertical="top"/>
      <protection locked="0"/>
    </xf>
    <xf numFmtId="39" fontId="100" fillId="0" borderId="0" xfId="72" applyNumberFormat="1" applyFont="1" applyFill="1" applyBorder="1" applyAlignment="1">
      <alignment horizontal="center" vertical="center"/>
      <protection locked="0"/>
    </xf>
    <xf numFmtId="0" fontId="10" fillId="0" borderId="0" xfId="72" applyNumberFormat="1" applyFont="1" applyFill="1" applyBorder="1" applyAlignment="1">
      <protection locked="0"/>
    </xf>
    <xf numFmtId="0" fontId="276" fillId="0" borderId="0" xfId="88" applyFill="1" applyBorder="1" applyAlignment="1">
      <alignment horizontal="left" vertical="top"/>
      <protection locked="0"/>
    </xf>
    <xf numFmtId="171" fontId="123" fillId="0" borderId="0" xfId="51" applyNumberFormat="1" applyFill="1" applyBorder="1" applyAlignment="1" applyProtection="1">
      <alignment vertical="center"/>
      <protection locked="0"/>
    </xf>
    <xf numFmtId="39" fontId="8" fillId="0" borderId="87" xfId="3" applyNumberFormat="1" applyFont="1" applyBorder="1" applyAlignment="1" applyProtection="1">
      <alignment horizontal="center"/>
      <protection locked="0"/>
    </xf>
    <xf numFmtId="37" fontId="8" fillId="0" borderId="87" xfId="71" applyNumberFormat="1" applyFont="1" applyBorder="1" applyAlignment="1" applyProtection="1">
      <alignment horizontal="right"/>
      <protection locked="0"/>
    </xf>
    <xf numFmtId="0" fontId="8" fillId="0" borderId="87" xfId="71" applyFont="1" applyBorder="1" applyAlignment="1" applyProtection="1">
      <alignment horizontal="left" wrapText="1"/>
      <protection locked="0"/>
    </xf>
    <xf numFmtId="0" fontId="28" fillId="0" borderId="87" xfId="71" applyFont="1" applyBorder="1" applyAlignment="1" applyProtection="1">
      <alignment horizontal="left" wrapText="1"/>
      <protection locked="0"/>
    </xf>
    <xf numFmtId="167" fontId="28" fillId="0" borderId="87" xfId="71" applyNumberFormat="1" applyFont="1" applyBorder="1" applyAlignment="1" applyProtection="1">
      <alignment horizontal="right"/>
      <protection locked="0"/>
    </xf>
    <xf numFmtId="39" fontId="8" fillId="0" borderId="87" xfId="71" applyNumberFormat="1" applyFont="1" applyBorder="1" applyAlignment="1" applyProtection="1">
      <alignment horizontal="right"/>
      <protection locked="0"/>
    </xf>
    <xf numFmtId="39" fontId="8" fillId="0" borderId="87" xfId="71" applyNumberFormat="1" applyFont="1" applyBorder="1" applyAlignment="1" applyProtection="1">
      <alignment horizontal="center"/>
      <protection locked="0"/>
    </xf>
    <xf numFmtId="37" fontId="8" fillId="0" borderId="87" xfId="3" applyNumberFormat="1" applyFont="1" applyBorder="1" applyAlignment="1" applyProtection="1">
      <alignment horizontal="right"/>
      <protection locked="0"/>
    </xf>
    <xf numFmtId="0" fontId="8" fillId="0" borderId="87" xfId="3" applyFont="1" applyBorder="1" applyAlignment="1" applyProtection="1">
      <alignment horizontal="left" wrapText="1"/>
      <protection locked="0"/>
    </xf>
    <xf numFmtId="39" fontId="8" fillId="0" borderId="87" xfId="3" applyNumberFormat="1" applyFont="1" applyBorder="1" applyAlignment="1" applyProtection="1">
      <alignment horizontal="right"/>
      <protection locked="0"/>
    </xf>
    <xf numFmtId="39" fontId="207" fillId="0" borderId="0" xfId="88" applyNumberFormat="1" applyFont="1" applyFill="1" applyBorder="1" applyAlignment="1" applyProtection="1">
      <alignment horizontal="center" vertical="center"/>
    </xf>
    <xf numFmtId="0" fontId="28" fillId="0" borderId="87" xfId="3" applyFont="1" applyBorder="1" applyAlignment="1" applyProtection="1">
      <alignment horizontal="left" wrapText="1"/>
      <protection locked="0"/>
    </xf>
    <xf numFmtId="167" fontId="28" fillId="0" borderId="87" xfId="3" applyNumberFormat="1" applyFont="1" applyBorder="1" applyAlignment="1" applyProtection="1">
      <alignment horizontal="right"/>
      <protection locked="0"/>
    </xf>
    <xf numFmtId="1" fontId="8" fillId="0" borderId="87" xfId="60" applyNumberFormat="1" applyFont="1" applyBorder="1" applyAlignment="1">
      <alignment horizontal="right" wrapText="1"/>
      <protection locked="0"/>
    </xf>
    <xf numFmtId="49" fontId="8" fillId="0" borderId="87" xfId="60" applyNumberFormat="1" applyFont="1" applyBorder="1" applyAlignment="1">
      <alignment horizontal="left" wrapText="1"/>
      <protection locked="0"/>
    </xf>
    <xf numFmtId="0" fontId="28" fillId="0" borderId="87" xfId="60" applyFont="1" applyBorder="1" applyAlignment="1">
      <alignment horizontal="left" wrapText="1"/>
      <protection locked="0"/>
    </xf>
    <xf numFmtId="0" fontId="28" fillId="0" borderId="87" xfId="37" applyFont="1" applyBorder="1" applyAlignment="1">
      <alignment horizontal="left" wrapText="1"/>
    </xf>
    <xf numFmtId="4" fontId="28" fillId="0" borderId="87" xfId="60" applyNumberFormat="1" applyFont="1" applyBorder="1" applyAlignment="1">
      <alignment horizontal="right"/>
      <protection locked="0"/>
    </xf>
    <xf numFmtId="39" fontId="8" fillId="0" borderId="87" xfId="60" applyNumberFormat="1" applyFont="1" applyBorder="1" applyAlignment="1">
      <alignment horizontal="center"/>
      <protection locked="0"/>
    </xf>
    <xf numFmtId="7" fontId="73" fillId="0" borderId="87" xfId="60" applyNumberFormat="1" applyFont="1" applyBorder="1" applyAlignment="1">
      <alignment horizontal="center" vertical="center"/>
      <protection locked="0"/>
    </xf>
    <xf numFmtId="0" fontId="123" fillId="0" borderId="0" xfId="51" applyFill="1" applyBorder="1" applyAlignment="1">
      <alignment horizontal="left" vertical="top"/>
      <protection locked="0"/>
    </xf>
    <xf numFmtId="0" fontId="123" fillId="0" borderId="0" xfId="51" applyFill="1" applyBorder="1" applyAlignment="1">
      <alignment horizontal="left" vertical="center"/>
      <protection locked="0"/>
    </xf>
    <xf numFmtId="0" fontId="297" fillId="0" borderId="0" xfId="51" applyFont="1" applyFill="1" applyBorder="1" applyAlignment="1">
      <alignment horizontal="left" vertical="top"/>
      <protection locked="0"/>
    </xf>
    <xf numFmtId="0" fontId="10" fillId="0" borderId="0" xfId="51" applyFont="1" applyFill="1" applyBorder="1" applyAlignment="1" applyProtection="1">
      <alignment vertical="center"/>
    </xf>
    <xf numFmtId="0" fontId="16" fillId="0" borderId="39" xfId="51" applyFont="1" applyFill="1" applyBorder="1" applyAlignment="1">
      <alignment horizontal="right"/>
      <protection locked="0"/>
    </xf>
    <xf numFmtId="0" fontId="194" fillId="0" borderId="0" xfId="51" applyFont="1" applyFill="1" applyBorder="1" applyAlignment="1">
      <alignment horizontal="left"/>
      <protection locked="0"/>
    </xf>
    <xf numFmtId="39" fontId="122" fillId="0" borderId="87" xfId="60" applyNumberFormat="1" applyFont="1" applyBorder="1" applyAlignment="1">
      <alignment horizontal="right"/>
      <protection locked="0"/>
    </xf>
    <xf numFmtId="0" fontId="123" fillId="0" borderId="0" xfId="51" applyFill="1" applyBorder="1" applyAlignment="1" applyProtection="1"/>
    <xf numFmtId="39" fontId="8" fillId="0" borderId="87" xfId="60" applyNumberFormat="1" applyFont="1" applyBorder="1" applyAlignment="1">
      <alignment horizontal="right"/>
      <protection locked="0"/>
    </xf>
    <xf numFmtId="4" fontId="122" fillId="0" borderId="87" xfId="60" applyNumberFormat="1" applyFont="1" applyBorder="1" applyAlignment="1">
      <alignment horizontal="right" vertical="center"/>
      <protection locked="0"/>
    </xf>
    <xf numFmtId="0" fontId="164" fillId="0" borderId="0" xfId="51" applyFont="1" applyFill="1" applyBorder="1" applyAlignment="1" applyProtection="1">
      <alignment vertical="center"/>
    </xf>
    <xf numFmtId="0" fontId="7" fillId="11" borderId="0" xfId="71" applyFill="1" applyAlignment="1" applyProtection="1">
      <alignment horizontal="left" vertical="top"/>
      <protection locked="0"/>
    </xf>
    <xf numFmtId="37" fontId="37" fillId="0" borderId="87" xfId="6" applyNumberFormat="1" applyFont="1" applyBorder="1" applyAlignment="1" applyProtection="1">
      <alignment horizontal="right"/>
      <protection locked="0"/>
    </xf>
    <xf numFmtId="49" fontId="37" fillId="0" borderId="87" xfId="6" applyNumberFormat="1" applyFont="1" applyBorder="1" applyAlignment="1" applyProtection="1">
      <alignment horizontal="left" wrapText="1"/>
      <protection locked="0"/>
    </xf>
    <xf numFmtId="0" fontId="37" fillId="0" borderId="87" xfId="6" applyFont="1" applyBorder="1" applyAlignment="1" applyProtection="1">
      <alignment horizontal="left" wrapText="1"/>
      <protection locked="0"/>
    </xf>
    <xf numFmtId="39" fontId="37" fillId="0" borderId="87" xfId="6" applyNumberFormat="1" applyFont="1" applyBorder="1" applyAlignment="1" applyProtection="1">
      <alignment horizontal="right"/>
      <protection locked="0"/>
    </xf>
    <xf numFmtId="0" fontId="12" fillId="0" borderId="87" xfId="6" applyBorder="1" applyAlignment="1" applyProtection="1">
      <alignment horizontal="right" vertical="top"/>
      <protection locked="0"/>
    </xf>
    <xf numFmtId="0" fontId="91" fillId="0" borderId="0" xfId="76" applyFill="1" applyBorder="1" applyAlignment="1" applyProtection="1"/>
    <xf numFmtId="0" fontId="12" fillId="11" borderId="0" xfId="6" applyFill="1" applyAlignment="1" applyProtection="1">
      <alignment horizontal="left" vertical="top"/>
      <protection locked="0"/>
    </xf>
    <xf numFmtId="0" fontId="91" fillId="0" borderId="0" xfId="76" applyFill="1" applyBorder="1" applyAlignment="1">
      <alignment horizontal="left" vertical="top"/>
      <protection locked="0"/>
    </xf>
    <xf numFmtId="37" fontId="96" fillId="0" borderId="87" xfId="71" applyNumberFormat="1" applyFont="1" applyBorder="1" applyAlignment="1" applyProtection="1">
      <alignment horizontal="right"/>
      <protection locked="0"/>
    </xf>
    <xf numFmtId="0" fontId="96" fillId="0" borderId="87" xfId="71" applyFont="1" applyBorder="1" applyAlignment="1" applyProtection="1">
      <alignment horizontal="left" wrapText="1"/>
      <protection locked="0"/>
    </xf>
    <xf numFmtId="167" fontId="7" fillId="0" borderId="0" xfId="71" applyNumberFormat="1" applyAlignment="1" applyProtection="1">
      <alignment vertical="top"/>
      <protection locked="0"/>
    </xf>
    <xf numFmtId="39" fontId="96" fillId="0" borderId="87" xfId="71" applyNumberFormat="1" applyFont="1" applyBorder="1" applyAlignment="1" applyProtection="1">
      <alignment horizontal="right"/>
      <protection locked="0"/>
    </xf>
    <xf numFmtId="0" fontId="11" fillId="0" borderId="87" xfId="71" applyFont="1" applyBorder="1" applyAlignment="1" applyProtection="1">
      <alignment horizontal="center" vertical="top"/>
      <protection locked="0"/>
    </xf>
    <xf numFmtId="0" fontId="103" fillId="0" borderId="0" xfId="51" applyFont="1" applyFill="1" applyBorder="1" applyAlignment="1" applyProtection="1">
      <alignment horizontal="left" vertical="center"/>
      <protection locked="0"/>
    </xf>
    <xf numFmtId="37" fontId="72" fillId="0" borderId="87" xfId="71" applyNumberFormat="1" applyFont="1" applyBorder="1" applyAlignment="1" applyProtection="1">
      <alignment horizontal="right"/>
      <protection locked="0"/>
    </xf>
    <xf numFmtId="0" fontId="66" fillId="0" borderId="87" xfId="71" applyFont="1" applyBorder="1" applyAlignment="1" applyProtection="1">
      <alignment horizontal="left" wrapText="1"/>
      <protection locked="0"/>
    </xf>
    <xf numFmtId="0" fontId="72" fillId="0" borderId="87" xfId="71" applyFont="1" applyBorder="1" applyAlignment="1" applyProtection="1">
      <alignment horizontal="left" wrapText="1"/>
      <protection locked="0"/>
    </xf>
    <xf numFmtId="4" fontId="72" fillId="5" borderId="87" xfId="71" applyNumberFormat="1" applyFont="1" applyFill="1" applyBorder="1" applyAlignment="1" applyProtection="1">
      <alignment horizontal="right"/>
      <protection locked="0"/>
    </xf>
    <xf numFmtId="39" fontId="72" fillId="0" borderId="87" xfId="12" applyNumberFormat="1" applyFont="1" applyBorder="1" applyAlignment="1">
      <alignment horizontal="center"/>
      <protection locked="0"/>
    </xf>
    <xf numFmtId="37" fontId="137" fillId="0" borderId="87" xfId="71" applyNumberFormat="1" applyFont="1" applyBorder="1" applyAlignment="1" applyProtection="1">
      <alignment horizontal="right"/>
      <protection locked="0"/>
    </xf>
    <xf numFmtId="0" fontId="228" fillId="0" borderId="87" xfId="71" applyFont="1" applyBorder="1" applyAlignment="1" applyProtection="1">
      <alignment horizontal="left" wrapText="1"/>
      <protection locked="0"/>
    </xf>
    <xf numFmtId="0" fontId="137" fillId="0" borderId="87" xfId="71" applyFont="1" applyBorder="1" applyAlignment="1" applyProtection="1">
      <alignment horizontal="left" wrapText="1"/>
      <protection locked="0"/>
    </xf>
    <xf numFmtId="0" fontId="57" fillId="0" borderId="87" xfId="71" applyFont="1" applyBorder="1" applyAlignment="1" applyProtection="1">
      <alignment horizontal="left" wrapText="1"/>
      <protection locked="0"/>
    </xf>
    <xf numFmtId="167" fontId="57" fillId="0" borderId="87" xfId="71" applyNumberFormat="1" applyFont="1" applyBorder="1" applyAlignment="1" applyProtection="1">
      <alignment horizontal="right"/>
      <protection locked="0"/>
    </xf>
    <xf numFmtId="4" fontId="137" fillId="5" borderId="87" xfId="71" applyNumberFormat="1" applyFont="1" applyFill="1" applyBorder="1" applyAlignment="1" applyProtection="1">
      <alignment horizontal="right"/>
      <protection locked="0"/>
    </xf>
    <xf numFmtId="39" fontId="137" fillId="0" borderId="87" xfId="12" applyNumberFormat="1" applyFont="1" applyBorder="1" applyAlignment="1">
      <alignment horizontal="center"/>
      <protection locked="0"/>
    </xf>
    <xf numFmtId="0" fontId="62" fillId="0" borderId="0" xfId="72" applyFont="1" applyFill="1" applyBorder="1" applyAlignment="1" applyProtection="1">
      <alignment horizontal="left" vertical="center"/>
      <protection locked="0"/>
    </xf>
    <xf numFmtId="0" fontId="91" fillId="0" borderId="0" xfId="72" applyFill="1" applyBorder="1" applyAlignment="1" applyProtection="1">
      <alignment horizontal="left" vertical="top"/>
      <protection locked="0"/>
    </xf>
    <xf numFmtId="37" fontId="8" fillId="0" borderId="84" xfId="71" applyNumberFormat="1" applyFont="1" applyBorder="1" applyAlignment="1" applyProtection="1">
      <alignment horizontal="right"/>
      <protection locked="0"/>
    </xf>
    <xf numFmtId="0" fontId="8" fillId="0" borderId="83" xfId="3" applyFont="1" applyBorder="1" applyAlignment="1" applyProtection="1">
      <alignment horizontal="left" wrapText="1"/>
      <protection locked="0"/>
    </xf>
    <xf numFmtId="0" fontId="8" fillId="0" borderId="83" xfId="71" applyFont="1" applyBorder="1" applyAlignment="1" applyProtection="1">
      <alignment horizontal="left" wrapText="1"/>
      <protection locked="0"/>
    </xf>
    <xf numFmtId="0" fontId="8" fillId="0" borderId="80" xfId="71" applyFont="1" applyBorder="1" applyAlignment="1" applyProtection="1">
      <alignment horizontal="left" wrapText="1"/>
      <protection locked="0"/>
    </xf>
    <xf numFmtId="167" fontId="8" fillId="0" borderId="80" xfId="71" applyNumberFormat="1" applyFont="1" applyBorder="1" applyAlignment="1" applyProtection="1">
      <alignment horizontal="right"/>
      <protection locked="0"/>
    </xf>
    <xf numFmtId="39" fontId="8" fillId="0" borderId="79" xfId="71" applyNumberFormat="1" applyFont="1" applyBorder="1" applyAlignment="1" applyProtection="1">
      <alignment horizontal="center"/>
      <protection locked="0"/>
    </xf>
    <xf numFmtId="37" fontId="8" fillId="0" borderId="79" xfId="71" applyNumberFormat="1" applyFont="1" applyBorder="1" applyAlignment="1" applyProtection="1">
      <alignment horizontal="right"/>
      <protection locked="0"/>
    </xf>
    <xf numFmtId="0" fontId="8" fillId="0" borderId="79" xfId="71" applyFont="1" applyBorder="1" applyAlignment="1" applyProtection="1">
      <alignment horizontal="left" wrapText="1"/>
      <protection locked="0"/>
    </xf>
    <xf numFmtId="0" fontId="28" fillId="0" borderId="79" xfId="71" applyFont="1" applyBorder="1" applyAlignment="1" applyProtection="1">
      <alignment horizontal="left" wrapText="1"/>
      <protection locked="0"/>
    </xf>
    <xf numFmtId="0" fontId="49" fillId="0" borderId="79" xfId="71" applyFont="1" applyBorder="1"/>
    <xf numFmtId="167" fontId="28" fillId="0" borderId="79" xfId="71" applyNumberFormat="1" applyFont="1" applyBorder="1" applyAlignment="1" applyProtection="1">
      <alignment horizontal="right"/>
      <protection locked="0"/>
    </xf>
    <xf numFmtId="39" fontId="8" fillId="0" borderId="79" xfId="71" applyNumberFormat="1" applyFont="1" applyBorder="1" applyAlignment="1" applyProtection="1">
      <alignment horizontal="right"/>
      <protection locked="0"/>
    </xf>
    <xf numFmtId="39" fontId="8" fillId="0" borderId="128" xfId="71" applyNumberFormat="1" applyFont="1" applyBorder="1" applyAlignment="1" applyProtection="1">
      <alignment horizontal="center"/>
      <protection locked="0"/>
    </xf>
    <xf numFmtId="1" fontId="8" fillId="0" borderId="79" xfId="73" applyNumberFormat="1" applyFont="1" applyBorder="1" applyAlignment="1">
      <alignment horizontal="right"/>
      <protection locked="0"/>
    </xf>
    <xf numFmtId="49" fontId="66" fillId="0" borderId="79" xfId="71" applyNumberFormat="1" applyFont="1" applyBorder="1" applyAlignment="1" applyProtection="1">
      <alignment horizontal="left" wrapText="1"/>
      <protection locked="0"/>
    </xf>
    <xf numFmtId="0" fontId="66" fillId="0" borderId="79" xfId="71" applyFont="1" applyBorder="1" applyAlignment="1" applyProtection="1">
      <alignment horizontal="left" wrapText="1"/>
      <protection locked="0"/>
    </xf>
    <xf numFmtId="0" fontId="28" fillId="0" borderId="79" xfId="59" applyFont="1" applyBorder="1" applyAlignment="1" applyProtection="1">
      <alignment horizontal="left" vertical="center" wrapText="1"/>
      <protection locked="0"/>
    </xf>
    <xf numFmtId="167" fontId="28" fillId="0" borderId="79" xfId="71" applyNumberFormat="1" applyFont="1" applyBorder="1" applyAlignment="1" applyProtection="1">
      <alignment horizontal="right" wrapText="1"/>
      <protection locked="0"/>
    </xf>
    <xf numFmtId="4" fontId="8" fillId="0" borderId="79" xfId="71" applyNumberFormat="1" applyFont="1" applyBorder="1" applyAlignment="1" applyProtection="1">
      <alignment horizontal="right"/>
      <protection locked="0"/>
    </xf>
    <xf numFmtId="0" fontId="7" fillId="0" borderId="79" xfId="71" applyBorder="1" applyAlignment="1" applyProtection="1">
      <alignment horizontal="left" vertical="top"/>
      <protection locked="0"/>
    </xf>
    <xf numFmtId="37" fontId="8" fillId="0" borderId="79" xfId="3" applyNumberFormat="1" applyFont="1" applyBorder="1" applyAlignment="1" applyProtection="1">
      <alignment horizontal="right"/>
      <protection locked="0"/>
    </xf>
    <xf numFmtId="0" fontId="8" fillId="0" borderId="79" xfId="3" applyFont="1" applyBorder="1" applyAlignment="1" applyProtection="1">
      <alignment horizontal="left" wrapText="1"/>
      <protection locked="0"/>
    </xf>
    <xf numFmtId="167" fontId="8" fillId="0" borderId="79" xfId="3" applyNumberFormat="1" applyFont="1" applyBorder="1" applyAlignment="1" applyProtection="1">
      <alignment horizontal="right"/>
      <protection locked="0"/>
    </xf>
    <xf numFmtId="39" fontId="8" fillId="0" borderId="79" xfId="3" applyNumberFormat="1" applyFont="1" applyBorder="1" applyAlignment="1" applyProtection="1">
      <alignment horizontal="right"/>
      <protection locked="0"/>
    </xf>
    <xf numFmtId="39" fontId="8" fillId="0" borderId="79" xfId="3" applyNumberFormat="1" applyFont="1" applyBorder="1" applyAlignment="1" applyProtection="1">
      <alignment horizontal="center"/>
      <protection locked="0"/>
    </xf>
    <xf numFmtId="39" fontId="164" fillId="0" borderId="0" xfId="88" applyNumberFormat="1" applyFont="1" applyFill="1" applyBorder="1" applyAlignment="1" applyProtection="1">
      <alignment horizontal="center" vertical="center"/>
    </xf>
    <xf numFmtId="1" fontId="8" fillId="0" borderId="79" xfId="60" applyNumberFormat="1" applyFont="1" applyBorder="1" applyAlignment="1">
      <alignment horizontal="right" wrapText="1"/>
      <protection locked="0"/>
    </xf>
    <xf numFmtId="49" fontId="8" fillId="0" borderId="79" xfId="60" applyNumberFormat="1" applyFont="1" applyBorder="1" applyAlignment="1">
      <alignment horizontal="left" wrapText="1"/>
      <protection locked="0"/>
    </xf>
    <xf numFmtId="0" fontId="28" fillId="0" borderId="79" xfId="60" applyFont="1" applyBorder="1" applyAlignment="1">
      <alignment horizontal="left" wrapText="1"/>
      <protection locked="0"/>
    </xf>
    <xf numFmtId="0" fontId="28" fillId="0" borderId="79" xfId="37" applyFont="1" applyBorder="1" applyAlignment="1">
      <alignment horizontal="left" wrapText="1"/>
    </xf>
    <xf numFmtId="0" fontId="28" fillId="0" borderId="79" xfId="3" applyFont="1" applyBorder="1" applyAlignment="1" applyProtection="1">
      <alignment horizontal="left" wrapText="1"/>
      <protection locked="0"/>
    </xf>
    <xf numFmtId="167" fontId="28" fillId="0" borderId="79" xfId="3" applyNumberFormat="1" applyFont="1" applyBorder="1" applyAlignment="1" applyProtection="1">
      <alignment horizontal="right"/>
      <protection locked="0"/>
    </xf>
    <xf numFmtId="4" fontId="28" fillId="0" borderId="79" xfId="60" applyNumberFormat="1" applyFont="1" applyBorder="1" applyAlignment="1">
      <alignment horizontal="right"/>
      <protection locked="0"/>
    </xf>
    <xf numFmtId="39" fontId="8" fillId="0" borderId="79" xfId="60" applyNumberFormat="1" applyFont="1" applyBorder="1" applyAlignment="1">
      <alignment horizontal="center"/>
      <protection locked="0"/>
    </xf>
    <xf numFmtId="0" fontId="37" fillId="0" borderId="79" xfId="3" applyFont="1" applyBorder="1" applyAlignment="1" applyProtection="1">
      <alignment horizontal="left" wrapText="1"/>
      <protection locked="0"/>
    </xf>
    <xf numFmtId="167" fontId="37" fillId="0" borderId="79" xfId="3" applyNumberFormat="1" applyFont="1" applyBorder="1" applyAlignment="1" applyProtection="1">
      <alignment horizontal="right"/>
      <protection locked="0"/>
    </xf>
    <xf numFmtId="39" fontId="37" fillId="0" borderId="79" xfId="3" applyNumberFormat="1" applyFont="1" applyBorder="1" applyAlignment="1" applyProtection="1">
      <alignment horizontal="right"/>
      <protection locked="0"/>
    </xf>
    <xf numFmtId="0" fontId="96" fillId="0" borderId="79" xfId="48" applyFont="1" applyBorder="1" applyAlignment="1">
      <alignment horizontal="left" wrapText="1"/>
      <protection locked="0"/>
    </xf>
    <xf numFmtId="0" fontId="227" fillId="0" borderId="79" xfId="48" applyFont="1" applyBorder="1" applyAlignment="1">
      <alignment horizontal="left" vertical="center" wrapText="1"/>
      <protection locked="0"/>
    </xf>
    <xf numFmtId="0" fontId="72" fillId="0" borderId="79" xfId="48" quotePrefix="1" applyFont="1" applyBorder="1" applyAlignment="1" applyProtection="1">
      <alignment horizontal="left" wrapText="1"/>
    </xf>
    <xf numFmtId="167" fontId="28" fillId="0" borderId="79" xfId="48" applyNumberFormat="1" applyFont="1" applyBorder="1" applyAlignment="1">
      <alignment horizontal="right"/>
      <protection locked="0"/>
    </xf>
    <xf numFmtId="171" fontId="8" fillId="0" borderId="79" xfId="71" applyNumberFormat="1" applyFont="1" applyBorder="1" applyAlignment="1" applyProtection="1">
      <alignment horizontal="right"/>
      <protection locked="0"/>
    </xf>
    <xf numFmtId="0" fontId="11" fillId="0" borderId="79" xfId="71" applyFont="1" applyBorder="1" applyAlignment="1" applyProtection="1">
      <alignment horizontal="right" vertical="center"/>
      <protection locked="0"/>
    </xf>
    <xf numFmtId="37" fontId="28" fillId="0" borderId="79" xfId="71" applyNumberFormat="1" applyFont="1" applyBorder="1" applyAlignment="1" applyProtection="1">
      <alignment horizontal="right"/>
      <protection locked="0"/>
    </xf>
    <xf numFmtId="39" fontId="28" fillId="0" borderId="79" xfId="71" applyNumberFormat="1" applyFont="1" applyBorder="1" applyAlignment="1" applyProtection="1">
      <alignment horizontal="right"/>
      <protection locked="0"/>
    </xf>
    <xf numFmtId="175" fontId="43" fillId="0" borderId="0" xfId="72" applyNumberFormat="1" applyFont="1" applyFill="1" applyBorder="1" applyAlignment="1">
      <alignment horizontal="center" vertical="center"/>
      <protection locked="0"/>
    </xf>
    <xf numFmtId="37" fontId="8" fillId="0" borderId="79" xfId="35" applyNumberFormat="1" applyFont="1" applyBorder="1" applyAlignment="1">
      <alignment horizontal="right"/>
      <protection locked="0"/>
    </xf>
    <xf numFmtId="0" fontId="8" fillId="0" borderId="79" xfId="35" applyFont="1" applyBorder="1" applyAlignment="1">
      <alignment horizontal="left" wrapText="1"/>
      <protection locked="0"/>
    </xf>
    <xf numFmtId="0" fontId="72" fillId="0" borderId="79" xfId="35" applyFont="1" applyBorder="1" applyAlignment="1">
      <alignment horizontal="left" wrapText="1"/>
      <protection locked="0"/>
    </xf>
    <xf numFmtId="167" fontId="72" fillId="0" borderId="79" xfId="35" applyNumberFormat="1" applyFont="1" applyBorder="1" applyAlignment="1">
      <alignment horizontal="right"/>
      <protection locked="0"/>
    </xf>
    <xf numFmtId="39" fontId="8" fillId="0" borderId="79" xfId="35" applyNumberFormat="1" applyFont="1" applyBorder="1" applyAlignment="1">
      <alignment horizontal="right"/>
      <protection locked="0"/>
    </xf>
    <xf numFmtId="0" fontId="82" fillId="0" borderId="79" xfId="35" applyFont="1" applyBorder="1" applyAlignment="1">
      <alignment horizontal="center" vertical="center"/>
      <protection locked="0"/>
    </xf>
    <xf numFmtId="0" fontId="67" fillId="0" borderId="0" xfId="35" applyAlignment="1" applyProtection="1"/>
    <xf numFmtId="0" fontId="11" fillId="0" borderId="79" xfId="71" applyFont="1" applyBorder="1" applyAlignment="1" applyProtection="1">
      <alignment horizontal="center" vertical="top"/>
      <protection locked="0"/>
    </xf>
    <xf numFmtId="0" fontId="72" fillId="0" borderId="79" xfId="71" applyFont="1" applyBorder="1" applyAlignment="1" applyProtection="1">
      <alignment horizontal="left" wrapText="1"/>
      <protection locked="0"/>
    </xf>
    <xf numFmtId="37" fontId="8" fillId="0" borderId="79" xfId="60" applyNumberFormat="1" applyFont="1" applyBorder="1" applyAlignment="1" applyProtection="1">
      <alignment horizontal="right"/>
    </xf>
    <xf numFmtId="49" fontId="8" fillId="0" borderId="79" xfId="28" applyNumberFormat="1" applyFont="1" applyBorder="1" applyAlignment="1" applyProtection="1">
      <alignment horizontal="left" wrapText="1"/>
    </xf>
    <xf numFmtId="0" fontId="8" fillId="0" borderId="79" xfId="60" applyFont="1" applyBorder="1" applyAlignment="1" applyProtection="1">
      <alignment horizontal="left" wrapText="1"/>
    </xf>
    <xf numFmtId="39" fontId="8" fillId="0" borderId="79" xfId="60" applyNumberFormat="1" applyFont="1" applyBorder="1" applyAlignment="1" applyProtection="1">
      <alignment horizontal="right"/>
    </xf>
    <xf numFmtId="0" fontId="8" fillId="0" borderId="79" xfId="28" applyFont="1" applyBorder="1" applyAlignment="1" applyProtection="1">
      <alignment horizontal="left" vertical="center" wrapText="1"/>
    </xf>
    <xf numFmtId="167" fontId="72" fillId="0" borderId="79" xfId="28" applyNumberFormat="1" applyFont="1" applyBorder="1" applyAlignment="1" applyProtection="1">
      <alignment horizontal="right"/>
    </xf>
    <xf numFmtId="0" fontId="72" fillId="0" borderId="79" xfId="74" applyFont="1" applyBorder="1" applyAlignment="1" applyProtection="1">
      <alignment horizontal="left" wrapText="1"/>
    </xf>
    <xf numFmtId="167" fontId="8" fillId="0" borderId="79" xfId="60" applyNumberFormat="1" applyFont="1" applyBorder="1" applyAlignment="1" applyProtection="1">
      <alignment horizontal="left" wrapText="1"/>
    </xf>
    <xf numFmtId="0" fontId="69" fillId="0" borderId="0" xfId="91" applyFont="1" applyFill="1" applyBorder="1" applyAlignment="1" applyProtection="1">
      <alignment vertical="center"/>
    </xf>
    <xf numFmtId="0" fontId="28" fillId="0" borderId="79" xfId="83" applyFont="1" applyBorder="1" applyAlignment="1">
      <alignment horizontal="left" wrapText="1"/>
    </xf>
    <xf numFmtId="0" fontId="8" fillId="0" borderId="129" xfId="75" applyFont="1" applyBorder="1" applyAlignment="1" applyProtection="1">
      <alignment horizontal="left" wrapText="1"/>
      <protection locked="0"/>
    </xf>
    <xf numFmtId="0" fontId="28" fillId="0" borderId="79" xfId="75" applyFont="1" applyBorder="1" applyAlignment="1" applyProtection="1">
      <alignment horizontal="left" wrapText="1"/>
      <protection locked="0"/>
    </xf>
    <xf numFmtId="39" fontId="8" fillId="0" borderId="130" xfId="60" applyNumberFormat="1" applyFont="1" applyBorder="1" applyAlignment="1">
      <alignment horizontal="center"/>
      <protection locked="0"/>
    </xf>
    <xf numFmtId="167" fontId="8" fillId="0" borderId="21" xfId="71" applyNumberFormat="1" applyFont="1" applyBorder="1" applyAlignment="1">
      <alignment horizontal="right"/>
    </xf>
    <xf numFmtId="167" fontId="66" fillId="0" borderId="33" xfId="71" applyNumberFormat="1" applyFont="1" applyBorder="1" applyAlignment="1">
      <alignment horizontal="right"/>
    </xf>
    <xf numFmtId="167" fontId="66" fillId="0" borderId="0" xfId="71" applyNumberFormat="1" applyFont="1" applyAlignment="1">
      <alignment horizontal="right"/>
    </xf>
    <xf numFmtId="167" fontId="7" fillId="0" borderId="0" xfId="71" applyNumberFormat="1"/>
    <xf numFmtId="167" fontId="8" fillId="0" borderId="0" xfId="0" applyNumberFormat="1" applyFont="1" applyAlignment="1" applyProtection="1">
      <alignment horizontal="left"/>
    </xf>
    <xf numFmtId="0" fontId="28" fillId="0" borderId="129" xfId="0" applyFont="1" applyBorder="1" applyAlignment="1">
      <alignment horizontal="left" wrapText="1"/>
      <protection locked="0"/>
    </xf>
    <xf numFmtId="0" fontId="298" fillId="0" borderId="0" xfId="81" applyFont="1" applyFill="1" applyAlignment="1">
      <alignment horizontal="left" vertical="center"/>
      <protection locked="0"/>
    </xf>
    <xf numFmtId="0" fontId="8" fillId="0" borderId="129" xfId="0" applyFont="1" applyBorder="1" applyAlignment="1">
      <alignment horizontal="left" wrapText="1"/>
      <protection locked="0"/>
    </xf>
    <xf numFmtId="167" fontId="28" fillId="0" borderId="129" xfId="0" applyNumberFormat="1" applyFont="1" applyBorder="1" applyAlignment="1">
      <alignment horizontal="right"/>
      <protection locked="0"/>
    </xf>
    <xf numFmtId="39" fontId="8" fillId="0" borderId="129" xfId="0" applyNumberFormat="1" applyFont="1" applyBorder="1" applyAlignment="1">
      <alignment horizontal="right"/>
      <protection locked="0"/>
    </xf>
    <xf numFmtId="39" fontId="8" fillId="0" borderId="129" xfId="0" applyNumberFormat="1" applyFont="1" applyBorder="1" applyAlignment="1">
      <alignment horizontal="center"/>
      <protection locked="0"/>
    </xf>
    <xf numFmtId="167" fontId="8" fillId="0" borderId="129" xfId="0" applyNumberFormat="1" applyFont="1" applyBorder="1" applyAlignment="1">
      <alignment horizontal="right"/>
      <protection locked="0"/>
    </xf>
    <xf numFmtId="0" fontId="37" fillId="0" borderId="129" xfId="0" applyFont="1" applyBorder="1" applyAlignment="1">
      <alignment horizontal="left" wrapText="1"/>
      <protection locked="0"/>
    </xf>
    <xf numFmtId="4" fontId="8" fillId="0" borderId="129" xfId="0" applyNumberFormat="1" applyFont="1" applyBorder="1" applyAlignment="1">
      <alignment horizontal="right"/>
      <protection locked="0"/>
    </xf>
    <xf numFmtId="0" fontId="11" fillId="7" borderId="0" xfId="28" applyFill="1" applyAlignment="1">
      <alignment horizontal="left" vertical="top"/>
      <protection locked="0"/>
    </xf>
    <xf numFmtId="167" fontId="37" fillId="0" borderId="129" xfId="0" applyNumberFormat="1" applyFont="1" applyBorder="1" applyAlignment="1">
      <alignment horizontal="right"/>
      <protection locked="0"/>
    </xf>
    <xf numFmtId="0" fontId="91" fillId="0" borderId="0" xfId="72" applyFill="1" applyAlignment="1" applyProtection="1">
      <alignment horizontal="left" vertical="top"/>
      <protection locked="0"/>
    </xf>
    <xf numFmtId="0" fontId="11" fillId="7" borderId="0" xfId="63" applyFont="1" applyFill="1" applyAlignment="1" applyProtection="1">
      <alignment horizontal="left" vertical="top"/>
      <protection locked="0"/>
    </xf>
    <xf numFmtId="167" fontId="86" fillId="0" borderId="0" xfId="0" applyNumberFormat="1" applyFont="1" applyAlignment="1" applyProtection="1">
      <alignment horizontal="right"/>
    </xf>
    <xf numFmtId="167" fontId="8" fillId="0" borderId="21" xfId="0" applyNumberFormat="1" applyFont="1" applyBorder="1" applyAlignment="1" applyProtection="1">
      <alignment horizontal="right"/>
    </xf>
    <xf numFmtId="167" fontId="66" fillId="0" borderId="33" xfId="0" applyNumberFormat="1" applyFont="1" applyBorder="1" applyAlignment="1" applyProtection="1">
      <alignment horizontal="right"/>
    </xf>
    <xf numFmtId="167" fontId="66" fillId="0" borderId="0" xfId="0" applyNumberFormat="1" applyFont="1" applyAlignment="1" applyProtection="1">
      <alignment horizontal="right"/>
    </xf>
    <xf numFmtId="167" fontId="11" fillId="0" borderId="0" xfId="0" applyNumberFormat="1" applyFont="1" applyAlignment="1">
      <alignment vertical="center" wrapText="1"/>
      <protection locked="0"/>
    </xf>
    <xf numFmtId="49" fontId="19" fillId="0" borderId="131" xfId="8" applyNumberFormat="1" applyFont="1" applyBorder="1" applyAlignment="1">
      <alignment horizontal="left"/>
    </xf>
    <xf numFmtId="166" fontId="8" fillId="0" borderId="133" xfId="28" applyNumberFormat="1" applyFont="1" applyBorder="1" applyAlignment="1" applyProtection="1">
      <alignment horizontal="center" vertical="center"/>
    </xf>
    <xf numFmtId="166" fontId="8" fillId="0" borderId="134" xfId="28" applyNumberFormat="1" applyFont="1" applyBorder="1" applyAlignment="1" applyProtection="1">
      <alignment horizontal="center" vertical="center"/>
    </xf>
    <xf numFmtId="0" fontId="40" fillId="0" borderId="125" xfId="28" applyFont="1" applyBorder="1" applyAlignment="1" applyProtection="1">
      <alignment horizontal="center" vertical="center"/>
    </xf>
    <xf numFmtId="0" fontId="40" fillId="0" borderId="125" xfId="28" applyFont="1" applyBorder="1" applyAlignment="1" applyProtection="1">
      <alignment horizontal="left" vertical="center"/>
    </xf>
    <xf numFmtId="0" fontId="41" fillId="0" borderId="125" xfId="28" applyFont="1" applyBorder="1" applyAlignment="1" applyProtection="1">
      <alignment horizontal="left" vertical="center"/>
    </xf>
    <xf numFmtId="0" fontId="42" fillId="0" borderId="125" xfId="28" applyFont="1" applyBorder="1" applyAlignment="1" applyProtection="1">
      <alignment horizontal="left" vertical="center"/>
    </xf>
    <xf numFmtId="0" fontId="41" fillId="0" borderId="136" xfId="28" applyFont="1" applyBorder="1" applyAlignment="1" applyProtection="1">
      <alignment horizontal="left" vertical="center"/>
    </xf>
    <xf numFmtId="39" fontId="42" fillId="0" borderId="136" xfId="28" applyNumberFormat="1" applyFont="1" applyBorder="1" applyAlignment="1" applyProtection="1">
      <alignment horizontal="right" vertical="center"/>
    </xf>
    <xf numFmtId="4" fontId="37" fillId="0" borderId="125" xfId="45" applyNumberFormat="1" applyFont="1" applyBorder="1" applyAlignment="1">
      <alignment horizontal="right"/>
      <protection locked="0"/>
    </xf>
    <xf numFmtId="37" fontId="37" fillId="7" borderId="125" xfId="45" applyNumberFormat="1" applyFont="1" applyFill="1" applyBorder="1" applyAlignment="1">
      <alignment horizontal="right"/>
      <protection locked="0"/>
    </xf>
    <xf numFmtId="0" fontId="37" fillId="7" borderId="125" xfId="45" applyFont="1" applyFill="1" applyBorder="1" applyAlignment="1">
      <alignment horizontal="left" wrapText="1"/>
      <protection locked="0"/>
    </xf>
    <xf numFmtId="0" fontId="37" fillId="0" borderId="125" xfId="45" applyFont="1" applyBorder="1" applyAlignment="1">
      <alignment horizontal="left" wrapText="1"/>
      <protection locked="0"/>
    </xf>
    <xf numFmtId="2" fontId="37" fillId="0" borderId="125" xfId="45" applyNumberFormat="1" applyFont="1" applyBorder="1" applyAlignment="1">
      <alignment horizontal="right"/>
      <protection locked="0"/>
    </xf>
    <xf numFmtId="0" fontId="31" fillId="0" borderId="125" xfId="45" applyBorder="1" applyAlignment="1">
      <alignment vertical="top"/>
      <protection locked="0"/>
    </xf>
    <xf numFmtId="37" fontId="8" fillId="0" borderId="125" xfId="27" applyNumberFormat="1" applyFont="1" applyBorder="1" applyAlignment="1">
      <alignment horizontal="right"/>
      <protection locked="0"/>
    </xf>
    <xf numFmtId="0" fontId="8" fillId="0" borderId="125" xfId="38" applyFont="1" applyBorder="1" applyAlignment="1" applyProtection="1">
      <alignment horizontal="left" wrapText="1"/>
      <protection locked="0"/>
    </xf>
    <xf numFmtId="0" fontId="8" fillId="0" borderId="125" xfId="27" applyFont="1" applyBorder="1" applyAlignment="1">
      <alignment horizontal="left" wrapText="1"/>
      <protection locked="0"/>
    </xf>
    <xf numFmtId="167" fontId="8" fillId="0" borderId="125" xfId="27" applyNumberFormat="1" applyFont="1" applyBorder="1" applyAlignment="1">
      <alignment horizontal="right" wrapText="1"/>
      <protection locked="0"/>
    </xf>
    <xf numFmtId="39" fontId="8" fillId="0" borderId="125" xfId="27" applyNumberFormat="1" applyFont="1" applyBorder="1" applyAlignment="1">
      <alignment horizontal="right"/>
      <protection locked="0"/>
    </xf>
    <xf numFmtId="4" fontId="8" fillId="0" borderId="125" xfId="31" applyNumberFormat="1" applyFont="1" applyBorder="1" applyAlignment="1" applyProtection="1">
      <alignment horizontal="right"/>
      <protection locked="0"/>
    </xf>
    <xf numFmtId="39" fontId="8" fillId="0" borderId="125" xfId="40" applyNumberFormat="1" applyFont="1" applyBorder="1" applyAlignment="1">
      <alignment horizontal="center"/>
      <protection locked="0"/>
    </xf>
    <xf numFmtId="37" fontId="8" fillId="0" borderId="125" xfId="38" applyNumberFormat="1" applyFont="1" applyBorder="1" applyAlignment="1" applyProtection="1">
      <alignment horizontal="right"/>
      <protection locked="0"/>
    </xf>
    <xf numFmtId="39" fontId="8" fillId="0" borderId="125" xfId="38" applyNumberFormat="1" applyFont="1" applyBorder="1" applyAlignment="1" applyProtection="1">
      <alignment horizontal="right"/>
      <protection locked="0"/>
    </xf>
    <xf numFmtId="1" fontId="8" fillId="0" borderId="125" xfId="49" applyNumberFormat="1" applyFont="1" applyBorder="1" applyAlignment="1" applyProtection="1">
      <alignment horizontal="right"/>
      <protection locked="0"/>
    </xf>
    <xf numFmtId="0" fontId="8" fillId="0" borderId="125" xfId="49" applyFont="1" applyBorder="1" applyAlignment="1" applyProtection="1">
      <alignment horizontal="left" wrapText="1"/>
      <protection locked="0"/>
    </xf>
    <xf numFmtId="4" fontId="8" fillId="0" borderId="125" xfId="49" applyNumberFormat="1" applyFont="1" applyBorder="1" applyAlignment="1" applyProtection="1">
      <alignment horizontal="right"/>
      <protection locked="0"/>
    </xf>
    <xf numFmtId="39" fontId="8" fillId="0" borderId="125" xfId="94" applyNumberFormat="1" applyFont="1" applyBorder="1" applyAlignment="1" applyProtection="1">
      <alignment horizontal="center"/>
      <protection locked="0"/>
    </xf>
    <xf numFmtId="1" fontId="8" fillId="0" borderId="125" xfId="60" applyNumberFormat="1" applyFont="1" applyBorder="1" applyAlignment="1">
      <alignment horizontal="right" wrapText="1"/>
      <protection locked="0"/>
    </xf>
    <xf numFmtId="49" fontId="8" fillId="0" borderId="125" xfId="60" applyNumberFormat="1" applyFont="1" applyBorder="1" applyAlignment="1">
      <alignment horizontal="left" wrapText="1"/>
      <protection locked="0"/>
    </xf>
    <xf numFmtId="0" fontId="28" fillId="0" borderId="125" xfId="60" applyFont="1" applyBorder="1" applyAlignment="1">
      <alignment horizontal="left" wrapText="1"/>
      <protection locked="0"/>
    </xf>
    <xf numFmtId="0" fontId="28" fillId="0" borderId="125" xfId="49" applyFont="1" applyBorder="1" applyAlignment="1" applyProtection="1">
      <alignment horizontal="left" wrapText="1"/>
      <protection locked="0"/>
    </xf>
    <xf numFmtId="167" fontId="28" fillId="0" borderId="125" xfId="60" applyNumberFormat="1" applyFont="1" applyBorder="1" applyAlignment="1">
      <alignment horizontal="right"/>
      <protection locked="0"/>
    </xf>
    <xf numFmtId="4" fontId="28" fillId="0" borderId="125" xfId="60" applyNumberFormat="1" applyFont="1" applyBorder="1" applyAlignment="1">
      <alignment horizontal="right"/>
      <protection locked="0"/>
    </xf>
    <xf numFmtId="39" fontId="8" fillId="0" borderId="125" xfId="60" applyNumberFormat="1" applyFont="1" applyBorder="1" applyAlignment="1">
      <alignment horizontal="center"/>
      <protection locked="0"/>
    </xf>
    <xf numFmtId="37" fontId="8" fillId="0" borderId="125" xfId="45" applyNumberFormat="1" applyFont="1" applyBorder="1" applyAlignment="1">
      <alignment horizontal="right"/>
      <protection locked="0"/>
    </xf>
    <xf numFmtId="0" fontId="8" fillId="0" borderId="125" xfId="45" applyFont="1" applyBorder="1" applyAlignment="1">
      <alignment horizontal="left" wrapText="1"/>
      <protection locked="0"/>
    </xf>
    <xf numFmtId="4" fontId="8" fillId="0" borderId="125" xfId="45" applyNumberFormat="1" applyFont="1" applyBorder="1" applyAlignment="1">
      <alignment horizontal="right"/>
      <protection locked="0"/>
    </xf>
    <xf numFmtId="37" fontId="151" fillId="0" borderId="125" xfId="45" applyNumberFormat="1" applyFont="1" applyBorder="1" applyAlignment="1">
      <alignment horizontal="right"/>
      <protection locked="0"/>
    </xf>
    <xf numFmtId="0" fontId="151" fillId="0" borderId="125" xfId="45" applyFont="1" applyBorder="1" applyAlignment="1">
      <alignment horizontal="left" wrapText="1"/>
      <protection locked="0"/>
    </xf>
    <xf numFmtId="0" fontId="28" fillId="0" borderId="125" xfId="45" applyFont="1" applyBorder="1" applyAlignment="1">
      <alignment horizontal="left" wrapText="1"/>
      <protection locked="0"/>
    </xf>
    <xf numFmtId="167" fontId="28" fillId="0" borderId="125" xfId="45" applyNumberFormat="1" applyFont="1" applyBorder="1" applyAlignment="1">
      <alignment horizontal="right"/>
      <protection locked="0"/>
    </xf>
    <xf numFmtId="4" fontId="151" fillId="0" borderId="125" xfId="45" applyNumberFormat="1" applyFont="1" applyBorder="1" applyAlignment="1">
      <alignment horizontal="right"/>
      <protection locked="0"/>
    </xf>
    <xf numFmtId="39" fontId="9" fillId="0" borderId="125" xfId="45" applyNumberFormat="1" applyFont="1" applyBorder="1" applyAlignment="1">
      <alignment horizontal="center"/>
      <protection locked="0"/>
    </xf>
    <xf numFmtId="49" fontId="8" fillId="0" borderId="125" xfId="40" applyNumberFormat="1" applyFont="1" applyBorder="1" applyAlignment="1">
      <alignment horizontal="right" wrapText="1"/>
      <protection locked="0"/>
    </xf>
    <xf numFmtId="49" fontId="8" fillId="0" borderId="125" xfId="40" applyNumberFormat="1" applyFont="1" applyBorder="1" applyAlignment="1">
      <alignment horizontal="left" wrapText="1"/>
      <protection locked="0"/>
    </xf>
    <xf numFmtId="0" fontId="8" fillId="0" borderId="125" xfId="40" applyFont="1" applyBorder="1" applyAlignment="1">
      <alignment horizontal="left" wrapText="1"/>
      <protection locked="0"/>
    </xf>
    <xf numFmtId="39" fontId="8" fillId="0" borderId="125" xfId="40" applyNumberFormat="1" applyFont="1" applyBorder="1" applyAlignment="1">
      <alignment horizontal="right"/>
      <protection locked="0"/>
    </xf>
    <xf numFmtId="0" fontId="28" fillId="0" borderId="125" xfId="40" applyFont="1" applyBorder="1" applyAlignment="1">
      <alignment horizontal="left" wrapText="1"/>
      <protection locked="0"/>
    </xf>
    <xf numFmtId="39" fontId="8" fillId="0" borderId="125" xfId="45" applyNumberFormat="1" applyFont="1" applyBorder="1" applyAlignment="1">
      <alignment horizontal="center"/>
      <protection locked="0"/>
    </xf>
    <xf numFmtId="37" fontId="8" fillId="0" borderId="125" xfId="73" applyNumberFormat="1" applyFont="1" applyBorder="1" applyAlignment="1">
      <alignment horizontal="right"/>
      <protection locked="0"/>
    </xf>
    <xf numFmtId="49" fontId="8" fillId="0" borderId="125" xfId="48" applyNumberFormat="1" applyFont="1" applyBorder="1" applyAlignment="1">
      <alignment horizontal="left"/>
      <protection locked="0"/>
    </xf>
    <xf numFmtId="0" fontId="8" fillId="0" borderId="125" xfId="48" applyFont="1" applyBorder="1" applyAlignment="1">
      <alignment horizontal="left" wrapText="1"/>
      <protection locked="0"/>
    </xf>
    <xf numFmtId="39" fontId="8" fillId="0" borderId="125" xfId="48" applyNumberFormat="1" applyFont="1" applyBorder="1" applyAlignment="1">
      <alignment horizontal="right"/>
      <protection locked="0"/>
    </xf>
    <xf numFmtId="0" fontId="72" fillId="0" borderId="125" xfId="48" applyFont="1" applyBorder="1" applyAlignment="1">
      <alignment horizontal="left" wrapText="1"/>
      <protection locked="0"/>
    </xf>
    <xf numFmtId="167" fontId="8" fillId="0" borderId="125" xfId="48" applyNumberFormat="1" applyFont="1" applyBorder="1" applyAlignment="1">
      <alignment horizontal="right"/>
      <protection locked="0"/>
    </xf>
    <xf numFmtId="2" fontId="8" fillId="0" borderId="125" xfId="48" applyNumberFormat="1" applyFont="1" applyBorder="1" applyAlignment="1">
      <alignment horizontal="center"/>
      <protection locked="0"/>
    </xf>
    <xf numFmtId="167" fontId="28" fillId="0" borderId="125" xfId="48" applyNumberFormat="1" applyFont="1" applyBorder="1" applyAlignment="1">
      <alignment horizontal="right"/>
      <protection locked="0"/>
    </xf>
    <xf numFmtId="49" fontId="8" fillId="0" borderId="125" xfId="45" applyNumberFormat="1" applyFont="1" applyBorder="1" applyAlignment="1">
      <alignment horizontal="right" wrapText="1"/>
      <protection locked="0"/>
    </xf>
    <xf numFmtId="49" fontId="8" fillId="0" borderId="125" xfId="45" applyNumberFormat="1" applyFont="1" applyBorder="1" applyAlignment="1">
      <alignment horizontal="left" wrapText="1"/>
      <protection locked="0"/>
    </xf>
    <xf numFmtId="37" fontId="8" fillId="0" borderId="125" xfId="28" applyNumberFormat="1" applyFont="1" applyBorder="1" applyAlignment="1">
      <alignment horizontal="right"/>
      <protection locked="0"/>
    </xf>
    <xf numFmtId="49" fontId="8" fillId="0" borderId="125" xfId="28" applyNumberFormat="1" applyFont="1" applyBorder="1" applyAlignment="1">
      <alignment horizontal="left" wrapText="1"/>
      <protection locked="0"/>
    </xf>
    <xf numFmtId="0" fontId="79" fillId="0" borderId="125" xfId="3" applyFont="1" applyBorder="1" applyAlignment="1" applyProtection="1">
      <alignment horizontal="left" wrapText="1"/>
      <protection locked="0"/>
    </xf>
    <xf numFmtId="0" fontId="37" fillId="0" borderId="125" xfId="28" applyFont="1" applyBorder="1" applyAlignment="1">
      <alignment horizontal="left" wrapText="1"/>
      <protection locked="0"/>
    </xf>
    <xf numFmtId="167" fontId="79" fillId="0" borderId="125" xfId="3" applyNumberFormat="1" applyFont="1" applyBorder="1" applyAlignment="1" applyProtection="1">
      <alignment horizontal="right"/>
      <protection locked="0"/>
    </xf>
    <xf numFmtId="4" fontId="8" fillId="0" borderId="125" xfId="28" applyNumberFormat="1" applyFont="1" applyBorder="1" applyAlignment="1">
      <alignment horizontal="right"/>
      <protection locked="0"/>
    </xf>
    <xf numFmtId="39" fontId="8" fillId="0" borderId="125" xfId="28" applyNumberFormat="1" applyFont="1" applyBorder="1" applyAlignment="1">
      <alignment horizontal="center"/>
      <protection locked="0"/>
    </xf>
    <xf numFmtId="0" fontId="72" fillId="0" borderId="125" xfId="3" applyFont="1" applyBorder="1" applyAlignment="1" applyProtection="1">
      <alignment horizontal="left" wrapText="1"/>
      <protection locked="0"/>
    </xf>
    <xf numFmtId="39" fontId="72" fillId="0" borderId="125" xfId="12" applyNumberFormat="1" applyFont="1" applyBorder="1" applyAlignment="1">
      <alignment horizontal="center"/>
      <protection locked="0"/>
    </xf>
    <xf numFmtId="0" fontId="28" fillId="0" borderId="125" xfId="38" applyFont="1" applyBorder="1" applyAlignment="1" applyProtection="1">
      <alignment horizontal="left" wrapText="1"/>
      <protection locked="0"/>
    </xf>
    <xf numFmtId="1" fontId="72" fillId="0" borderId="125" xfId="38" applyNumberFormat="1" applyFont="1" applyBorder="1" applyAlignment="1" applyProtection="1">
      <alignment horizontal="right"/>
      <protection locked="0"/>
    </xf>
    <xf numFmtId="0" fontId="72" fillId="0" borderId="125" xfId="38" applyFont="1" applyBorder="1" applyAlignment="1" applyProtection="1">
      <alignment horizontal="left" wrapText="1"/>
      <protection locked="0"/>
    </xf>
    <xf numFmtId="167" fontId="28" fillId="0" borderId="125" xfId="38" applyNumberFormat="1" applyFont="1" applyBorder="1" applyAlignment="1" applyProtection="1">
      <alignment horizontal="right"/>
      <protection locked="0"/>
    </xf>
    <xf numFmtId="2" fontId="28" fillId="0" borderId="125" xfId="38" applyNumberFormat="1" applyFont="1" applyBorder="1" applyAlignment="1" applyProtection="1">
      <alignment horizontal="right"/>
      <protection locked="0"/>
    </xf>
    <xf numFmtId="39" fontId="8" fillId="0" borderId="125" xfId="38" applyNumberFormat="1" applyFont="1" applyBorder="1" applyAlignment="1" applyProtection="1">
      <alignment horizontal="center"/>
      <protection locked="0"/>
    </xf>
    <xf numFmtId="37" fontId="8" fillId="0" borderId="125" xfId="26" applyNumberFormat="1" applyFont="1" applyBorder="1" applyAlignment="1" applyProtection="1">
      <alignment horizontal="right"/>
      <protection locked="0"/>
    </xf>
    <xf numFmtId="49" fontId="8" fillId="0" borderId="125" xfId="26" applyNumberFormat="1" applyFont="1" applyBorder="1" applyAlignment="1" applyProtection="1">
      <alignment horizontal="left" wrapText="1"/>
      <protection locked="0"/>
    </xf>
    <xf numFmtId="0" fontId="8" fillId="0" borderId="125" xfId="26" applyFont="1" applyBorder="1" applyAlignment="1" applyProtection="1">
      <alignment horizontal="left" wrapText="1"/>
      <protection locked="0"/>
    </xf>
    <xf numFmtId="39" fontId="8" fillId="0" borderId="125" xfId="26" applyNumberFormat="1" applyFont="1" applyBorder="1" applyAlignment="1" applyProtection="1">
      <alignment horizontal="center"/>
      <protection locked="0"/>
    </xf>
    <xf numFmtId="0" fontId="28" fillId="0" borderId="125" xfId="26" applyFont="1" applyBorder="1" applyAlignment="1" applyProtection="1">
      <alignment horizontal="left" wrapText="1"/>
      <protection locked="0"/>
    </xf>
    <xf numFmtId="167" fontId="8" fillId="0" borderId="125" xfId="26" applyNumberFormat="1" applyFont="1" applyBorder="1" applyAlignment="1" applyProtection="1">
      <alignment horizontal="right"/>
      <protection locked="0"/>
    </xf>
    <xf numFmtId="4" fontId="8" fillId="0" borderId="125" xfId="26" applyNumberFormat="1" applyFont="1" applyBorder="1" applyAlignment="1" applyProtection="1">
      <alignment horizontal="right"/>
      <protection locked="0"/>
    </xf>
    <xf numFmtId="37" fontId="8" fillId="0" borderId="125" xfId="78" applyNumberFormat="1" applyFont="1" applyBorder="1" applyAlignment="1" applyProtection="1">
      <alignment horizontal="right"/>
      <protection locked="0"/>
    </xf>
    <xf numFmtId="49" fontId="8" fillId="0" borderId="125" xfId="78" applyNumberFormat="1" applyFont="1" applyBorder="1" applyAlignment="1" applyProtection="1">
      <alignment horizontal="left" wrapText="1"/>
      <protection locked="0"/>
    </xf>
    <xf numFmtId="0" fontId="37" fillId="0" borderId="125" xfId="78" applyFont="1" applyBorder="1" applyAlignment="1" applyProtection="1">
      <alignment horizontal="left" wrapText="1"/>
      <protection locked="0"/>
    </xf>
    <xf numFmtId="39" fontId="8" fillId="0" borderId="125" xfId="78" applyNumberFormat="1" applyFont="1" applyBorder="1" applyAlignment="1" applyProtection="1">
      <alignment horizontal="right"/>
      <protection locked="0"/>
    </xf>
    <xf numFmtId="39" fontId="8" fillId="0" borderId="125" xfId="78" applyNumberFormat="1" applyFont="1" applyBorder="1" applyAlignment="1" applyProtection="1">
      <alignment horizontal="center"/>
      <protection locked="0"/>
    </xf>
    <xf numFmtId="37" fontId="66" fillId="0" borderId="125" xfId="26" applyNumberFormat="1" applyFont="1" applyBorder="1" applyAlignment="1" applyProtection="1">
      <alignment horizontal="right"/>
      <protection locked="0"/>
    </xf>
    <xf numFmtId="49" fontId="66" fillId="0" borderId="125" xfId="26" applyNumberFormat="1" applyFont="1" applyBorder="1" applyAlignment="1" applyProtection="1">
      <alignment horizontal="left" wrapText="1"/>
      <protection locked="0"/>
    </xf>
    <xf numFmtId="0" fontId="66" fillId="0" borderId="125" xfId="26" applyFont="1" applyBorder="1" applyAlignment="1" applyProtection="1">
      <alignment horizontal="left" wrapText="1"/>
      <protection locked="0"/>
    </xf>
    <xf numFmtId="167" fontId="28" fillId="0" borderId="125" xfId="26" applyNumberFormat="1" applyFont="1" applyBorder="1" applyAlignment="1" applyProtection="1">
      <alignment horizontal="right" wrapText="1"/>
      <protection locked="0"/>
    </xf>
    <xf numFmtId="0" fontId="12" fillId="0" borderId="125" xfId="26" applyBorder="1" applyAlignment="1" applyProtection="1">
      <alignment horizontal="left" vertical="top"/>
      <protection locked="0"/>
    </xf>
    <xf numFmtId="4" fontId="28" fillId="5" borderId="125" xfId="38" applyNumberFormat="1" applyFont="1" applyFill="1" applyBorder="1" applyAlignment="1" applyProtection="1">
      <alignment horizontal="right"/>
      <protection locked="0"/>
    </xf>
    <xf numFmtId="37" fontId="72" fillId="0" borderId="125" xfId="26" applyNumberFormat="1" applyFont="1" applyBorder="1" applyAlignment="1" applyProtection="1">
      <alignment horizontal="right"/>
      <protection locked="0"/>
    </xf>
    <xf numFmtId="0" fontId="72" fillId="0" borderId="125" xfId="26" applyFont="1" applyBorder="1" applyAlignment="1" applyProtection="1">
      <alignment horizontal="left" wrapText="1"/>
      <protection locked="0"/>
    </xf>
    <xf numFmtId="167" fontId="28" fillId="0" borderId="125" xfId="26" applyNumberFormat="1" applyFont="1" applyBorder="1" applyAlignment="1" applyProtection="1">
      <alignment horizontal="right"/>
      <protection locked="0"/>
    </xf>
    <xf numFmtId="4" fontId="28" fillId="5" borderId="125" xfId="26" applyNumberFormat="1" applyFont="1" applyFill="1" applyBorder="1" applyAlignment="1" applyProtection="1">
      <alignment horizontal="right"/>
      <protection locked="0"/>
    </xf>
    <xf numFmtId="0" fontId="28" fillId="0" borderId="125" xfId="78" applyFont="1" applyBorder="1" applyAlignment="1" applyProtection="1">
      <alignment horizontal="left" wrapText="1"/>
      <protection locked="0"/>
    </xf>
    <xf numFmtId="37" fontId="72" fillId="0" borderId="125" xfId="39" applyNumberFormat="1" applyFont="1" applyBorder="1" applyAlignment="1">
      <alignment horizontal="right"/>
      <protection locked="0"/>
    </xf>
    <xf numFmtId="49" fontId="66" fillId="0" borderId="125" xfId="39" applyNumberFormat="1" applyFont="1" applyBorder="1" applyAlignment="1">
      <alignment horizontal="left" wrapText="1"/>
      <protection locked="0"/>
    </xf>
    <xf numFmtId="0" fontId="66" fillId="0" borderId="125" xfId="39" applyFont="1" applyBorder="1" applyAlignment="1">
      <alignment horizontal="left" wrapText="1"/>
      <protection locked="0"/>
    </xf>
    <xf numFmtId="0" fontId="28" fillId="0" borderId="125" xfId="12" applyFont="1" applyBorder="1" applyAlignment="1">
      <alignment horizontal="left" wrapText="1"/>
      <protection locked="0"/>
    </xf>
    <xf numFmtId="0" fontId="72" fillId="0" borderId="125" xfId="39" applyFont="1" applyBorder="1" applyAlignment="1">
      <alignment horizontal="left" wrapText="1"/>
      <protection locked="0"/>
    </xf>
    <xf numFmtId="167" fontId="28" fillId="0" borderId="125" xfId="39" applyNumberFormat="1" applyFont="1" applyBorder="1" applyAlignment="1">
      <alignment horizontal="right" wrapText="1"/>
      <protection locked="0"/>
    </xf>
    <xf numFmtId="4" fontId="28" fillId="0" borderId="125" xfId="39" applyNumberFormat="1" applyFont="1" applyBorder="1" applyAlignment="1">
      <alignment horizontal="right"/>
      <protection locked="0"/>
    </xf>
    <xf numFmtId="0" fontId="84" fillId="0" borderId="125" xfId="39" applyFont="1" applyBorder="1" applyAlignment="1">
      <alignment horizontal="left" vertical="top"/>
      <protection locked="0"/>
    </xf>
    <xf numFmtId="37" fontId="66" fillId="0" borderId="125" xfId="78" applyNumberFormat="1" applyFont="1" applyBorder="1" applyAlignment="1" applyProtection="1">
      <alignment horizontal="right"/>
      <protection locked="0"/>
    </xf>
    <xf numFmtId="49" fontId="66" fillId="0" borderId="125" xfId="78" applyNumberFormat="1" applyFont="1" applyBorder="1" applyAlignment="1" applyProtection="1">
      <alignment horizontal="left" wrapText="1"/>
      <protection locked="0"/>
    </xf>
    <xf numFmtId="0" fontId="66" fillId="0" borderId="125" xfId="78" applyFont="1" applyBorder="1" applyAlignment="1" applyProtection="1">
      <alignment horizontal="left" wrapText="1"/>
      <protection locked="0"/>
    </xf>
    <xf numFmtId="0" fontId="28" fillId="0" borderId="125" xfId="68" applyFont="1" applyBorder="1" applyAlignment="1">
      <alignment horizontal="left" vertical="center" wrapText="1"/>
      <protection locked="0"/>
    </xf>
    <xf numFmtId="167" fontId="28" fillId="0" borderId="125" xfId="78" applyNumberFormat="1" applyFont="1" applyBorder="1" applyAlignment="1" applyProtection="1">
      <alignment horizontal="right"/>
      <protection locked="0"/>
    </xf>
    <xf numFmtId="4" fontId="8" fillId="0" borderId="125" xfId="78" applyNumberFormat="1" applyFont="1" applyBorder="1" applyAlignment="1" applyProtection="1">
      <alignment horizontal="right"/>
      <protection locked="0"/>
    </xf>
    <xf numFmtId="0" fontId="68" fillId="0" borderId="125" xfId="78" applyFont="1" applyBorder="1" applyAlignment="1" applyProtection="1">
      <alignment horizontal="right" vertical="center"/>
      <protection locked="0"/>
    </xf>
    <xf numFmtId="1" fontId="37" fillId="0" borderId="125" xfId="53" applyNumberFormat="1" applyFont="1" applyBorder="1" applyAlignment="1" applyProtection="1">
      <alignment horizontal="right"/>
      <protection locked="0"/>
    </xf>
    <xf numFmtId="49" fontId="37" fillId="0" borderId="125" xfId="53" applyNumberFormat="1" applyFont="1" applyBorder="1" applyAlignment="1" applyProtection="1">
      <alignment horizontal="left" wrapText="1"/>
      <protection locked="0"/>
    </xf>
    <xf numFmtId="0" fontId="37" fillId="0" borderId="125" xfId="53" applyFont="1" applyBorder="1" applyAlignment="1" applyProtection="1">
      <alignment horizontal="left" wrapText="1"/>
      <protection locked="0"/>
    </xf>
    <xf numFmtId="167" fontId="37" fillId="0" borderId="125" xfId="53" applyNumberFormat="1" applyFont="1" applyBorder="1" applyAlignment="1" applyProtection="1">
      <alignment horizontal="right"/>
      <protection locked="0"/>
    </xf>
    <xf numFmtId="4" fontId="37" fillId="0" borderId="125" xfId="53" applyNumberFormat="1" applyFont="1" applyBorder="1" applyAlignment="1" applyProtection="1">
      <alignment horizontal="right"/>
      <protection locked="0"/>
    </xf>
    <xf numFmtId="0" fontId="10" fillId="0" borderId="125" xfId="53" applyBorder="1" applyAlignment="1" applyProtection="1">
      <alignment vertical="top"/>
      <protection locked="0"/>
    </xf>
    <xf numFmtId="1" fontId="8" fillId="0" borderId="125" xfId="53" applyNumberFormat="1" applyFont="1" applyBorder="1" applyAlignment="1" applyProtection="1">
      <alignment horizontal="right"/>
      <protection locked="0"/>
    </xf>
    <xf numFmtId="49" fontId="8" fillId="0" borderId="125" xfId="53" applyNumberFormat="1" applyFont="1" applyBorder="1" applyAlignment="1" applyProtection="1">
      <alignment horizontal="left" wrapText="1"/>
      <protection locked="0"/>
    </xf>
    <xf numFmtId="0" fontId="8" fillId="0" borderId="125" xfId="53" applyFont="1" applyBorder="1" applyAlignment="1" applyProtection="1">
      <alignment horizontal="left" wrapText="1"/>
      <protection locked="0"/>
    </xf>
    <xf numFmtId="4" fontId="8" fillId="0" borderId="125" xfId="53" applyNumberFormat="1" applyFont="1" applyBorder="1" applyAlignment="1" applyProtection="1">
      <alignment horizontal="right"/>
      <protection locked="0"/>
    </xf>
    <xf numFmtId="0" fontId="28" fillId="0" borderId="125" xfId="53" applyFont="1" applyBorder="1" applyAlignment="1" applyProtection="1">
      <alignment horizontal="left" wrapText="1"/>
      <protection locked="0"/>
    </xf>
    <xf numFmtId="167" fontId="8" fillId="0" borderId="125" xfId="53" applyNumberFormat="1" applyFont="1" applyBorder="1" applyAlignment="1" applyProtection="1">
      <alignment horizontal="right"/>
      <protection locked="0"/>
    </xf>
    <xf numFmtId="39" fontId="8" fillId="0" borderId="125" xfId="95" applyNumberFormat="1" applyFont="1" applyBorder="1" applyAlignment="1" applyProtection="1">
      <alignment horizontal="center"/>
      <protection locked="0"/>
    </xf>
    <xf numFmtId="167" fontId="28" fillId="0" borderId="125" xfId="53" applyNumberFormat="1" applyFont="1" applyBorder="1" applyAlignment="1" applyProtection="1">
      <alignment horizontal="right"/>
      <protection locked="0"/>
    </xf>
    <xf numFmtId="37" fontId="37" fillId="0" borderId="125" xfId="40" applyNumberFormat="1" applyFont="1" applyBorder="1" applyAlignment="1">
      <alignment horizontal="right"/>
      <protection locked="0"/>
    </xf>
    <xf numFmtId="0" fontId="37" fillId="0" borderId="125" xfId="40" applyFont="1" applyBorder="1" applyAlignment="1">
      <alignment horizontal="left" wrapText="1"/>
      <protection locked="0"/>
    </xf>
    <xf numFmtId="167" fontId="37" fillId="0" borderId="125" xfId="40" applyNumberFormat="1" applyFont="1" applyBorder="1" applyAlignment="1">
      <alignment horizontal="right"/>
      <protection locked="0"/>
    </xf>
    <xf numFmtId="4" fontId="37" fillId="0" borderId="125" xfId="40" applyNumberFormat="1" applyFont="1" applyBorder="1" applyAlignment="1">
      <alignment horizontal="right"/>
      <protection locked="0"/>
    </xf>
    <xf numFmtId="0" fontId="67" fillId="0" borderId="125" xfId="40" applyBorder="1" applyAlignment="1">
      <alignment horizontal="left" vertical="top"/>
      <protection locked="0"/>
    </xf>
    <xf numFmtId="37" fontId="85" fillId="0" borderId="125" xfId="40" applyNumberFormat="1" applyFont="1" applyBorder="1" applyAlignment="1">
      <alignment horizontal="right"/>
      <protection locked="0"/>
    </xf>
    <xf numFmtId="49" fontId="85" fillId="0" borderId="125" xfId="40" applyNumberFormat="1" applyFont="1" applyBorder="1" applyAlignment="1">
      <alignment horizontal="left" wrapText="1"/>
      <protection locked="0"/>
    </xf>
    <xf numFmtId="0" fontId="122" fillId="0" borderId="125" xfId="40" applyFont="1" applyBorder="1" applyAlignment="1">
      <alignment horizontal="right" wrapText="1"/>
      <protection locked="0"/>
    </xf>
    <xf numFmtId="167" fontId="66" fillId="0" borderId="125" xfId="40" applyNumberFormat="1" applyFont="1" applyBorder="1" applyAlignment="1">
      <alignment horizontal="right"/>
      <protection locked="0"/>
    </xf>
    <xf numFmtId="4" fontId="8" fillId="0" borderId="125" xfId="40" applyNumberFormat="1" applyFont="1" applyBorder="1" applyAlignment="1">
      <alignment horizontal="right"/>
      <protection locked="0"/>
    </xf>
    <xf numFmtId="0" fontId="94" fillId="0" borderId="125" xfId="40" applyFont="1" applyBorder="1" applyAlignment="1">
      <alignment horizontal="right" vertical="center"/>
      <protection locked="0"/>
    </xf>
    <xf numFmtId="37" fontId="72" fillId="0" borderId="125" xfId="3" applyNumberFormat="1" applyFont="1" applyBorder="1" applyAlignment="1" applyProtection="1">
      <alignment horizontal="right"/>
      <protection locked="0"/>
    </xf>
    <xf numFmtId="9" fontId="72" fillId="0" borderId="125" xfId="3" applyNumberFormat="1" applyFont="1" applyBorder="1" applyAlignment="1" applyProtection="1">
      <alignment horizontal="left" wrapText="1"/>
      <protection locked="0"/>
    </xf>
    <xf numFmtId="167" fontId="28" fillId="0" borderId="125" xfId="3" applyNumberFormat="1" applyFont="1" applyBorder="1" applyAlignment="1" applyProtection="1">
      <alignment horizontal="right"/>
      <protection locked="0"/>
    </xf>
    <xf numFmtId="4" fontId="72" fillId="5" borderId="125" xfId="3" applyNumberFormat="1" applyFont="1" applyFill="1" applyBorder="1" applyAlignment="1" applyProtection="1">
      <alignment horizontal="right"/>
      <protection locked="0"/>
    </xf>
    <xf numFmtId="37" fontId="137" fillId="0" borderId="125" xfId="40" applyNumberFormat="1" applyFont="1" applyBorder="1" applyAlignment="1">
      <alignment horizontal="right"/>
      <protection locked="0"/>
    </xf>
    <xf numFmtId="0" fontId="137" fillId="0" borderId="125" xfId="3" applyFont="1" applyBorder="1" applyAlignment="1" applyProtection="1">
      <alignment horizontal="left" wrapText="1"/>
      <protection locked="0"/>
    </xf>
    <xf numFmtId="0" fontId="57" fillId="0" borderId="125" xfId="40" applyFont="1" applyBorder="1" applyAlignment="1">
      <alignment horizontal="left" wrapText="1"/>
      <protection locked="0"/>
    </xf>
    <xf numFmtId="0" fontId="137" fillId="0" borderId="125" xfId="40" applyFont="1" applyBorder="1" applyAlignment="1">
      <alignment horizontal="left" wrapText="1"/>
      <protection locked="0"/>
    </xf>
    <xf numFmtId="167" fontId="57" fillId="0" borderId="125" xfId="40" applyNumberFormat="1" applyFont="1" applyBorder="1" applyAlignment="1">
      <alignment horizontal="right"/>
      <protection locked="0"/>
    </xf>
    <xf numFmtId="4" fontId="57" fillId="5" borderId="125" xfId="40" applyNumberFormat="1" applyFont="1" applyFill="1" applyBorder="1" applyAlignment="1">
      <alignment horizontal="right"/>
      <protection locked="0"/>
    </xf>
    <xf numFmtId="39" fontId="137" fillId="0" borderId="125" xfId="12" applyNumberFormat="1" applyFont="1" applyBorder="1" applyAlignment="1">
      <alignment horizontal="center"/>
      <protection locked="0"/>
    </xf>
    <xf numFmtId="37" fontId="72" fillId="0" borderId="125" xfId="40" applyNumberFormat="1" applyFont="1" applyBorder="1" applyAlignment="1">
      <alignment horizontal="right"/>
      <protection locked="0"/>
    </xf>
    <xf numFmtId="0" fontId="96" fillId="0" borderId="125" xfId="40" applyFont="1" applyBorder="1" applyAlignment="1">
      <alignment horizontal="left" wrapText="1"/>
      <protection locked="0"/>
    </xf>
    <xf numFmtId="0" fontId="72" fillId="0" borderId="125" xfId="40" applyFont="1" applyBorder="1" applyAlignment="1">
      <alignment horizontal="left" wrapText="1"/>
      <protection locked="0"/>
    </xf>
    <xf numFmtId="167" fontId="28" fillId="0" borderId="125" xfId="40" applyNumberFormat="1" applyFont="1" applyBorder="1" applyAlignment="1">
      <alignment horizontal="right"/>
      <protection locked="0"/>
    </xf>
    <xf numFmtId="4" fontId="72" fillId="5" borderId="125" xfId="40" applyNumberFormat="1" applyFont="1" applyFill="1" applyBorder="1" applyAlignment="1">
      <alignment horizontal="right"/>
      <protection locked="0"/>
    </xf>
    <xf numFmtId="37" fontId="8" fillId="0" borderId="125" xfId="40" applyNumberFormat="1" applyFont="1" applyBorder="1" applyAlignment="1">
      <alignment horizontal="right"/>
      <protection locked="0"/>
    </xf>
    <xf numFmtId="0" fontId="8" fillId="0" borderId="125" xfId="40" applyFont="1" applyBorder="1" applyAlignment="1">
      <alignment horizontal="right" vertical="center"/>
      <protection locked="0"/>
    </xf>
    <xf numFmtId="2" fontId="28" fillId="0" borderId="125" xfId="40" applyNumberFormat="1" applyFont="1" applyBorder="1" applyAlignment="1">
      <alignment horizontal="left"/>
      <protection locked="0"/>
    </xf>
    <xf numFmtId="37" fontId="37" fillId="0" borderId="125" xfId="45" applyNumberFormat="1" applyFont="1" applyBorder="1" applyAlignment="1">
      <alignment horizontal="right"/>
      <protection locked="0"/>
    </xf>
    <xf numFmtId="0" fontId="28" fillId="0" borderId="125" xfId="44" applyFont="1" applyBorder="1" applyAlignment="1">
      <alignment horizontal="left" wrapText="1"/>
      <protection locked="0"/>
    </xf>
    <xf numFmtId="49" fontId="8" fillId="0" borderId="125" xfId="45" applyNumberFormat="1" applyFont="1" applyBorder="1" applyAlignment="1">
      <alignment horizontal="center"/>
      <protection locked="0"/>
    </xf>
    <xf numFmtId="0" fontId="38" fillId="0" borderId="125" xfId="53" applyFont="1" applyBorder="1" applyAlignment="1" applyProtection="1">
      <alignment horizontal="left" vertical="top"/>
      <protection locked="0"/>
    </xf>
    <xf numFmtId="1" fontId="195" fillId="0" borderId="125" xfId="53" applyNumberFormat="1" applyFont="1" applyBorder="1" applyAlignment="1" applyProtection="1">
      <alignment horizontal="right"/>
      <protection locked="0"/>
    </xf>
    <xf numFmtId="49" fontId="195" fillId="0" borderId="125" xfId="53" applyNumberFormat="1" applyFont="1" applyBorder="1" applyAlignment="1" applyProtection="1">
      <alignment horizontal="left" wrapText="1"/>
      <protection locked="0"/>
    </xf>
    <xf numFmtId="0" fontId="195" fillId="0" borderId="125" xfId="53" applyFont="1" applyBorder="1" applyAlignment="1" applyProtection="1">
      <alignment horizontal="left" wrapText="1"/>
      <protection locked="0"/>
    </xf>
    <xf numFmtId="167" fontId="28" fillId="0" borderId="125" xfId="49" applyNumberFormat="1" applyFont="1" applyBorder="1" applyAlignment="1" applyProtection="1">
      <alignment horizontal="right"/>
      <protection locked="0"/>
    </xf>
    <xf numFmtId="0" fontId="8" fillId="0" borderId="125" xfId="45" applyFont="1" applyBorder="1" applyAlignment="1" applyProtection="1">
      <alignment horizontal="left" wrapText="1"/>
    </xf>
    <xf numFmtId="0" fontId="8" fillId="0" borderId="125" xfId="45" applyFont="1" applyBorder="1" applyAlignment="1" applyProtection="1">
      <alignment horizontal="left" shrinkToFit="1"/>
    </xf>
    <xf numFmtId="39" fontId="37" fillId="0" borderId="125" xfId="45" applyNumberFormat="1" applyFont="1" applyBorder="1" applyAlignment="1">
      <alignment horizontal="center"/>
      <protection locked="0"/>
    </xf>
    <xf numFmtId="1" fontId="8" fillId="0" borderId="125" xfId="53" applyNumberFormat="1" applyFont="1" applyBorder="1" applyAlignment="1" applyProtection="1">
      <alignment horizontal="right" wrapText="1"/>
      <protection locked="0"/>
    </xf>
    <xf numFmtId="39" fontId="8" fillId="0" borderId="125" xfId="53" applyNumberFormat="1" applyFont="1" applyBorder="1" applyAlignment="1" applyProtection="1">
      <alignment horizontal="center"/>
      <protection locked="0"/>
    </xf>
    <xf numFmtId="37" fontId="37" fillId="0" borderId="125" xfId="49" applyNumberFormat="1" applyFont="1" applyBorder="1" applyAlignment="1" applyProtection="1">
      <alignment horizontal="right"/>
      <protection locked="0"/>
    </xf>
    <xf numFmtId="0" fontId="37" fillId="0" borderId="125" xfId="49" applyFont="1" applyBorder="1" applyAlignment="1" applyProtection="1">
      <alignment horizontal="left" wrapText="1"/>
      <protection locked="0"/>
    </xf>
    <xf numFmtId="167" fontId="37" fillId="0" borderId="125" xfId="49" applyNumberFormat="1" applyFont="1" applyBorder="1" applyAlignment="1" applyProtection="1">
      <alignment horizontal="right"/>
      <protection locked="0"/>
    </xf>
    <xf numFmtId="39" fontId="37" fillId="0" borderId="125" xfId="49" applyNumberFormat="1" applyFont="1" applyBorder="1" applyAlignment="1" applyProtection="1">
      <alignment horizontal="right"/>
      <protection locked="0"/>
    </xf>
    <xf numFmtId="0" fontId="38" fillId="0" borderId="125" xfId="49" applyBorder="1" applyAlignment="1" applyProtection="1">
      <alignment horizontal="left" vertical="top"/>
      <protection locked="0"/>
    </xf>
    <xf numFmtId="1" fontId="8" fillId="0" borderId="125" xfId="73" applyNumberFormat="1" applyFont="1" applyBorder="1" applyAlignment="1">
      <alignment horizontal="right"/>
      <protection locked="0"/>
    </xf>
    <xf numFmtId="4" fontId="8" fillId="0" borderId="129" xfId="80" applyNumberFormat="1" applyFont="1" applyBorder="1" applyAlignment="1">
      <alignment horizontal="right"/>
      <protection locked="0"/>
    </xf>
    <xf numFmtId="39" fontId="8" fillId="0" borderId="129" xfId="80" applyNumberFormat="1" applyFont="1" applyBorder="1" applyAlignment="1">
      <alignment horizontal="center"/>
      <protection locked="0"/>
    </xf>
    <xf numFmtId="0" fontId="8" fillId="0" borderId="129" xfId="80" applyFont="1" applyBorder="1" applyAlignment="1">
      <alignment horizontal="left" wrapText="1"/>
      <protection locked="0"/>
    </xf>
    <xf numFmtId="0" fontId="8" fillId="0" borderId="129" xfId="82" applyFont="1" applyBorder="1" applyAlignment="1" applyProtection="1">
      <alignment horizontal="left" wrapText="1"/>
    </xf>
    <xf numFmtId="1" fontId="8" fillId="0" borderId="129" xfId="80" applyNumberFormat="1" applyFont="1" applyBorder="1" applyAlignment="1">
      <alignment horizontal="right"/>
      <protection locked="0"/>
    </xf>
    <xf numFmtId="0" fontId="9" fillId="0" borderId="129" xfId="80" applyFont="1" applyBorder="1" applyAlignment="1" applyProtection="1"/>
    <xf numFmtId="0" fontId="28" fillId="0" borderId="129" xfId="82" applyFont="1" applyBorder="1" applyAlignment="1">
      <alignment horizontal="left" wrapText="1"/>
      <protection locked="0"/>
    </xf>
    <xf numFmtId="167" fontId="28" fillId="0" borderId="129" xfId="82" applyNumberFormat="1" applyFont="1" applyBorder="1" applyAlignment="1">
      <alignment horizontal="right"/>
      <protection locked="0"/>
    </xf>
    <xf numFmtId="37" fontId="8" fillId="0" borderId="129" xfId="82" applyNumberFormat="1" applyFont="1" applyBorder="1" applyAlignment="1">
      <alignment horizontal="right"/>
      <protection locked="0"/>
    </xf>
    <xf numFmtId="0" fontId="8" fillId="0" borderId="129" xfId="82" applyFont="1" applyBorder="1" applyAlignment="1">
      <alignment horizontal="left" wrapText="1"/>
      <protection locked="0"/>
    </xf>
    <xf numFmtId="4" fontId="8" fillId="0" borderId="129" xfId="82" applyNumberFormat="1" applyFont="1" applyBorder="1" applyAlignment="1">
      <alignment horizontal="right"/>
      <protection locked="0"/>
    </xf>
    <xf numFmtId="167" fontId="8" fillId="0" borderId="129" xfId="80" applyNumberFormat="1" applyFont="1" applyBorder="1" applyAlignment="1">
      <alignment horizontal="right" wrapText="1"/>
      <protection locked="0"/>
    </xf>
    <xf numFmtId="49" fontId="49" fillId="0" borderId="129" xfId="31" applyNumberFormat="1" applyFont="1" applyBorder="1" applyAlignment="1">
      <alignment horizontal="left"/>
    </xf>
    <xf numFmtId="0" fontId="8" fillId="0" borderId="129" xfId="31" applyFont="1" applyBorder="1" applyAlignment="1" applyProtection="1">
      <alignment horizontal="left" wrapText="1"/>
      <protection locked="0"/>
    </xf>
    <xf numFmtId="0" fontId="74" fillId="0" borderId="129" xfId="80" applyFont="1" applyBorder="1" applyAlignment="1" applyProtection="1">
      <alignment vertical="center" wrapText="1"/>
    </xf>
    <xf numFmtId="4" fontId="72" fillId="0" borderId="129" xfId="80" applyNumberFormat="1" applyFont="1" applyBorder="1" applyAlignment="1">
      <alignment horizontal="right" wrapText="1"/>
      <protection locked="0"/>
    </xf>
    <xf numFmtId="1" fontId="37" fillId="0" borderId="125" xfId="49" applyNumberFormat="1" applyFont="1" applyBorder="1" applyAlignment="1" applyProtection="1">
      <alignment horizontal="right"/>
      <protection locked="0"/>
    </xf>
    <xf numFmtId="4" fontId="37" fillId="0" borderId="125" xfId="49" applyNumberFormat="1" applyFont="1" applyBorder="1" applyAlignment="1" applyProtection="1">
      <alignment horizontal="right"/>
      <protection locked="0"/>
    </xf>
    <xf numFmtId="39" fontId="8" fillId="0" borderId="125" xfId="49" applyNumberFormat="1" applyFont="1" applyBorder="1" applyAlignment="1" applyProtection="1">
      <alignment horizontal="center"/>
      <protection locked="0"/>
    </xf>
    <xf numFmtId="1" fontId="8" fillId="0" borderId="125" xfId="49" applyNumberFormat="1" applyFont="1" applyBorder="1" applyAlignment="1">
      <alignment horizontal="right"/>
    </xf>
    <xf numFmtId="0" fontId="8" fillId="0" borderId="125" xfId="44" applyFont="1" applyBorder="1" applyAlignment="1" applyProtection="1">
      <alignment horizontal="left" wrapText="1"/>
    </xf>
    <xf numFmtId="0" fontId="8" fillId="0" borderId="125" xfId="49" applyFont="1" applyBorder="1" applyAlignment="1">
      <alignment horizontal="left" wrapText="1"/>
    </xf>
    <xf numFmtId="4" fontId="8" fillId="0" borderId="125" xfId="49" applyNumberFormat="1" applyFont="1" applyBorder="1" applyAlignment="1">
      <alignment horizontal="right"/>
    </xf>
    <xf numFmtId="37" fontId="66" fillId="0" borderId="125" xfId="49" applyNumberFormat="1" applyFont="1" applyBorder="1" applyAlignment="1" applyProtection="1">
      <alignment horizontal="right"/>
      <protection locked="0"/>
    </xf>
    <xf numFmtId="0" fontId="66" fillId="0" borderId="125" xfId="49" applyFont="1" applyBorder="1" applyAlignment="1" applyProtection="1">
      <alignment horizontal="left" wrapText="1"/>
      <protection locked="0"/>
    </xf>
    <xf numFmtId="39" fontId="66" fillId="0" borderId="125" xfId="49" applyNumberFormat="1" applyFont="1" applyBorder="1" applyAlignment="1" applyProtection="1">
      <alignment horizontal="right"/>
      <protection locked="0"/>
    </xf>
    <xf numFmtId="167" fontId="66" fillId="0" borderId="125" xfId="49" applyNumberFormat="1" applyFont="1" applyBorder="1" applyAlignment="1" applyProtection="1">
      <alignment horizontal="left" wrapText="1"/>
      <protection locked="0"/>
    </xf>
    <xf numFmtId="0" fontId="38" fillId="0" borderId="125" xfId="49" applyBorder="1" applyAlignment="1" applyProtection="1">
      <alignment horizontal="right" vertical="top"/>
      <protection locked="0"/>
    </xf>
    <xf numFmtId="167" fontId="8" fillId="0" borderId="125" xfId="49" applyNumberFormat="1" applyFont="1" applyBorder="1" applyAlignment="1">
      <alignment horizontal="right"/>
    </xf>
    <xf numFmtId="0" fontId="6" fillId="0" borderId="0" xfId="49" applyFont="1" applyAlignment="1" applyProtection="1">
      <alignment horizontal="left" vertical="center"/>
      <protection locked="0"/>
    </xf>
    <xf numFmtId="0" fontId="6" fillId="0" borderId="0" xfId="49" applyFont="1" applyAlignment="1" applyProtection="1">
      <alignment horizontal="left" vertical="top"/>
      <protection locked="0"/>
    </xf>
    <xf numFmtId="1" fontId="66" fillId="0" borderId="125" xfId="49" applyNumberFormat="1" applyFont="1" applyBorder="1" applyAlignment="1">
      <alignment horizontal="right"/>
    </xf>
    <xf numFmtId="0" fontId="66" fillId="0" borderId="125" xfId="49" applyFont="1" applyBorder="1" applyAlignment="1">
      <alignment horizontal="left" wrapText="1"/>
    </xf>
    <xf numFmtId="0" fontId="28" fillId="0" borderId="125" xfId="49" applyFont="1" applyBorder="1" applyAlignment="1">
      <alignment horizontal="left" wrapText="1"/>
    </xf>
    <xf numFmtId="167" fontId="72" fillId="0" borderId="125" xfId="49" applyNumberFormat="1" applyFont="1" applyBorder="1" applyAlignment="1">
      <alignment horizontal="right"/>
    </xf>
    <xf numFmtId="0" fontId="38" fillId="0" borderId="125" xfId="49" applyBorder="1" applyAlignment="1">
      <alignment horizontal="left" vertical="top"/>
    </xf>
    <xf numFmtId="167" fontId="28" fillId="0" borderId="125" xfId="49" applyNumberFormat="1" applyFont="1" applyBorder="1" applyAlignment="1">
      <alignment horizontal="right"/>
    </xf>
    <xf numFmtId="0" fontId="6" fillId="0" borderId="0" xfId="45" applyFont="1" applyAlignment="1">
      <alignment horizontal="left" vertical="top"/>
      <protection locked="0"/>
    </xf>
    <xf numFmtId="0" fontId="6" fillId="0" borderId="0" xfId="94"/>
    <xf numFmtId="0" fontId="104" fillId="0" borderId="0" xfId="94" applyFont="1" applyAlignment="1" applyProtection="1">
      <alignment horizontal="left" vertical="center"/>
      <protection locked="0"/>
    </xf>
    <xf numFmtId="167" fontId="37" fillId="0" borderId="125" xfId="45" applyNumberFormat="1" applyFont="1" applyBorder="1" applyAlignment="1">
      <alignment horizontal="right"/>
      <protection locked="0"/>
    </xf>
    <xf numFmtId="167" fontId="8" fillId="0" borderId="125" xfId="94" applyNumberFormat="1" applyFont="1" applyBorder="1" applyAlignment="1" applyProtection="1">
      <alignment horizontal="right"/>
      <protection locked="0"/>
    </xf>
    <xf numFmtId="1" fontId="8" fillId="0" borderId="125" xfId="94" applyNumberFormat="1" applyFont="1" applyBorder="1" applyAlignment="1" applyProtection="1">
      <alignment horizontal="right"/>
      <protection locked="0"/>
    </xf>
    <xf numFmtId="49" fontId="8" fillId="0" borderId="125" xfId="94" applyNumberFormat="1" applyFont="1" applyBorder="1" applyAlignment="1" applyProtection="1">
      <alignment horizontal="left" wrapText="1"/>
      <protection locked="0"/>
    </xf>
    <xf numFmtId="0" fontId="8" fillId="0" borderId="125" xfId="94" applyFont="1" applyBorder="1" applyAlignment="1" applyProtection="1">
      <alignment horizontal="left" wrapText="1"/>
      <protection locked="0"/>
    </xf>
    <xf numFmtId="4" fontId="8" fillId="0" borderId="125" xfId="94" applyNumberFormat="1" applyFont="1" applyBorder="1" applyAlignment="1" applyProtection="1">
      <alignment horizontal="right"/>
      <protection locked="0"/>
    </xf>
    <xf numFmtId="4" fontId="76" fillId="0" borderId="0" xfId="94" applyNumberFormat="1" applyFont="1" applyAlignment="1" applyProtection="1">
      <alignment horizontal="center" vertical="center"/>
      <protection locked="0"/>
    </xf>
    <xf numFmtId="4" fontId="77" fillId="0" borderId="0" xfId="94" applyNumberFormat="1" applyFont="1" applyAlignment="1" applyProtection="1">
      <alignment horizontal="center" vertical="center"/>
      <protection locked="0"/>
    </xf>
    <xf numFmtId="0" fontId="6" fillId="0" borderId="0" xfId="94" applyAlignment="1" applyProtection="1">
      <alignment horizontal="left" vertical="top"/>
      <protection locked="0"/>
    </xf>
    <xf numFmtId="0" fontId="28" fillId="0" borderId="125" xfId="94" applyFont="1" applyBorder="1" applyAlignment="1" applyProtection="1">
      <alignment horizontal="left" wrapText="1"/>
      <protection locked="0"/>
    </xf>
    <xf numFmtId="37" fontId="66" fillId="0" borderId="125" xfId="94" applyNumberFormat="1" applyFont="1" applyBorder="1" applyAlignment="1" applyProtection="1">
      <alignment horizontal="right"/>
      <protection locked="0"/>
    </xf>
    <xf numFmtId="49" fontId="66" fillId="0" borderId="125" xfId="94" applyNumberFormat="1" applyFont="1" applyBorder="1" applyAlignment="1" applyProtection="1">
      <alignment horizontal="left" wrapText="1"/>
      <protection locked="0"/>
    </xf>
    <xf numFmtId="0" fontId="66" fillId="0" borderId="125" xfId="94" applyFont="1" applyBorder="1" applyAlignment="1" applyProtection="1">
      <alignment horizontal="left" wrapText="1"/>
      <protection locked="0"/>
    </xf>
    <xf numFmtId="167" fontId="28" fillId="0" borderId="125" xfId="94" applyNumberFormat="1" applyFont="1" applyBorder="1" applyAlignment="1" applyProtection="1">
      <alignment horizontal="right"/>
      <protection locked="0"/>
    </xf>
    <xf numFmtId="0" fontId="6" fillId="0" borderId="125" xfId="94" applyBorder="1" applyAlignment="1" applyProtection="1">
      <alignment horizontal="left" vertical="top"/>
      <protection locked="0"/>
    </xf>
    <xf numFmtId="1" fontId="72" fillId="0" borderId="125" xfId="94" applyNumberFormat="1" applyFont="1" applyBorder="1" applyAlignment="1" applyProtection="1">
      <alignment horizontal="right"/>
      <protection locked="0"/>
    </xf>
    <xf numFmtId="0" fontId="72" fillId="0" borderId="125" xfId="94" applyFont="1" applyBorder="1" applyAlignment="1" applyProtection="1">
      <alignment horizontal="left" wrapText="1"/>
      <protection locked="0"/>
    </xf>
    <xf numFmtId="4" fontId="28" fillId="5" borderId="125" xfId="94" applyNumberFormat="1" applyFont="1" applyFill="1" applyBorder="1" applyAlignment="1" applyProtection="1">
      <alignment horizontal="right"/>
      <protection locked="0"/>
    </xf>
    <xf numFmtId="0" fontId="6" fillId="0" borderId="0" xfId="94" applyAlignment="1" applyProtection="1">
      <alignment horizontal="left" vertical="center"/>
      <protection locked="0"/>
    </xf>
    <xf numFmtId="167" fontId="8" fillId="0" borderId="125" xfId="94" applyNumberFormat="1" applyFont="1" applyBorder="1" applyAlignment="1" applyProtection="1">
      <alignment horizontal="left" wrapText="1"/>
      <protection locked="0"/>
    </xf>
    <xf numFmtId="4" fontId="8" fillId="7" borderId="125" xfId="94" applyNumberFormat="1" applyFont="1" applyFill="1" applyBorder="1" applyAlignment="1" applyProtection="1">
      <alignment horizontal="right"/>
      <protection locked="0"/>
    </xf>
    <xf numFmtId="39" fontId="8" fillId="7" borderId="125" xfId="94" applyNumberFormat="1" applyFont="1" applyFill="1" applyBorder="1" applyAlignment="1" applyProtection="1">
      <alignment horizontal="center"/>
      <protection locked="0"/>
    </xf>
    <xf numFmtId="2" fontId="28" fillId="0" borderId="125" xfId="94" applyNumberFormat="1" applyFont="1" applyBorder="1" applyAlignment="1" applyProtection="1">
      <alignment horizontal="right"/>
      <protection locked="0"/>
    </xf>
    <xf numFmtId="37" fontId="37" fillId="0" borderId="125" xfId="94" applyNumberFormat="1" applyFont="1" applyBorder="1" applyAlignment="1" applyProtection="1">
      <alignment horizontal="right"/>
      <protection locked="0"/>
    </xf>
    <xf numFmtId="0" fontId="37" fillId="0" borderId="125" xfId="94" applyFont="1" applyBorder="1" applyAlignment="1" applyProtection="1">
      <alignment horizontal="left" wrapText="1"/>
      <protection locked="0"/>
    </xf>
    <xf numFmtId="167" fontId="37" fillId="0" borderId="125" xfId="94" applyNumberFormat="1" applyFont="1" applyBorder="1" applyAlignment="1" applyProtection="1">
      <alignment horizontal="right"/>
      <protection locked="0"/>
    </xf>
    <xf numFmtId="39" fontId="37" fillId="0" borderId="125" xfId="94" applyNumberFormat="1" applyFont="1" applyBorder="1" applyAlignment="1" applyProtection="1">
      <alignment horizontal="right"/>
      <protection locked="0"/>
    </xf>
    <xf numFmtId="0" fontId="6" fillId="0" borderId="0" xfId="94" applyAlignment="1" applyProtection="1">
      <alignment horizontal="right" vertical="top"/>
      <protection locked="0"/>
    </xf>
    <xf numFmtId="167" fontId="72" fillId="0" borderId="125" xfId="53" applyNumberFormat="1" applyFont="1" applyBorder="1" applyAlignment="1" applyProtection="1">
      <alignment horizontal="right"/>
      <protection locked="0"/>
    </xf>
    <xf numFmtId="1" fontId="72" fillId="0" borderId="125" xfId="53" applyNumberFormat="1" applyFont="1" applyBorder="1" applyAlignment="1" applyProtection="1">
      <alignment horizontal="right"/>
      <protection locked="0"/>
    </xf>
    <xf numFmtId="49" fontId="72" fillId="0" borderId="125" xfId="53" applyNumberFormat="1" applyFont="1" applyBorder="1" applyAlignment="1" applyProtection="1">
      <alignment horizontal="left" wrapText="1"/>
      <protection locked="0"/>
    </xf>
    <xf numFmtId="0" fontId="72" fillId="0" borderId="125" xfId="53" applyFont="1" applyBorder="1" applyAlignment="1" applyProtection="1">
      <alignment horizontal="left" wrapText="1"/>
      <protection locked="0"/>
    </xf>
    <xf numFmtId="4" fontId="72" fillId="0" borderId="125" xfId="53" applyNumberFormat="1" applyFont="1" applyBorder="1" applyAlignment="1" applyProtection="1">
      <alignment horizontal="right"/>
      <protection locked="0"/>
    </xf>
    <xf numFmtId="39" fontId="72" fillId="0" borderId="125" xfId="95" applyNumberFormat="1" applyFont="1" applyBorder="1" applyAlignment="1" applyProtection="1">
      <alignment horizontal="center"/>
      <protection locked="0"/>
    </xf>
    <xf numFmtId="1" fontId="66" fillId="0" borderId="125" xfId="53" applyNumberFormat="1" applyFont="1" applyBorder="1" applyAlignment="1" applyProtection="1">
      <alignment horizontal="right"/>
      <protection locked="0"/>
    </xf>
    <xf numFmtId="49" fontId="66" fillId="0" borderId="125" xfId="53" applyNumberFormat="1" applyFont="1" applyBorder="1" applyAlignment="1" applyProtection="1">
      <alignment horizontal="left" wrapText="1"/>
      <protection locked="0"/>
    </xf>
    <xf numFmtId="0" fontId="66" fillId="0" borderId="125" xfId="53" applyFont="1" applyBorder="1" applyAlignment="1" applyProtection="1">
      <alignment horizontal="left" wrapText="1"/>
      <protection locked="0"/>
    </xf>
    <xf numFmtId="167" fontId="66" fillId="0" borderId="125" xfId="53" applyNumberFormat="1" applyFont="1" applyBorder="1" applyAlignment="1" applyProtection="1">
      <alignment horizontal="right"/>
      <protection locked="0"/>
    </xf>
    <xf numFmtId="4" fontId="66" fillId="0" borderId="125" xfId="53" applyNumberFormat="1" applyFont="1" applyBorder="1" applyAlignment="1" applyProtection="1">
      <alignment horizontal="right"/>
      <protection locked="0"/>
    </xf>
    <xf numFmtId="167" fontId="8" fillId="0" borderId="125" xfId="53" applyNumberFormat="1" applyFont="1" applyBorder="1" applyProtection="1">
      <protection locked="0"/>
    </xf>
    <xf numFmtId="167" fontId="72" fillId="0" borderId="125" xfId="53" applyNumberFormat="1" applyFont="1" applyBorder="1" applyProtection="1">
      <protection locked="0"/>
    </xf>
    <xf numFmtId="1" fontId="28" fillId="0" borderId="125" xfId="53" applyNumberFormat="1" applyFont="1" applyBorder="1" applyAlignment="1" applyProtection="1">
      <alignment horizontal="right"/>
      <protection locked="0"/>
    </xf>
    <xf numFmtId="49" fontId="28" fillId="0" borderId="125" xfId="53" applyNumberFormat="1" applyFont="1" applyBorder="1" applyAlignment="1" applyProtection="1">
      <alignment horizontal="left" wrapText="1"/>
      <protection locked="0"/>
    </xf>
    <xf numFmtId="0" fontId="134" fillId="0" borderId="125" xfId="53" applyFont="1" applyBorder="1" applyAlignment="1" applyProtection="1">
      <alignment horizontal="center" vertical="center" wrapText="1"/>
      <protection locked="0"/>
    </xf>
    <xf numFmtId="4" fontId="28" fillId="0" borderId="125" xfId="53" applyNumberFormat="1" applyFont="1" applyBorder="1" applyAlignment="1" applyProtection="1">
      <alignment horizontal="right"/>
      <protection locked="0"/>
    </xf>
    <xf numFmtId="0" fontId="10" fillId="0" borderId="125" xfId="53" applyBorder="1" applyAlignment="1" applyProtection="1">
      <alignment horizontal="center" vertical="top"/>
      <protection locked="0"/>
    </xf>
    <xf numFmtId="0" fontId="72" fillId="0" borderId="125" xfId="44" applyFont="1" applyBorder="1" applyAlignment="1">
      <alignment horizontal="left" wrapText="1"/>
      <protection locked="0"/>
    </xf>
    <xf numFmtId="37" fontId="28" fillId="0" borderId="125" xfId="49" applyNumberFormat="1" applyFont="1" applyBorder="1" applyAlignment="1" applyProtection="1">
      <alignment horizontal="right"/>
      <protection locked="0"/>
    </xf>
    <xf numFmtId="39" fontId="28" fillId="0" borderId="125" xfId="49" applyNumberFormat="1" applyFont="1" applyBorder="1" applyAlignment="1" applyProtection="1">
      <alignment horizontal="right"/>
      <protection locked="0"/>
    </xf>
    <xf numFmtId="0" fontId="38" fillId="0" borderId="125" xfId="49" applyBorder="1" applyAlignment="1" applyProtection="1">
      <alignment horizontal="center" vertical="top"/>
      <protection locked="0"/>
    </xf>
    <xf numFmtId="39" fontId="37" fillId="0" borderId="125" xfId="40" applyNumberFormat="1" applyFont="1" applyBorder="1" applyAlignment="1">
      <alignment horizontal="right"/>
      <protection locked="0"/>
    </xf>
    <xf numFmtId="37" fontId="8" fillId="0" borderId="125" xfId="3" applyNumberFormat="1" applyFont="1" applyBorder="1" applyAlignment="1" applyProtection="1">
      <alignment horizontal="right"/>
      <protection locked="0"/>
    </xf>
    <xf numFmtId="0" fontId="8" fillId="0" borderId="125" xfId="3" applyFont="1" applyBorder="1" applyAlignment="1" applyProtection="1">
      <alignment horizontal="left" wrapText="1"/>
      <protection locked="0"/>
    </xf>
    <xf numFmtId="39" fontId="8" fillId="0" borderId="125" xfId="3" applyNumberFormat="1" applyFont="1" applyBorder="1" applyAlignment="1" applyProtection="1">
      <alignment horizontal="right"/>
      <protection locked="0"/>
    </xf>
    <xf numFmtId="39" fontId="8" fillId="0" borderId="125" xfId="3" applyNumberFormat="1" applyFont="1" applyBorder="1" applyAlignment="1" applyProtection="1">
      <alignment horizontal="center"/>
      <protection locked="0"/>
    </xf>
    <xf numFmtId="37" fontId="96" fillId="0" borderId="125" xfId="94" applyNumberFormat="1" applyFont="1" applyBorder="1" applyAlignment="1" applyProtection="1">
      <alignment horizontal="right"/>
      <protection locked="0"/>
    </xf>
    <xf numFmtId="0" fontId="96" fillId="0" borderId="125" xfId="94" applyFont="1" applyBorder="1" applyAlignment="1" applyProtection="1">
      <alignment horizontal="left" wrapText="1"/>
      <protection locked="0"/>
    </xf>
    <xf numFmtId="167" fontId="28" fillId="0" borderId="125" xfId="94" applyNumberFormat="1" applyFont="1" applyBorder="1" applyAlignment="1" applyProtection="1">
      <alignment horizontal="right" wrapText="1"/>
      <protection locked="0"/>
    </xf>
    <xf numFmtId="39" fontId="96" fillId="0" borderId="125" xfId="94" applyNumberFormat="1" applyFont="1" applyBorder="1" applyAlignment="1" applyProtection="1">
      <alignment horizontal="right"/>
      <protection locked="0"/>
    </xf>
    <xf numFmtId="0" fontId="94" fillId="0" borderId="0" xfId="94" applyFont="1" applyAlignment="1" applyProtection="1">
      <alignment horizontal="left" vertical="top"/>
      <protection locked="0"/>
    </xf>
    <xf numFmtId="0" fontId="6" fillId="0" borderId="0" xfId="94" applyAlignment="1" applyProtection="1">
      <alignment vertical="top"/>
      <protection locked="0"/>
    </xf>
    <xf numFmtId="1" fontId="8" fillId="0" borderId="125" xfId="32" applyNumberFormat="1" applyFont="1" applyBorder="1" applyAlignment="1" applyProtection="1">
      <alignment horizontal="right" wrapText="1"/>
      <protection locked="0"/>
    </xf>
    <xf numFmtId="49" fontId="8" fillId="0" borderId="125" xfId="32" applyNumberFormat="1" applyFont="1" applyBorder="1" applyAlignment="1" applyProtection="1">
      <alignment horizontal="left" wrapText="1"/>
      <protection locked="0"/>
    </xf>
    <xf numFmtId="0" fontId="28" fillId="0" borderId="125" xfId="32" applyFont="1" applyBorder="1" applyAlignment="1" applyProtection="1">
      <alignment horizontal="left" wrapText="1"/>
      <protection locked="0"/>
    </xf>
    <xf numFmtId="0" fontId="28" fillId="0" borderId="125" xfId="83" applyFont="1" applyBorder="1" applyAlignment="1">
      <alignment horizontal="left" wrapText="1"/>
    </xf>
    <xf numFmtId="0" fontId="28" fillId="0" borderId="125" xfId="3" applyFont="1" applyBorder="1" applyAlignment="1" applyProtection="1">
      <alignment horizontal="left" wrapText="1"/>
      <protection locked="0"/>
    </xf>
    <xf numFmtId="4" fontId="28" fillId="0" borderId="125" xfId="32" applyNumberFormat="1" applyFont="1" applyBorder="1" applyAlignment="1" applyProtection="1">
      <alignment horizontal="right"/>
      <protection locked="0"/>
    </xf>
    <xf numFmtId="39" fontId="8" fillId="0" borderId="125" xfId="32" applyNumberFormat="1" applyFont="1" applyBorder="1" applyAlignment="1" applyProtection="1">
      <alignment horizontal="center"/>
      <protection locked="0"/>
    </xf>
    <xf numFmtId="167" fontId="8" fillId="0" borderId="125" xfId="3" applyNumberFormat="1" applyFont="1" applyBorder="1" applyAlignment="1" applyProtection="1">
      <alignment horizontal="right"/>
      <protection locked="0"/>
    </xf>
    <xf numFmtId="0" fontId="10" fillId="0" borderId="125" xfId="53" applyBorder="1" applyAlignment="1" applyProtection="1">
      <alignment horizontal="left" vertical="top"/>
      <protection locked="0"/>
    </xf>
    <xf numFmtId="37" fontId="8" fillId="0" borderId="125" xfId="53" applyNumberFormat="1" applyFont="1" applyBorder="1" applyAlignment="1" applyProtection="1">
      <alignment horizontal="right"/>
      <protection locked="0"/>
    </xf>
    <xf numFmtId="4" fontId="8" fillId="0" borderId="125" xfId="53" applyNumberFormat="1" applyFont="1" applyBorder="1" applyAlignment="1">
      <alignment horizontal="right"/>
    </xf>
    <xf numFmtId="0" fontId="28" fillId="0" borderId="125" xfId="53" applyFont="1" applyBorder="1" applyAlignment="1" applyProtection="1">
      <alignment horizontal="right" wrapText="1"/>
      <protection locked="0"/>
    </xf>
    <xf numFmtId="0" fontId="28" fillId="0" borderId="125" xfId="53" applyFont="1" applyBorder="1" applyAlignment="1">
      <alignment horizontal="left" wrapText="1"/>
    </xf>
    <xf numFmtId="1" fontId="72" fillId="0" borderId="125" xfId="53" applyNumberFormat="1" applyFont="1" applyBorder="1" applyAlignment="1">
      <alignment horizontal="right"/>
    </xf>
    <xf numFmtId="49" fontId="8" fillId="0" borderId="125" xfId="53" applyNumberFormat="1" applyFont="1" applyBorder="1" applyAlignment="1">
      <alignment horizontal="left" wrapText="1"/>
    </xf>
    <xf numFmtId="0" fontId="72" fillId="0" borderId="125" xfId="53" applyFont="1" applyBorder="1" applyAlignment="1" applyProtection="1">
      <alignment horizontal="left"/>
      <protection locked="0"/>
    </xf>
    <xf numFmtId="0" fontId="72" fillId="0" borderId="125" xfId="53" applyFont="1" applyBorder="1" applyAlignment="1">
      <alignment horizontal="left" wrapText="1"/>
    </xf>
    <xf numFmtId="167" fontId="28" fillId="0" borderId="125" xfId="53" applyNumberFormat="1" applyFont="1" applyBorder="1" applyAlignment="1">
      <alignment horizontal="right"/>
    </xf>
    <xf numFmtId="4" fontId="28" fillId="5" borderId="125" xfId="53" applyNumberFormat="1" applyFont="1" applyFill="1" applyBorder="1" applyAlignment="1">
      <alignment horizontal="right"/>
    </xf>
    <xf numFmtId="39" fontId="72" fillId="0" borderId="125" xfId="53" applyNumberFormat="1" applyFont="1" applyBorder="1" applyAlignment="1" applyProtection="1">
      <alignment horizontal="center"/>
      <protection locked="0"/>
    </xf>
    <xf numFmtId="1" fontId="137" fillId="0" borderId="125" xfId="53" applyNumberFormat="1" applyFont="1" applyBorder="1" applyAlignment="1">
      <alignment horizontal="right"/>
    </xf>
    <xf numFmtId="49" fontId="54" fillId="0" borderId="125" xfId="53" applyNumberFormat="1" applyFont="1" applyBorder="1" applyAlignment="1">
      <alignment horizontal="left" wrapText="1"/>
    </xf>
    <xf numFmtId="0" fontId="137" fillId="0" borderId="125" xfId="53" applyFont="1" applyBorder="1" applyAlignment="1" applyProtection="1">
      <alignment horizontal="left"/>
      <protection locked="0"/>
    </xf>
    <xf numFmtId="0" fontId="137" fillId="0" borderId="125" xfId="53" applyFont="1" applyBorder="1" applyAlignment="1" applyProtection="1">
      <alignment horizontal="left" wrapText="1"/>
      <protection locked="0"/>
    </xf>
    <xf numFmtId="0" fontId="137" fillId="0" borderId="125" xfId="53" applyFont="1" applyBorder="1" applyAlignment="1">
      <alignment horizontal="left" wrapText="1"/>
    </xf>
    <xf numFmtId="167" fontId="57" fillId="0" borderId="125" xfId="53" applyNumberFormat="1" applyFont="1" applyBorder="1" applyAlignment="1">
      <alignment horizontal="right"/>
    </xf>
    <xf numFmtId="4" fontId="57" fillId="5" borderId="125" xfId="53" applyNumberFormat="1" applyFont="1" applyFill="1" applyBorder="1" applyAlignment="1">
      <alignment horizontal="right"/>
    </xf>
    <xf numFmtId="39" fontId="137" fillId="0" borderId="125" xfId="53" applyNumberFormat="1" applyFont="1" applyBorder="1" applyAlignment="1" applyProtection="1">
      <alignment horizontal="center"/>
      <protection locked="0"/>
    </xf>
    <xf numFmtId="167" fontId="57" fillId="0" borderId="125" xfId="53" applyNumberFormat="1" applyFont="1" applyBorder="1" applyAlignment="1" applyProtection="1">
      <alignment horizontal="right"/>
      <protection locked="0"/>
    </xf>
    <xf numFmtId="37" fontId="66" fillId="0" borderId="125" xfId="53" applyNumberFormat="1" applyFont="1" applyBorder="1" applyAlignment="1" applyProtection="1">
      <alignment horizontal="right"/>
      <protection locked="0"/>
    </xf>
    <xf numFmtId="167" fontId="99" fillId="0" borderId="125" xfId="53" applyNumberFormat="1" applyFont="1" applyBorder="1" applyAlignment="1" applyProtection="1">
      <alignment horizontal="right" wrapText="1"/>
      <protection locked="0"/>
    </xf>
    <xf numFmtId="0" fontId="6" fillId="0" borderId="125" xfId="53" applyFont="1" applyBorder="1" applyAlignment="1" applyProtection="1">
      <alignment horizontal="left" vertical="top"/>
      <protection locked="0"/>
    </xf>
    <xf numFmtId="49" fontId="8" fillId="0" borderId="125" xfId="53" applyNumberFormat="1" applyFont="1" applyBorder="1" applyAlignment="1" applyProtection="1">
      <alignment horizontal="right" wrapText="1"/>
      <protection locked="0"/>
    </xf>
    <xf numFmtId="0" fontId="66" fillId="0" borderId="125" xfId="53" applyFont="1" applyBorder="1" applyAlignment="1" applyProtection="1">
      <alignment horizontal="left" vertical="center" wrapText="1"/>
      <protection locked="0"/>
    </xf>
    <xf numFmtId="167" fontId="28" fillId="0" borderId="125" xfId="53" applyNumberFormat="1" applyFont="1" applyBorder="1" applyAlignment="1" applyProtection="1">
      <alignment horizontal="right" vertical="center"/>
      <protection locked="0"/>
    </xf>
    <xf numFmtId="0" fontId="67" fillId="0" borderId="125" xfId="40" applyBorder="1" applyAlignment="1">
      <alignment vertical="top"/>
      <protection locked="0"/>
    </xf>
    <xf numFmtId="1" fontId="8" fillId="0" borderId="125" xfId="40" applyNumberFormat="1" applyFont="1" applyBorder="1" applyAlignment="1" applyProtection="1">
      <alignment horizontal="right"/>
    </xf>
    <xf numFmtId="37" fontId="66" fillId="0" borderId="125" xfId="40" applyNumberFormat="1" applyFont="1" applyBorder="1" applyAlignment="1">
      <alignment horizontal="right"/>
      <protection locked="0"/>
    </xf>
    <xf numFmtId="0" fontId="66" fillId="0" borderId="125" xfId="40" applyFont="1" applyBorder="1" applyAlignment="1">
      <alignment horizontal="left" wrapText="1"/>
      <protection locked="0"/>
    </xf>
    <xf numFmtId="39" fontId="66" fillId="0" borderId="125" xfId="40" applyNumberFormat="1" applyFont="1" applyBorder="1" applyAlignment="1">
      <alignment horizontal="right"/>
      <protection locked="0"/>
    </xf>
    <xf numFmtId="0" fontId="48" fillId="0" borderId="125" xfId="3" applyFont="1" applyBorder="1" applyAlignment="1" applyProtection="1">
      <alignment horizontal="left" wrapText="1"/>
      <protection locked="0"/>
    </xf>
    <xf numFmtId="167" fontId="28" fillId="0" borderId="125" xfId="3" applyNumberFormat="1" applyFont="1" applyBorder="1" applyProtection="1">
      <protection locked="0"/>
    </xf>
    <xf numFmtId="39" fontId="48" fillId="0" borderId="125" xfId="3" applyNumberFormat="1" applyFont="1" applyBorder="1" applyAlignment="1" applyProtection="1">
      <alignment horizontal="right"/>
      <protection locked="0"/>
    </xf>
    <xf numFmtId="167" fontId="8" fillId="0" borderId="125" xfId="40" applyNumberFormat="1" applyFont="1" applyBorder="1" applyAlignment="1">
      <alignment horizontal="right"/>
      <protection locked="0"/>
    </xf>
    <xf numFmtId="4" fontId="8" fillId="0" borderId="125" xfId="40" applyNumberFormat="1" applyFont="1" applyBorder="1" applyAlignment="1" applyProtection="1">
      <alignment horizontal="right"/>
    </xf>
    <xf numFmtId="39" fontId="8" fillId="0" borderId="125" xfId="96" applyNumberFormat="1" applyFont="1" applyBorder="1" applyAlignment="1" applyProtection="1">
      <alignment horizontal="center"/>
      <protection locked="0"/>
    </xf>
    <xf numFmtId="39" fontId="8" fillId="0" borderId="125" xfId="96" applyNumberFormat="1" applyFont="1" applyBorder="1" applyAlignment="1" applyProtection="1">
      <alignment horizontal="right"/>
      <protection locked="0"/>
    </xf>
    <xf numFmtId="0" fontId="28" fillId="0" borderId="125" xfId="74" applyFont="1" applyBorder="1" applyAlignment="1">
      <alignment horizontal="left" wrapText="1"/>
      <protection locked="0"/>
    </xf>
    <xf numFmtId="37" fontId="37" fillId="7" borderId="125" xfId="96" applyNumberFormat="1" applyFont="1" applyFill="1" applyBorder="1" applyAlignment="1" applyProtection="1">
      <alignment horizontal="right"/>
      <protection locked="0"/>
    </xf>
    <xf numFmtId="0" fontId="37" fillId="7" borderId="125" xfId="96" applyFont="1" applyFill="1" applyBorder="1" applyAlignment="1" applyProtection="1">
      <alignment horizontal="left" wrapText="1"/>
      <protection locked="0"/>
    </xf>
    <xf numFmtId="167" fontId="37" fillId="7" borderId="125" xfId="96" applyNumberFormat="1" applyFont="1" applyFill="1" applyBorder="1" applyAlignment="1" applyProtection="1">
      <alignment horizontal="right"/>
      <protection locked="0"/>
    </xf>
    <xf numFmtId="39" fontId="122" fillId="7" borderId="125" xfId="96" applyNumberFormat="1" applyFont="1" applyFill="1" applyBorder="1" applyAlignment="1" applyProtection="1">
      <alignment horizontal="right"/>
      <protection locked="0"/>
    </xf>
    <xf numFmtId="0" fontId="6" fillId="0" borderId="125" xfId="96" applyBorder="1" applyAlignment="1" applyProtection="1">
      <alignment vertical="top"/>
      <protection locked="0"/>
    </xf>
    <xf numFmtId="0" fontId="6" fillId="0" borderId="0" xfId="96" applyAlignment="1" applyProtection="1">
      <alignment horizontal="left" vertical="top"/>
      <protection locked="0"/>
    </xf>
    <xf numFmtId="37" fontId="8" fillId="0" borderId="125" xfId="96" applyNumberFormat="1" applyFont="1" applyBorder="1" applyAlignment="1" applyProtection="1">
      <alignment horizontal="right"/>
      <protection locked="0"/>
    </xf>
    <xf numFmtId="0" fontId="8" fillId="0" borderId="125" xfId="96" applyFont="1" applyBorder="1" applyAlignment="1" applyProtection="1">
      <alignment horizontal="left" wrapText="1"/>
      <protection locked="0"/>
    </xf>
    <xf numFmtId="37" fontId="96" fillId="0" borderId="125" xfId="96" applyNumberFormat="1" applyFont="1" applyBorder="1" applyAlignment="1" applyProtection="1">
      <alignment horizontal="right"/>
      <protection locked="0"/>
    </xf>
    <xf numFmtId="0" fontId="96" fillId="0" borderId="125" xfId="96" applyFont="1" applyBorder="1" applyAlignment="1" applyProtection="1">
      <alignment horizontal="left" wrapText="1"/>
      <protection locked="0"/>
    </xf>
    <xf numFmtId="0" fontId="28" fillId="0" borderId="125" xfId="96" applyFont="1" applyBorder="1" applyAlignment="1" applyProtection="1">
      <alignment horizontal="left" wrapText="1"/>
      <protection locked="0"/>
    </xf>
    <xf numFmtId="167" fontId="28" fillId="0" borderId="125" xfId="96" applyNumberFormat="1" applyFont="1" applyBorder="1" applyAlignment="1" applyProtection="1">
      <alignment horizontal="right"/>
      <protection locked="0"/>
    </xf>
    <xf numFmtId="39" fontId="96" fillId="0" borderId="125" xfId="96" applyNumberFormat="1" applyFont="1" applyBorder="1" applyAlignment="1" applyProtection="1">
      <alignment horizontal="right"/>
      <protection locked="0"/>
    </xf>
    <xf numFmtId="0" fontId="11" fillId="0" borderId="125" xfId="96" applyFont="1" applyBorder="1" applyAlignment="1" applyProtection="1">
      <alignment horizontal="center" vertical="top"/>
      <protection locked="0"/>
    </xf>
    <xf numFmtId="37" fontId="72" fillId="0" borderId="125" xfId="96" applyNumberFormat="1" applyFont="1" applyBorder="1" applyAlignment="1" applyProtection="1">
      <alignment horizontal="right"/>
      <protection locked="0"/>
    </xf>
    <xf numFmtId="0" fontId="66" fillId="0" borderId="125" xfId="96" applyFont="1" applyBorder="1" applyAlignment="1" applyProtection="1">
      <alignment horizontal="left" wrapText="1"/>
      <protection locked="0"/>
    </xf>
    <xf numFmtId="0" fontId="72" fillId="0" borderId="125" xfId="96" applyFont="1" applyBorder="1" applyAlignment="1" applyProtection="1">
      <alignment horizontal="left" wrapText="1"/>
      <protection locked="0"/>
    </xf>
    <xf numFmtId="4" fontId="72" fillId="5" borderId="125" xfId="96" applyNumberFormat="1" applyFont="1" applyFill="1" applyBorder="1" applyAlignment="1" applyProtection="1">
      <alignment horizontal="right"/>
      <protection locked="0"/>
    </xf>
    <xf numFmtId="167" fontId="96" fillId="0" borderId="125" xfId="96" applyNumberFormat="1" applyFont="1" applyBorder="1" applyAlignment="1" applyProtection="1">
      <alignment horizontal="right"/>
      <protection locked="0"/>
    </xf>
    <xf numFmtId="39" fontId="11" fillId="0" borderId="125" xfId="96" applyNumberFormat="1" applyFont="1" applyBorder="1" applyAlignment="1" applyProtection="1">
      <alignment horizontal="center" vertical="top"/>
      <protection locked="0"/>
    </xf>
    <xf numFmtId="167" fontId="8" fillId="0" borderId="125" xfId="96" applyNumberFormat="1" applyFont="1" applyBorder="1" applyAlignment="1" applyProtection="1">
      <alignment horizontal="right"/>
      <protection locked="0"/>
    </xf>
    <xf numFmtId="37" fontId="8" fillId="0" borderId="125" xfId="94" applyNumberFormat="1" applyFont="1" applyBorder="1" applyAlignment="1" applyProtection="1">
      <alignment horizontal="right"/>
      <protection locked="0"/>
    </xf>
    <xf numFmtId="39" fontId="8" fillId="0" borderId="125" xfId="94" applyNumberFormat="1" applyFont="1" applyBorder="1" applyAlignment="1" applyProtection="1">
      <alignment horizontal="right"/>
      <protection locked="0"/>
    </xf>
    <xf numFmtId="0" fontId="11" fillId="0" borderId="0" xfId="94" applyFont="1" applyAlignment="1" applyProtection="1">
      <alignment horizontal="left" vertical="top"/>
      <protection locked="0"/>
    </xf>
    <xf numFmtId="0" fontId="11" fillId="0" borderId="125" xfId="94" applyFont="1" applyBorder="1" applyAlignment="1" applyProtection="1">
      <alignment horizontal="center" vertical="top"/>
      <protection locked="0"/>
    </xf>
    <xf numFmtId="167" fontId="99" fillId="0" borderId="125" xfId="94" applyNumberFormat="1" applyFont="1" applyBorder="1" applyAlignment="1" applyProtection="1">
      <alignment horizontal="right"/>
      <protection locked="0"/>
    </xf>
    <xf numFmtId="1" fontId="8" fillId="0" borderId="125" xfId="96" applyNumberFormat="1" applyFont="1" applyBorder="1" applyAlignment="1">
      <alignment horizontal="right"/>
    </xf>
    <xf numFmtId="4" fontId="8" fillId="0" borderId="125" xfId="96" applyNumberFormat="1" applyFont="1" applyBorder="1" applyAlignment="1">
      <alignment horizontal="right"/>
    </xf>
    <xf numFmtId="0" fontId="6" fillId="7" borderId="0" xfId="96" applyFill="1" applyAlignment="1" applyProtection="1">
      <alignment horizontal="left" vertical="top"/>
      <protection locked="0"/>
    </xf>
    <xf numFmtId="0" fontId="11" fillId="0" borderId="0" xfId="96" applyFont="1" applyAlignment="1" applyProtection="1">
      <alignment horizontal="left" vertical="top"/>
      <protection locked="0"/>
    </xf>
    <xf numFmtId="0" fontId="11" fillId="7" borderId="0" xfId="96" applyFont="1" applyFill="1" applyAlignment="1" applyProtection="1">
      <alignment horizontal="left" vertical="top"/>
      <protection locked="0"/>
    </xf>
    <xf numFmtId="37" fontId="66" fillId="0" borderId="125" xfId="96" applyNumberFormat="1" applyFont="1" applyBorder="1" applyAlignment="1" applyProtection="1">
      <alignment horizontal="right"/>
      <protection locked="0"/>
    </xf>
    <xf numFmtId="39" fontId="66" fillId="0" borderId="125" xfId="96" applyNumberFormat="1" applyFont="1" applyBorder="1" applyAlignment="1" applyProtection="1">
      <alignment horizontal="right"/>
      <protection locked="0"/>
    </xf>
    <xf numFmtId="0" fontId="6" fillId="0" borderId="125" xfId="96" applyBorder="1" applyAlignment="1" applyProtection="1">
      <alignment horizontal="left" vertical="top"/>
      <protection locked="0"/>
    </xf>
    <xf numFmtId="173" fontId="8" fillId="0" borderId="125" xfId="83" applyNumberFormat="1" applyFont="1" applyBorder="1" applyAlignment="1">
      <alignment horizontal="right"/>
    </xf>
    <xf numFmtId="37" fontId="8" fillId="0" borderId="125" xfId="83" applyNumberFormat="1" applyFont="1" applyBorder="1" applyAlignment="1">
      <alignment horizontal="right"/>
    </xf>
    <xf numFmtId="0" fontId="37" fillId="0" borderId="125" xfId="83" applyFont="1" applyBorder="1" applyAlignment="1">
      <alignment horizontal="left" wrapText="1"/>
    </xf>
    <xf numFmtId="0" fontId="8" fillId="0" borderId="125" xfId="83" applyFont="1" applyBorder="1" applyAlignment="1">
      <alignment horizontal="left" wrapText="1"/>
    </xf>
    <xf numFmtId="167" fontId="66" fillId="0" borderId="125" xfId="83" applyNumberFormat="1" applyFont="1" applyBorder="1" applyAlignment="1">
      <alignment horizontal="right" wrapText="1"/>
    </xf>
    <xf numFmtId="39" fontId="96" fillId="0" borderId="125" xfId="83" applyNumberFormat="1" applyFont="1" applyBorder="1" applyAlignment="1">
      <alignment horizontal="right"/>
    </xf>
    <xf numFmtId="0" fontId="94" fillId="0" borderId="125" xfId="83" applyFont="1" applyBorder="1" applyAlignment="1">
      <alignment horizontal="left" vertical="top"/>
    </xf>
    <xf numFmtId="1" fontId="8" fillId="0" borderId="125" xfId="63" applyNumberFormat="1" applyFont="1" applyBorder="1" applyAlignment="1">
      <alignment horizontal="right"/>
    </xf>
    <xf numFmtId="49" fontId="8" fillId="0" borderId="125" xfId="63" applyNumberFormat="1" applyFont="1" applyBorder="1" applyAlignment="1">
      <alignment horizontal="left" wrapText="1"/>
    </xf>
    <xf numFmtId="49" fontId="9" fillId="0" borderId="125" xfId="21" applyNumberFormat="1" applyFont="1" applyBorder="1" applyAlignment="1">
      <alignment horizontal="left"/>
    </xf>
    <xf numFmtId="0" fontId="8" fillId="0" borderId="125" xfId="63" applyFont="1" applyBorder="1" applyAlignment="1">
      <alignment horizontal="left" wrapText="1"/>
    </xf>
    <xf numFmtId="4" fontId="8" fillId="0" borderId="125" xfId="83" applyNumberFormat="1" applyFont="1" applyBorder="1" applyAlignment="1">
      <alignment horizontal="right"/>
    </xf>
    <xf numFmtId="39" fontId="8" fillId="0" borderId="125" xfId="83" applyNumberFormat="1" applyFont="1" applyBorder="1" applyAlignment="1">
      <alignment horizontal="center"/>
    </xf>
    <xf numFmtId="1" fontId="28" fillId="0" borderId="125" xfId="8" applyNumberFormat="1" applyFont="1" applyBorder="1" applyAlignment="1" applyProtection="1">
      <alignment horizontal="right"/>
      <protection locked="0"/>
    </xf>
    <xf numFmtId="0" fontId="28" fillId="0" borderId="125" xfId="8" applyFont="1" applyBorder="1" applyAlignment="1" applyProtection="1">
      <alignment horizontal="left" wrapText="1"/>
      <protection locked="0"/>
    </xf>
    <xf numFmtId="167" fontId="28" fillId="0" borderId="125" xfId="8" applyNumberFormat="1" applyFont="1" applyBorder="1" applyAlignment="1" applyProtection="1">
      <alignment horizontal="right"/>
      <protection locked="0"/>
    </xf>
    <xf numFmtId="4" fontId="28" fillId="0" borderId="125" xfId="8" applyNumberFormat="1" applyFont="1" applyBorder="1" applyAlignment="1" applyProtection="1">
      <alignment horizontal="right"/>
      <protection locked="0"/>
    </xf>
    <xf numFmtId="1" fontId="28" fillId="0" borderId="125" xfId="63" applyNumberFormat="1" applyFont="1" applyBorder="1" applyAlignment="1">
      <alignment horizontal="right"/>
    </xf>
    <xf numFmtId="0" fontId="28" fillId="0" borderId="125" xfId="63" applyFont="1" applyBorder="1" applyAlignment="1">
      <alignment horizontal="left" wrapText="1"/>
    </xf>
    <xf numFmtId="0" fontId="72" fillId="0" borderId="125" xfId="63" applyFont="1" applyBorder="1" applyAlignment="1">
      <alignment horizontal="left" wrapText="1"/>
    </xf>
    <xf numFmtId="167" fontId="28" fillId="0" borderId="125" xfId="63" applyNumberFormat="1" applyFont="1" applyBorder="1" applyAlignment="1">
      <alignment horizontal="right" wrapText="1"/>
    </xf>
    <xf numFmtId="4" fontId="8" fillId="0" borderId="125" xfId="63" applyNumberFormat="1" applyFont="1" applyBorder="1" applyAlignment="1">
      <alignment horizontal="right"/>
    </xf>
    <xf numFmtId="0" fontId="53" fillId="0" borderId="125" xfId="63" applyFont="1" applyBorder="1" applyAlignment="1">
      <alignment horizontal="left" vertical="top"/>
    </xf>
    <xf numFmtId="37" fontId="28" fillId="0" borderId="125" xfId="63" applyNumberFormat="1" applyFont="1" applyBorder="1" applyAlignment="1">
      <alignment horizontal="right"/>
    </xf>
    <xf numFmtId="167" fontId="28" fillId="0" borderId="125" xfId="63" applyNumberFormat="1" applyFont="1" applyBorder="1" applyAlignment="1">
      <alignment horizontal="right"/>
    </xf>
    <xf numFmtId="37" fontId="28" fillId="0" borderId="125" xfId="94" applyNumberFormat="1" applyFont="1" applyBorder="1" applyAlignment="1" applyProtection="1">
      <alignment horizontal="right"/>
      <protection locked="0"/>
    </xf>
    <xf numFmtId="39" fontId="28" fillId="0" borderId="125" xfId="94" applyNumberFormat="1" applyFont="1" applyBorder="1" applyAlignment="1" applyProtection="1">
      <alignment horizontal="right"/>
      <protection locked="0"/>
    </xf>
    <xf numFmtId="0" fontId="53" fillId="0" borderId="125" xfId="94" applyFont="1" applyBorder="1" applyAlignment="1" applyProtection="1">
      <alignment horizontal="left" vertical="top"/>
      <protection locked="0"/>
    </xf>
    <xf numFmtId="49" fontId="8" fillId="0" borderId="125" xfId="83" applyNumberFormat="1" applyFont="1" applyBorder="1" applyAlignment="1">
      <alignment horizontal="left" wrapText="1"/>
    </xf>
    <xf numFmtId="167" fontId="8" fillId="0" borderId="125" xfId="83" applyNumberFormat="1" applyFont="1" applyBorder="1" applyAlignment="1">
      <alignment horizontal="right"/>
    </xf>
    <xf numFmtId="39" fontId="8" fillId="0" borderId="129" xfId="40" applyNumberFormat="1" applyFont="1" applyBorder="1" applyAlignment="1">
      <alignment horizontal="right"/>
      <protection locked="0"/>
    </xf>
    <xf numFmtId="39" fontId="8" fillId="0" borderId="125" xfId="83" applyNumberFormat="1" applyFont="1" applyBorder="1" applyAlignment="1">
      <alignment horizontal="right"/>
    </xf>
    <xf numFmtId="37" fontId="66" fillId="0" borderId="125" xfId="83" applyNumberFormat="1" applyFont="1" applyBorder="1" applyAlignment="1">
      <alignment horizontal="right"/>
    </xf>
    <xf numFmtId="0" fontId="66" fillId="0" borderId="125" xfId="83" applyFont="1" applyBorder="1" applyAlignment="1">
      <alignment horizontal="left" wrapText="1"/>
    </xf>
    <xf numFmtId="167" fontId="28" fillId="0" borderId="125" xfId="83" applyNumberFormat="1" applyFont="1" applyBorder="1" applyAlignment="1">
      <alignment horizontal="right"/>
    </xf>
    <xf numFmtId="39" fontId="66" fillId="0" borderId="125" xfId="83" applyNumberFormat="1" applyFont="1" applyBorder="1" applyAlignment="1">
      <alignment horizontal="right"/>
    </xf>
    <xf numFmtId="0" fontId="38" fillId="0" borderId="125" xfId="83" applyBorder="1" applyAlignment="1">
      <alignment horizontal="left" vertical="top"/>
    </xf>
    <xf numFmtId="37" fontId="37" fillId="0" borderId="129" xfId="94" applyNumberFormat="1" applyFont="1" applyBorder="1" applyAlignment="1" applyProtection="1">
      <alignment horizontal="right"/>
      <protection locked="0"/>
    </xf>
    <xf numFmtId="0" fontId="37" fillId="0" borderId="129" xfId="94" applyFont="1" applyBorder="1" applyAlignment="1" applyProtection="1">
      <alignment horizontal="left" wrapText="1"/>
      <protection locked="0"/>
    </xf>
    <xf numFmtId="167" fontId="37" fillId="0" borderId="129" xfId="94" applyNumberFormat="1" applyFont="1" applyBorder="1" applyAlignment="1" applyProtection="1">
      <alignment horizontal="right"/>
      <protection locked="0"/>
    </xf>
    <xf numFmtId="171" fontId="37" fillId="0" borderId="129" xfId="94" applyNumberFormat="1" applyFont="1" applyBorder="1" applyAlignment="1" applyProtection="1">
      <alignment horizontal="right"/>
      <protection locked="0"/>
    </xf>
    <xf numFmtId="0" fontId="6" fillId="0" borderId="129" xfId="94" applyBorder="1" applyAlignment="1" applyProtection="1">
      <alignment horizontal="left" vertical="top"/>
      <protection locked="0"/>
    </xf>
    <xf numFmtId="0" fontId="8" fillId="0" borderId="129" xfId="94" applyFont="1" applyBorder="1" applyAlignment="1" applyProtection="1">
      <alignment horizontal="left" wrapText="1"/>
      <protection locked="0"/>
    </xf>
    <xf numFmtId="0" fontId="49" fillId="0" borderId="129" xfId="94" applyFont="1" applyBorder="1"/>
    <xf numFmtId="39" fontId="8" fillId="0" borderId="129" xfId="94" applyNumberFormat="1" applyFont="1" applyBorder="1" applyAlignment="1" applyProtection="1">
      <alignment horizontal="center"/>
      <protection locked="0"/>
    </xf>
    <xf numFmtId="0" fontId="74" fillId="0" borderId="129" xfId="94" applyFont="1" applyBorder="1"/>
    <xf numFmtId="167" fontId="28" fillId="0" borderId="129" xfId="94" applyNumberFormat="1" applyFont="1" applyBorder="1" applyAlignment="1" applyProtection="1">
      <alignment horizontal="right" wrapText="1"/>
      <protection locked="0"/>
    </xf>
    <xf numFmtId="39" fontId="8" fillId="0" borderId="129" xfId="94" applyNumberFormat="1" applyFont="1" applyBorder="1" applyAlignment="1" applyProtection="1">
      <alignment horizontal="right"/>
      <protection locked="0"/>
    </xf>
    <xf numFmtId="0" fontId="52" fillId="0" borderId="0" xfId="94" applyFont="1" applyAlignment="1" applyProtection="1">
      <alignment horizontal="left" vertical="top"/>
      <protection locked="0"/>
    </xf>
    <xf numFmtId="4" fontId="6" fillId="0" borderId="0" xfId="94" applyNumberFormat="1" applyAlignment="1" applyProtection="1">
      <alignment horizontal="left" vertical="top"/>
      <protection locked="0"/>
    </xf>
    <xf numFmtId="0" fontId="253" fillId="0" borderId="0" xfId="94" applyFont="1" applyAlignment="1" applyProtection="1">
      <alignment horizontal="right" vertical="center"/>
      <protection locked="0"/>
    </xf>
    <xf numFmtId="1" fontId="9" fillId="0" borderId="129" xfId="21" applyNumberFormat="1" applyFont="1" applyBorder="1"/>
    <xf numFmtId="0" fontId="53" fillId="0" borderId="0" xfId="94" applyFont="1" applyAlignment="1" applyProtection="1">
      <alignment horizontal="left" vertical="top"/>
      <protection locked="0"/>
    </xf>
    <xf numFmtId="0" fontId="28" fillId="0" borderId="129" xfId="94" applyFont="1" applyBorder="1" applyAlignment="1" applyProtection="1">
      <alignment horizontal="left" wrapText="1"/>
      <protection locked="0"/>
    </xf>
    <xf numFmtId="167" fontId="28" fillId="0" borderId="129" xfId="94" applyNumberFormat="1" applyFont="1" applyBorder="1" applyAlignment="1" applyProtection="1">
      <alignment horizontal="right"/>
      <protection locked="0"/>
    </xf>
    <xf numFmtId="4" fontId="8" fillId="0" borderId="129" xfId="94" applyNumberFormat="1" applyFont="1" applyBorder="1" applyAlignment="1" applyProtection="1">
      <alignment horizontal="right"/>
      <protection locked="0"/>
    </xf>
    <xf numFmtId="1" fontId="8" fillId="0" borderId="129" xfId="94" applyNumberFormat="1" applyFont="1" applyBorder="1" applyAlignment="1" applyProtection="1">
      <alignment horizontal="right"/>
      <protection locked="0"/>
    </xf>
    <xf numFmtId="167" fontId="53" fillId="0" borderId="129" xfId="94" applyNumberFormat="1" applyFont="1" applyBorder="1" applyAlignment="1" applyProtection="1">
      <alignment horizontal="left" vertical="top"/>
      <protection locked="0"/>
    </xf>
    <xf numFmtId="0" fontId="95" fillId="0" borderId="0" xfId="94" applyFont="1" applyAlignment="1" applyProtection="1">
      <alignment horizontal="right" vertical="top"/>
      <protection locked="0"/>
    </xf>
    <xf numFmtId="0" fontId="148" fillId="0" borderId="0" xfId="94" applyFont="1" applyAlignment="1" applyProtection="1">
      <alignment horizontal="right" vertical="center"/>
      <protection locked="0"/>
    </xf>
    <xf numFmtId="167" fontId="49" fillId="0" borderId="129" xfId="94" applyNumberFormat="1" applyFont="1" applyBorder="1"/>
    <xf numFmtId="4" fontId="53" fillId="0" borderId="0" xfId="94" applyNumberFormat="1" applyFont="1" applyAlignment="1" applyProtection="1">
      <alignment horizontal="left" vertical="top"/>
      <protection locked="0"/>
    </xf>
    <xf numFmtId="167" fontId="53" fillId="0" borderId="0" xfId="94" applyNumberFormat="1" applyFont="1" applyAlignment="1" applyProtection="1">
      <alignment horizontal="left" vertical="top"/>
      <protection locked="0"/>
    </xf>
    <xf numFmtId="37" fontId="8" fillId="0" borderId="129" xfId="94" applyNumberFormat="1" applyFont="1" applyBorder="1" applyAlignment="1" applyProtection="1">
      <alignment horizontal="right"/>
      <protection locked="0"/>
    </xf>
    <xf numFmtId="0" fontId="148" fillId="0" borderId="0" xfId="94" applyFont="1" applyAlignment="1" applyProtection="1">
      <alignment horizontal="left" vertical="center"/>
      <protection locked="0"/>
    </xf>
    <xf numFmtId="0" fontId="53" fillId="0" borderId="0" xfId="94" applyFont="1" applyAlignment="1" applyProtection="1">
      <alignment horizontal="left" vertical="center"/>
      <protection locked="0"/>
    </xf>
    <xf numFmtId="0" fontId="52" fillId="0" borderId="0" xfId="94" applyFont="1" applyAlignment="1" applyProtection="1">
      <alignment horizontal="left" vertical="center"/>
      <protection locked="0"/>
    </xf>
    <xf numFmtId="0" fontId="96" fillId="0" borderId="129" xfId="94" applyFont="1" applyBorder="1" applyAlignment="1" applyProtection="1">
      <alignment horizontal="left" wrapText="1"/>
      <protection locked="0"/>
    </xf>
    <xf numFmtId="0" fontId="114" fillId="0" borderId="0" xfId="94" applyFont="1" applyAlignment="1" applyProtection="1">
      <alignment horizontal="left" vertical="center"/>
      <protection locked="0"/>
    </xf>
    <xf numFmtId="0" fontId="28" fillId="0" borderId="0" xfId="94" applyFont="1" applyAlignment="1" applyProtection="1">
      <alignment horizontal="left" vertical="top"/>
      <protection locked="0"/>
    </xf>
    <xf numFmtId="0" fontId="50" fillId="0" borderId="129" xfId="94" applyFont="1" applyBorder="1" applyAlignment="1" applyProtection="1">
      <alignment horizontal="left" wrapText="1"/>
      <protection locked="0"/>
    </xf>
    <xf numFmtId="167" fontId="50" fillId="0" borderId="129" xfId="94" applyNumberFormat="1" applyFont="1" applyBorder="1" applyAlignment="1" applyProtection="1">
      <alignment horizontal="left" wrapText="1"/>
      <protection locked="0"/>
    </xf>
    <xf numFmtId="167" fontId="96" fillId="0" borderId="129" xfId="94" applyNumberFormat="1" applyFont="1" applyBorder="1" applyAlignment="1" applyProtection="1">
      <alignment horizontal="left" wrapText="1"/>
      <protection locked="0"/>
    </xf>
    <xf numFmtId="0" fontId="74" fillId="0" borderId="129" xfId="94" applyFont="1" applyBorder="1" applyAlignment="1">
      <alignment wrapText="1"/>
    </xf>
    <xf numFmtId="0" fontId="82" fillId="0" borderId="0" xfId="94" applyFont="1" applyAlignment="1" applyProtection="1">
      <alignment horizontal="left" vertical="center"/>
      <protection locked="0"/>
    </xf>
    <xf numFmtId="167" fontId="11" fillId="0" borderId="0" xfId="94" applyNumberFormat="1" applyFont="1" applyAlignment="1" applyProtection="1">
      <alignment horizontal="left" vertical="top"/>
      <protection locked="0"/>
    </xf>
    <xf numFmtId="0" fontId="8" fillId="0" borderId="0" xfId="94" applyFont="1" applyAlignment="1" applyProtection="1">
      <alignment horizontal="left" vertical="top"/>
      <protection locked="0"/>
    </xf>
    <xf numFmtId="0" fontId="11" fillId="7" borderId="0" xfId="94" applyFont="1" applyFill="1" applyAlignment="1" applyProtection="1">
      <alignment horizontal="left" vertical="top"/>
      <protection locked="0"/>
    </xf>
    <xf numFmtId="0" fontId="62" fillId="0" borderId="0" xfId="94" applyFont="1" applyAlignment="1" applyProtection="1">
      <alignment horizontal="right"/>
      <protection locked="0"/>
    </xf>
    <xf numFmtId="171" fontId="8" fillId="0" borderId="125" xfId="94" applyNumberFormat="1" applyFont="1" applyBorder="1" applyAlignment="1" applyProtection="1">
      <alignment horizontal="right"/>
      <protection locked="0"/>
    </xf>
    <xf numFmtId="0" fontId="66" fillId="0" borderId="129" xfId="94" applyFont="1" applyBorder="1" applyAlignment="1" applyProtection="1">
      <alignment horizontal="left" wrapText="1"/>
      <protection locked="0"/>
    </xf>
    <xf numFmtId="2" fontId="8" fillId="0" borderId="129" xfId="94" applyNumberFormat="1" applyFont="1" applyBorder="1" applyAlignment="1" applyProtection="1">
      <alignment horizontal="center"/>
      <protection locked="0"/>
    </xf>
    <xf numFmtId="0" fontId="257" fillId="0" borderId="129" xfId="94" applyFont="1" applyBorder="1" applyAlignment="1">
      <alignment wrapText="1"/>
    </xf>
    <xf numFmtId="0" fontId="82" fillId="0" borderId="0" xfId="94" applyFont="1" applyAlignment="1" applyProtection="1">
      <alignment vertical="center"/>
      <protection locked="0"/>
    </xf>
    <xf numFmtId="167" fontId="8" fillId="0" borderId="129" xfId="94" applyNumberFormat="1" applyFont="1" applyBorder="1" applyAlignment="1" applyProtection="1">
      <alignment horizontal="right"/>
      <protection locked="0"/>
    </xf>
    <xf numFmtId="39" fontId="47" fillId="0" borderId="0" xfId="94" applyNumberFormat="1" applyFont="1" applyAlignment="1" applyProtection="1">
      <alignment horizontal="right" vertical="center"/>
      <protection locked="0"/>
    </xf>
    <xf numFmtId="39" fontId="6" fillId="0" borderId="0" xfId="94" applyNumberFormat="1" applyAlignment="1" applyProtection="1">
      <alignment horizontal="left" vertical="top"/>
      <protection locked="0"/>
    </xf>
    <xf numFmtId="0" fontId="6" fillId="7" borderId="0" xfId="94" applyFill="1" applyAlignment="1" applyProtection="1">
      <alignment horizontal="left" vertical="top"/>
      <protection locked="0"/>
    </xf>
    <xf numFmtId="4" fontId="11" fillId="0" borderId="0" xfId="94" applyNumberFormat="1" applyFont="1" applyAlignment="1" applyProtection="1">
      <alignment horizontal="left" vertical="top"/>
      <protection locked="0"/>
    </xf>
    <xf numFmtId="0" fontId="6" fillId="0" borderId="0" xfId="94" applyAlignment="1">
      <alignment horizontal="left" vertical="top"/>
    </xf>
    <xf numFmtId="37" fontId="37" fillId="7" borderId="125" xfId="49" applyNumberFormat="1" applyFont="1" applyFill="1" applyBorder="1" applyAlignment="1" applyProtection="1">
      <alignment horizontal="right"/>
      <protection locked="0"/>
    </xf>
    <xf numFmtId="0" fontId="37" fillId="7" borderId="125" xfId="49" applyFont="1" applyFill="1" applyBorder="1" applyAlignment="1" applyProtection="1">
      <alignment horizontal="left" wrapText="1"/>
      <protection locked="0"/>
    </xf>
    <xf numFmtId="0" fontId="81" fillId="0" borderId="0" xfId="94" applyFont="1" applyAlignment="1" applyProtection="1">
      <alignment horizontal="left" vertical="center"/>
      <protection locked="0"/>
    </xf>
    <xf numFmtId="0" fontId="72" fillId="0" borderId="129" xfId="94" applyFont="1" applyBorder="1" applyAlignment="1" applyProtection="1">
      <alignment horizontal="left" wrapText="1"/>
      <protection locked="0"/>
    </xf>
    <xf numFmtId="0" fontId="6" fillId="0" borderId="125" xfId="94" applyBorder="1" applyAlignment="1" applyProtection="1">
      <alignment horizontal="center" vertical="top"/>
      <protection locked="0"/>
    </xf>
    <xf numFmtId="39" fontId="73" fillId="0" borderId="129" xfId="94" applyNumberFormat="1" applyFont="1" applyBorder="1" applyAlignment="1" applyProtection="1">
      <alignment horizontal="right"/>
      <protection locked="0"/>
    </xf>
    <xf numFmtId="37" fontId="37" fillId="0" borderId="0" xfId="0" applyNumberFormat="1" applyFont="1" applyAlignment="1">
      <alignment horizontal="right"/>
      <protection locked="0"/>
    </xf>
    <xf numFmtId="167" fontId="37" fillId="0" borderId="0" xfId="0" applyNumberFormat="1" applyFont="1" applyAlignment="1">
      <alignment horizontal="right"/>
      <protection locked="0"/>
    </xf>
    <xf numFmtId="39" fontId="37" fillId="0" borderId="0" xfId="0" applyNumberFormat="1" applyFont="1" applyAlignment="1">
      <alignment horizontal="right"/>
      <protection locked="0"/>
    </xf>
    <xf numFmtId="37" fontId="37" fillId="0" borderId="125" xfId="0" applyNumberFormat="1" applyFont="1" applyBorder="1" applyAlignment="1">
      <alignment horizontal="right"/>
      <protection locked="0"/>
    </xf>
    <xf numFmtId="0" fontId="37" fillId="0" borderId="125" xfId="0" applyFont="1" applyBorder="1" applyAlignment="1">
      <alignment horizontal="left" wrapText="1"/>
      <protection locked="0"/>
    </xf>
    <xf numFmtId="167" fontId="37" fillId="0" borderId="125" xfId="0" applyNumberFormat="1" applyFont="1" applyBorder="1" applyAlignment="1">
      <alignment horizontal="right"/>
      <protection locked="0"/>
    </xf>
    <xf numFmtId="39" fontId="37" fillId="0" borderId="125" xfId="0" applyNumberFormat="1" applyFont="1" applyBorder="1" applyAlignment="1">
      <alignment horizontal="right"/>
      <protection locked="0"/>
    </xf>
    <xf numFmtId="0" fontId="0" fillId="0" borderId="125" xfId="0" applyBorder="1" applyAlignment="1">
      <alignment vertical="top"/>
      <protection locked="0"/>
    </xf>
    <xf numFmtId="37" fontId="8" fillId="0" borderId="125" xfId="0" applyNumberFormat="1" applyFont="1" applyBorder="1" applyAlignment="1">
      <alignment horizontal="right"/>
      <protection locked="0"/>
    </xf>
    <xf numFmtId="0" fontId="8" fillId="0" borderId="125" xfId="68" applyFont="1" applyBorder="1" applyAlignment="1">
      <alignment horizontal="left" wrapText="1"/>
      <protection locked="0"/>
    </xf>
    <xf numFmtId="167" fontId="8" fillId="0" borderId="125" xfId="68" applyNumberFormat="1" applyFont="1" applyBorder="1" applyAlignment="1">
      <alignment horizontal="right"/>
      <protection locked="0"/>
    </xf>
    <xf numFmtId="39" fontId="8" fillId="0" borderId="125" xfId="0" applyNumberFormat="1" applyFont="1" applyBorder="1" applyAlignment="1">
      <alignment horizontal="right"/>
      <protection locked="0"/>
    </xf>
    <xf numFmtId="39" fontId="8" fillId="0" borderId="125" xfId="0" applyNumberFormat="1" applyFont="1" applyBorder="1" applyAlignment="1">
      <alignment horizontal="center"/>
      <protection locked="0"/>
    </xf>
    <xf numFmtId="167" fontId="28" fillId="0" borderId="125" xfId="0" applyNumberFormat="1" applyFont="1" applyBorder="1" applyAlignment="1">
      <alignment horizontal="right"/>
      <protection locked="0"/>
    </xf>
    <xf numFmtId="37" fontId="96" fillId="0" borderId="125" xfId="0" applyNumberFormat="1" applyFont="1" applyBorder="1" applyAlignment="1">
      <alignment horizontal="right"/>
      <protection locked="0"/>
    </xf>
    <xf numFmtId="0" fontId="96" fillId="0" borderId="125" xfId="0" applyFont="1" applyBorder="1" applyAlignment="1">
      <alignment horizontal="left" wrapText="1"/>
      <protection locked="0"/>
    </xf>
    <xf numFmtId="0" fontId="28" fillId="0" borderId="125" xfId="13" applyFont="1" applyBorder="1" applyAlignment="1">
      <alignment horizontal="left" vertical="center" wrapText="1"/>
      <protection locked="0"/>
    </xf>
    <xf numFmtId="39" fontId="96"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8" fillId="0" borderId="125" xfId="0" applyFont="1" applyBorder="1" applyAlignment="1">
      <alignment horizontal="left" wrapText="1"/>
      <protection locked="0"/>
    </xf>
    <xf numFmtId="0" fontId="72" fillId="0" borderId="125" xfId="13" applyFont="1" applyBorder="1" applyAlignment="1">
      <alignment horizontal="left" wrapText="1"/>
      <protection locked="0"/>
    </xf>
    <xf numFmtId="0" fontId="10" fillId="0" borderId="125" xfId="0" applyFont="1" applyBorder="1" applyAlignment="1">
      <alignment horizontal="center" vertical="center"/>
      <protection locked="0"/>
    </xf>
    <xf numFmtId="167" fontId="99" fillId="0" borderId="125" xfId="0" applyNumberFormat="1" applyFont="1" applyBorder="1" applyAlignment="1">
      <alignment horizontal="right"/>
      <protection locked="0"/>
    </xf>
    <xf numFmtId="0" fontId="10" fillId="0" borderId="125" xfId="0" applyFont="1" applyBorder="1" applyAlignment="1">
      <alignment horizontal="center" vertical="top"/>
      <protection locked="0"/>
    </xf>
    <xf numFmtId="167" fontId="8" fillId="0" borderId="125" xfId="0" applyNumberFormat="1" applyFont="1" applyBorder="1" applyAlignment="1">
      <alignment horizontal="right"/>
      <protection locked="0"/>
    </xf>
    <xf numFmtId="4" fontId="8" fillId="0" borderId="125" xfId="0" applyNumberFormat="1" applyFont="1" applyBorder="1" applyAlignment="1">
      <alignment horizontal="right"/>
      <protection locked="0"/>
    </xf>
    <xf numFmtId="0" fontId="28" fillId="0" borderId="125" xfId="68" applyFont="1" applyBorder="1" applyAlignment="1">
      <alignment horizontal="left" wrapText="1"/>
      <protection locked="0"/>
    </xf>
    <xf numFmtId="167" fontId="28" fillId="0" borderId="125" xfId="68" applyNumberFormat="1" applyFont="1" applyBorder="1" applyAlignment="1">
      <alignment horizontal="right"/>
      <protection locked="0"/>
    </xf>
    <xf numFmtId="37" fontId="72" fillId="0" borderId="125" xfId="0" applyNumberFormat="1" applyFont="1" applyBorder="1" applyAlignment="1">
      <alignment horizontal="right"/>
      <protection locked="0"/>
    </xf>
    <xf numFmtId="9" fontId="66" fillId="0" borderId="125" xfId="0" applyNumberFormat="1" applyFont="1" applyBorder="1" applyAlignment="1">
      <alignment horizontal="left" wrapText="1"/>
      <protection locked="0"/>
    </xf>
    <xf numFmtId="0" fontId="72" fillId="0" borderId="125" xfId="0" applyFont="1" applyBorder="1" applyAlignment="1">
      <alignment horizontal="left" wrapText="1"/>
      <protection locked="0"/>
    </xf>
    <xf numFmtId="0" fontId="28" fillId="0" borderId="125" xfId="0" applyFont="1" applyBorder="1" applyAlignment="1">
      <alignment horizontal="left" wrapText="1"/>
      <protection locked="0"/>
    </xf>
    <xf numFmtId="4" fontId="72" fillId="5" borderId="125" xfId="0" applyNumberFormat="1" applyFont="1" applyFill="1" applyBorder="1" applyAlignment="1">
      <alignment horizontal="right"/>
      <protection locked="0"/>
    </xf>
    <xf numFmtId="37" fontId="137" fillId="0" borderId="125" xfId="0" applyNumberFormat="1" applyFont="1" applyBorder="1" applyAlignment="1">
      <alignment horizontal="right"/>
      <protection locked="0"/>
    </xf>
    <xf numFmtId="0" fontId="137" fillId="0" borderId="125" xfId="0" applyFont="1" applyBorder="1" applyAlignment="1">
      <alignment horizontal="left" wrapText="1"/>
      <protection locked="0"/>
    </xf>
    <xf numFmtId="0" fontId="57" fillId="0" borderId="125" xfId="0" applyFont="1" applyBorder="1" applyAlignment="1">
      <alignment horizontal="left" wrapText="1"/>
      <protection locked="0"/>
    </xf>
    <xf numFmtId="167" fontId="57" fillId="0" borderId="125" xfId="0" applyNumberFormat="1" applyFont="1" applyBorder="1" applyAlignment="1">
      <alignment horizontal="right"/>
      <protection locked="0"/>
    </xf>
    <xf numFmtId="4" fontId="137" fillId="5" borderId="125" xfId="0" applyNumberFormat="1" applyFont="1" applyFill="1" applyBorder="1" applyAlignment="1">
      <alignment horizontal="right"/>
      <protection locked="0"/>
    </xf>
    <xf numFmtId="0" fontId="228" fillId="0" borderId="125" xfId="0" applyFont="1" applyBorder="1" applyAlignment="1">
      <alignment horizontal="left" wrapText="1"/>
      <protection locked="0"/>
    </xf>
    <xf numFmtId="4" fontId="137" fillId="0" borderId="125" xfId="0" applyNumberFormat="1" applyFont="1" applyBorder="1" applyAlignment="1">
      <alignment horizontal="right"/>
      <protection locked="0"/>
    </xf>
    <xf numFmtId="0" fontId="28" fillId="0" borderId="125" xfId="0" applyFont="1" applyBorder="1" applyAlignment="1">
      <alignment horizontal="left" vertical="center" wrapText="1"/>
      <protection locked="0"/>
    </xf>
    <xf numFmtId="0" fontId="66" fillId="0" borderId="125" xfId="0" applyFont="1" applyBorder="1" applyAlignment="1">
      <alignment horizontal="left" wrapText="1"/>
      <protection locked="0"/>
    </xf>
    <xf numFmtId="39" fontId="66" fillId="0" borderId="125" xfId="0" applyNumberFormat="1" applyFont="1" applyBorder="1" applyAlignment="1">
      <alignment horizontal="right"/>
      <protection locked="0"/>
    </xf>
    <xf numFmtId="0" fontId="53" fillId="0" borderId="0" xfId="97" applyFont="1" applyAlignment="1" applyProtection="1">
      <alignment horizontal="left" vertical="top"/>
      <protection locked="0"/>
    </xf>
    <xf numFmtId="0" fontId="252" fillId="0" borderId="0" xfId="81" applyFill="1" applyBorder="1" applyAlignment="1" applyProtection="1">
      <alignment horizontal="left" vertical="center"/>
    </xf>
    <xf numFmtId="0" fontId="252" fillId="0" borderId="0" xfId="81" applyFill="1" applyBorder="1" applyAlignment="1" applyProtection="1">
      <alignment vertical="center"/>
    </xf>
    <xf numFmtId="0" fontId="0" fillId="0" borderId="129" xfId="0" applyBorder="1" applyAlignment="1">
      <alignment horizontal="left" vertical="top"/>
      <protection locked="0"/>
    </xf>
    <xf numFmtId="171" fontId="252" fillId="0" borderId="0" xfId="81" applyNumberFormat="1" applyFill="1" applyBorder="1" applyAlignment="1">
      <alignment vertical="top"/>
      <protection locked="0"/>
    </xf>
    <xf numFmtId="0" fontId="252" fillId="0" borderId="0" xfId="81" applyFill="1" applyBorder="1" applyAlignment="1">
      <alignment horizontal="left" vertical="center"/>
      <protection locked="0"/>
    </xf>
    <xf numFmtId="0" fontId="252" fillId="0" borderId="0" xfId="81" applyFill="1" applyBorder="1" applyAlignment="1">
      <alignment horizontal="left" vertical="top"/>
      <protection locked="0"/>
    </xf>
    <xf numFmtId="37" fontId="66" fillId="0" borderId="125" xfId="0" applyNumberFormat="1" applyFont="1" applyBorder="1" applyAlignment="1">
      <alignment horizontal="right"/>
      <protection locked="0"/>
    </xf>
    <xf numFmtId="0" fontId="304" fillId="0" borderId="0" xfId="81" applyFont="1" applyFill="1" applyBorder="1" applyAlignment="1" applyProtection="1">
      <alignment horizontal="left" vertical="top"/>
      <protection locked="0"/>
    </xf>
    <xf numFmtId="0" fontId="8" fillId="0" borderId="125" xfId="28" applyFont="1" applyBorder="1" applyAlignment="1">
      <alignment horizontal="left" wrapText="1"/>
      <protection locked="0"/>
    </xf>
    <xf numFmtId="167" fontId="8" fillId="0" borderId="125" xfId="28" applyNumberFormat="1" applyFont="1" applyBorder="1" applyAlignment="1">
      <alignment horizontal="right"/>
      <protection locked="0"/>
    </xf>
    <xf numFmtId="0" fontId="28" fillId="0" borderId="125" xfId="28" applyFont="1" applyBorder="1" applyAlignment="1">
      <alignment horizontal="left" wrapText="1"/>
      <protection locked="0"/>
    </xf>
    <xf numFmtId="37" fontId="96" fillId="0" borderId="125" xfId="28" applyNumberFormat="1" applyFont="1" applyBorder="1" applyAlignment="1">
      <alignment horizontal="right"/>
      <protection locked="0"/>
    </xf>
    <xf numFmtId="0" fontId="96" fillId="0" borderId="125" xfId="28" applyFont="1" applyBorder="1" applyAlignment="1">
      <alignment horizontal="left" wrapText="1"/>
      <protection locked="0"/>
    </xf>
    <xf numFmtId="39" fontId="96" fillId="0" borderId="125" xfId="28" applyNumberFormat="1" applyFont="1" applyBorder="1" applyAlignment="1">
      <alignment horizontal="right"/>
      <protection locked="0"/>
    </xf>
    <xf numFmtId="49" fontId="8" fillId="0" borderId="125" xfId="0" applyNumberFormat="1" applyFont="1" applyBorder="1" applyAlignment="1">
      <alignment horizontal="left" wrapText="1"/>
      <protection locked="0"/>
    </xf>
    <xf numFmtId="167" fontId="9" fillId="0" borderId="125" xfId="21" applyNumberFormat="1" applyFont="1" applyBorder="1" applyAlignment="1">
      <alignment horizontal="right"/>
    </xf>
    <xf numFmtId="37" fontId="8" fillId="0" borderId="125" xfId="63" applyNumberFormat="1" applyFont="1" applyBorder="1" applyAlignment="1">
      <alignment horizontal="right"/>
    </xf>
    <xf numFmtId="167" fontId="8" fillId="0" borderId="125" xfId="63" applyNumberFormat="1" applyFont="1" applyBorder="1" applyAlignment="1">
      <alignment horizontal="right"/>
    </xf>
    <xf numFmtId="37" fontId="66" fillId="0" borderId="125" xfId="63" applyNumberFormat="1" applyFont="1" applyBorder="1" applyAlignment="1">
      <alignment horizontal="right"/>
    </xf>
    <xf numFmtId="0" fontId="66" fillId="0" borderId="125" xfId="63" applyFont="1" applyBorder="1" applyAlignment="1">
      <alignment horizontal="left" wrapText="1"/>
    </xf>
    <xf numFmtId="39" fontId="66" fillId="0" borderId="125" xfId="63" applyNumberFormat="1" applyFont="1" applyBorder="1" applyAlignment="1">
      <alignment horizontal="right"/>
    </xf>
    <xf numFmtId="167" fontId="11" fillId="0" borderId="0" xfId="0" applyNumberFormat="1" applyFont="1" applyAlignment="1">
      <alignment horizontal="left" vertical="top"/>
      <protection locked="0"/>
    </xf>
    <xf numFmtId="167" fontId="8" fillId="0" borderId="30" xfId="68" applyNumberFormat="1" applyFont="1" applyBorder="1" applyAlignment="1">
      <alignment horizontal="right"/>
      <protection locked="0"/>
    </xf>
    <xf numFmtId="167" fontId="96" fillId="0" borderId="30" xfId="0" applyNumberFormat="1" applyFont="1" applyBorder="1" applyAlignment="1">
      <alignment horizontal="left" wrapText="1"/>
      <protection locked="0"/>
    </xf>
    <xf numFmtId="0" fontId="254" fillId="0" borderId="0" xfId="81" applyFont="1" applyFill="1" applyAlignment="1" applyProtection="1">
      <alignment horizontal="right" vertical="center"/>
      <protection locked="0"/>
    </xf>
    <xf numFmtId="171" fontId="37" fillId="0" borderId="15" xfId="0" applyNumberFormat="1" applyFont="1" applyBorder="1" applyAlignment="1">
      <alignment horizontal="right"/>
      <protection locked="0"/>
    </xf>
    <xf numFmtId="0" fontId="49" fillId="0" borderId="15" xfId="80" applyFont="1" applyBorder="1" applyAlignment="1" applyProtection="1"/>
    <xf numFmtId="167" fontId="49" fillId="0" borderId="15" xfId="80" applyNumberFormat="1" applyFont="1" applyBorder="1" applyAlignment="1" applyProtection="1"/>
    <xf numFmtId="39" fontId="8" fillId="0" borderId="15" xfId="80" applyNumberFormat="1" applyFont="1" applyBorder="1" applyAlignment="1">
      <alignment horizontal="right"/>
      <protection locked="0"/>
    </xf>
    <xf numFmtId="2" fontId="8" fillId="0" borderId="15" xfId="0" applyNumberFormat="1" applyFont="1" applyBorder="1" applyAlignment="1">
      <alignment horizontal="center"/>
      <protection locked="0"/>
    </xf>
    <xf numFmtId="0" fontId="35" fillId="7" borderId="0" xfId="98" applyFont="1" applyFill="1" applyAlignment="1">
      <alignment horizontal="left"/>
    </xf>
    <xf numFmtId="1" fontId="8" fillId="0" borderId="124" xfId="73" applyNumberFormat="1" applyFont="1" applyBorder="1" applyAlignment="1">
      <alignment horizontal="right"/>
      <protection locked="0"/>
    </xf>
    <xf numFmtId="0" fontId="37" fillId="0" borderId="123" xfId="0" applyFont="1" applyBorder="1" applyAlignment="1">
      <alignment horizontal="left" wrapText="1"/>
      <protection locked="0"/>
    </xf>
    <xf numFmtId="171" fontId="8" fillId="0" borderId="125" xfId="0" applyNumberFormat="1" applyFont="1" applyBorder="1" applyAlignment="1">
      <alignment horizontal="right"/>
      <protection locked="0"/>
    </xf>
    <xf numFmtId="0" fontId="171" fillId="0" borderId="0" xfId="99" applyFont="1" applyAlignment="1" applyProtection="1">
      <alignment horizontal="left" vertical="top"/>
      <protection locked="0"/>
    </xf>
    <xf numFmtId="0" fontId="5" fillId="0" borderId="0" xfId="99" applyAlignment="1" applyProtection="1">
      <alignment horizontal="left" vertical="top"/>
      <protection locked="0"/>
    </xf>
    <xf numFmtId="4" fontId="8" fillId="0" borderId="129" xfId="99" applyNumberFormat="1" applyFont="1" applyBorder="1" applyAlignment="1" applyProtection="1">
      <alignment horizontal="right"/>
      <protection locked="0"/>
    </xf>
    <xf numFmtId="0" fontId="53" fillId="0" borderId="0" xfId="99" applyFont="1" applyAlignment="1" applyProtection="1">
      <alignment horizontal="left" vertical="top"/>
      <protection locked="0"/>
    </xf>
    <xf numFmtId="0" fontId="66" fillId="0" borderId="129" xfId="99" applyFont="1" applyBorder="1" applyAlignment="1" applyProtection="1">
      <alignment horizontal="left" wrapText="1"/>
      <protection locked="0"/>
    </xf>
    <xf numFmtId="167" fontId="28" fillId="0" borderId="129" xfId="99" applyNumberFormat="1" applyFont="1" applyBorder="1" applyAlignment="1" applyProtection="1">
      <alignment horizontal="right"/>
      <protection locked="0"/>
    </xf>
    <xf numFmtId="0" fontId="5" fillId="0" borderId="129" xfId="99" applyBorder="1" applyAlignment="1" applyProtection="1">
      <alignment horizontal="left" vertical="top"/>
      <protection locked="0"/>
    </xf>
    <xf numFmtId="0" fontId="37" fillId="0" borderId="129" xfId="99" applyFont="1" applyBorder="1" applyAlignment="1" applyProtection="1">
      <alignment horizontal="left" wrapText="1"/>
      <protection locked="0"/>
    </xf>
    <xf numFmtId="0" fontId="305" fillId="0" borderId="0" xfId="88" applyFont="1" applyFill="1" applyAlignment="1" applyProtection="1">
      <alignment horizontal="left" vertical="center"/>
      <protection locked="0"/>
    </xf>
    <xf numFmtId="0" fontId="25" fillId="0" borderId="129" xfId="0" applyFont="1" applyBorder="1" applyAlignment="1" applyProtection="1">
      <alignment horizontal="right"/>
    </xf>
    <xf numFmtId="0" fontId="25" fillId="0" borderId="129" xfId="0" applyFont="1" applyBorder="1" applyAlignment="1" applyProtection="1">
      <alignment horizontal="left"/>
    </xf>
    <xf numFmtId="0" fontId="9" fillId="0" borderId="129" xfId="0" applyFont="1" applyBorder="1" applyAlignment="1" applyProtection="1"/>
    <xf numFmtId="4" fontId="9" fillId="0" borderId="129" xfId="0" applyNumberFormat="1" applyFont="1" applyBorder="1" applyAlignment="1" applyProtection="1"/>
    <xf numFmtId="0" fontId="9" fillId="0" borderId="129" xfId="21" applyFont="1" applyBorder="1"/>
    <xf numFmtId="0" fontId="74" fillId="0" borderId="129" xfId="0" applyFont="1" applyBorder="1" applyAlignment="1" applyProtection="1"/>
    <xf numFmtId="0" fontId="49" fillId="0" borderId="129" xfId="0" applyFont="1" applyBorder="1" applyAlignment="1" applyProtection="1"/>
    <xf numFmtId="167" fontId="28" fillId="0" borderId="129" xfId="0" applyNumberFormat="1" applyFont="1" applyBorder="1" applyAlignment="1">
      <alignment horizontal="right" wrapText="1"/>
      <protection locked="0"/>
    </xf>
    <xf numFmtId="0" fontId="0" fillId="0" borderId="129" xfId="0" applyBorder="1" applyAlignment="1" applyProtection="1"/>
    <xf numFmtId="0" fontId="28" fillId="0" borderId="129" xfId="0" applyFont="1" applyBorder="1" applyAlignment="1">
      <alignment horizontal="left" vertical="center" wrapText="1"/>
      <protection locked="0"/>
    </xf>
    <xf numFmtId="0" fontId="25" fillId="0" borderId="129" xfId="0" applyFont="1" applyBorder="1" applyAlignment="1" applyProtection="1"/>
    <xf numFmtId="4" fontId="25" fillId="0" borderId="129" xfId="0" applyNumberFormat="1" applyFont="1" applyBorder="1" applyAlignment="1" applyProtection="1"/>
    <xf numFmtId="49" fontId="25" fillId="0" borderId="129" xfId="0" applyNumberFormat="1" applyFont="1" applyBorder="1" applyAlignment="1" applyProtection="1">
      <alignment horizontal="right"/>
    </xf>
    <xf numFmtId="49" fontId="9" fillId="0" borderId="129" xfId="21" applyNumberFormat="1" applyFont="1" applyBorder="1"/>
    <xf numFmtId="0" fontId="43" fillId="0" borderId="129" xfId="0" applyFont="1" applyBorder="1" applyAlignment="1">
      <alignment horizontal="left" vertical="center" wrapText="1"/>
      <protection locked="0"/>
    </xf>
    <xf numFmtId="0" fontId="74" fillId="0" borderId="129" xfId="0" applyFont="1" applyBorder="1" applyAlignment="1" applyProtection="1">
      <alignment vertical="center" wrapText="1"/>
    </xf>
    <xf numFmtId="0" fontId="9" fillId="0" borderId="129" xfId="99" applyFont="1" applyBorder="1" applyAlignment="1">
      <alignment horizontal="left"/>
    </xf>
    <xf numFmtId="0" fontId="8" fillId="0" borderId="129" xfId="99" applyFont="1" applyBorder="1" applyAlignment="1" applyProtection="1">
      <alignment horizontal="left" wrapText="1"/>
      <protection locked="0"/>
    </xf>
    <xf numFmtId="0" fontId="9" fillId="0" borderId="129" xfId="99" applyFont="1" applyBorder="1"/>
    <xf numFmtId="167" fontId="9" fillId="0" borderId="129" xfId="99" applyNumberFormat="1" applyFont="1" applyBorder="1"/>
    <xf numFmtId="39" fontId="8" fillId="0" borderId="129" xfId="99" applyNumberFormat="1" applyFont="1" applyBorder="1" applyAlignment="1" applyProtection="1">
      <alignment horizontal="center"/>
      <protection locked="0"/>
    </xf>
    <xf numFmtId="167" fontId="8" fillId="0" borderId="129" xfId="99" applyNumberFormat="1" applyFont="1" applyBorder="1" applyAlignment="1" applyProtection="1">
      <alignment horizontal="right"/>
      <protection locked="0"/>
    </xf>
    <xf numFmtId="49" fontId="8" fillId="0" borderId="129" xfId="99" applyNumberFormat="1" applyFont="1" applyBorder="1" applyAlignment="1" applyProtection="1">
      <alignment horizontal="right"/>
      <protection locked="0"/>
    </xf>
    <xf numFmtId="0" fontId="9" fillId="0" borderId="129" xfId="21" applyFont="1" applyBorder="1" applyAlignment="1">
      <alignment vertical="center"/>
    </xf>
    <xf numFmtId="0" fontId="28" fillId="0" borderId="129" xfId="99" applyFont="1" applyBorder="1" applyAlignment="1" applyProtection="1">
      <alignment horizontal="left" wrapText="1"/>
      <protection locked="0"/>
    </xf>
    <xf numFmtId="49" fontId="37" fillId="0" borderId="129" xfId="0" applyNumberFormat="1" applyFont="1" applyBorder="1" applyAlignment="1">
      <alignment horizontal="right"/>
      <protection locked="0"/>
    </xf>
    <xf numFmtId="0" fontId="49" fillId="0" borderId="129" xfId="99" applyFont="1" applyBorder="1"/>
    <xf numFmtId="167" fontId="49" fillId="0" borderId="129" xfId="99" applyNumberFormat="1" applyFont="1" applyBorder="1"/>
    <xf numFmtId="4" fontId="49" fillId="0" borderId="129" xfId="99" applyNumberFormat="1" applyFont="1" applyBorder="1"/>
    <xf numFmtId="49" fontId="49" fillId="0" borderId="129" xfId="99" applyNumberFormat="1" applyFont="1" applyBorder="1" applyAlignment="1">
      <alignment horizontal="left"/>
    </xf>
    <xf numFmtId="4" fontId="8" fillId="0" borderId="125" xfId="99" applyNumberFormat="1" applyFont="1" applyBorder="1" applyAlignment="1" applyProtection="1">
      <alignment horizontal="right"/>
      <protection locked="0"/>
    </xf>
    <xf numFmtId="49" fontId="8" fillId="0" borderId="125" xfId="73" applyNumberFormat="1" applyFont="1" applyBorder="1" applyAlignment="1">
      <alignment horizontal="right"/>
      <protection locked="0"/>
    </xf>
    <xf numFmtId="49" fontId="37" fillId="0" borderId="125" xfId="0" applyNumberFormat="1" applyFont="1" applyBorder="1" applyAlignment="1">
      <alignment horizontal="left" wrapText="1"/>
      <protection locked="0"/>
    </xf>
    <xf numFmtId="1" fontId="8" fillId="0" borderId="125" xfId="0" applyNumberFormat="1" applyFont="1" applyBorder="1" applyAlignment="1">
      <alignment horizontal="right"/>
      <protection locked="0"/>
    </xf>
    <xf numFmtId="1" fontId="37" fillId="0" borderId="125" xfId="0" applyNumberFormat="1" applyFont="1" applyBorder="1" applyAlignment="1">
      <alignment horizontal="right"/>
      <protection locked="0"/>
    </xf>
    <xf numFmtId="0" fontId="291" fillId="0" borderId="0" xfId="88" applyFont="1" applyFill="1" applyAlignment="1" applyProtection="1">
      <alignment horizontal="left" vertical="center"/>
      <protection locked="0"/>
    </xf>
    <xf numFmtId="0" fontId="12" fillId="0" borderId="0" xfId="8" applyFont="1" applyAlignment="1">
      <alignment horizontal="left" vertical="top" wrapText="1"/>
    </xf>
    <xf numFmtId="0" fontId="13" fillId="0" borderId="0" xfId="8" applyFont="1"/>
    <xf numFmtId="14" fontId="18" fillId="0" borderId="0" xfId="8" applyNumberFormat="1" applyFont="1" applyAlignment="1">
      <alignment horizontal="left" vertical="center"/>
    </xf>
    <xf numFmtId="14" fontId="18" fillId="0" borderId="0" xfId="8" applyNumberFormat="1" applyFont="1" applyAlignment="1">
      <alignment horizontal="left"/>
    </xf>
    <xf numFmtId="0" fontId="19" fillId="0" borderId="0" xfId="8" applyFont="1" applyAlignment="1">
      <alignment horizontal="left"/>
    </xf>
    <xf numFmtId="4" fontId="12" fillId="0" borderId="0" xfId="8" applyNumberFormat="1" applyFont="1" applyAlignment="1">
      <alignment vertical="center"/>
    </xf>
    <xf numFmtId="4" fontId="17" fillId="0" borderId="0" xfId="8" applyNumberFormat="1" applyFont="1" applyAlignment="1">
      <alignment vertical="center"/>
    </xf>
    <xf numFmtId="3" fontId="26" fillId="0" borderId="0" xfId="8" applyNumberFormat="1" applyFont="1"/>
    <xf numFmtId="3" fontId="12" fillId="0" borderId="0" xfId="8" applyNumberFormat="1" applyFont="1"/>
    <xf numFmtId="4" fontId="12" fillId="0" borderId="0" xfId="8" applyNumberFormat="1" applyFont="1"/>
    <xf numFmtId="0" fontId="26" fillId="0" borderId="0" xfId="8" applyFont="1"/>
    <xf numFmtId="3" fontId="12" fillId="0" borderId="0" xfId="8" applyNumberFormat="1" applyFont="1" applyAlignment="1">
      <alignment horizontal="center" vertical="center"/>
    </xf>
    <xf numFmtId="3" fontId="26" fillId="0" borderId="0" xfId="8" applyNumberFormat="1" applyFont="1" applyAlignment="1">
      <alignment horizontal="right"/>
    </xf>
    <xf numFmtId="4" fontId="17" fillId="0" borderId="0" xfId="8" applyNumberFormat="1" applyFont="1" applyAlignment="1">
      <alignment horizontal="center" vertical="center"/>
    </xf>
    <xf numFmtId="3" fontId="26" fillId="0" borderId="0" xfId="8" applyNumberFormat="1" applyFont="1" applyAlignment="1">
      <alignment horizontal="left"/>
    </xf>
    <xf numFmtId="4" fontId="9" fillId="0" borderId="0" xfId="16" applyNumberFormat="1" applyFont="1"/>
    <xf numFmtId="0" fontId="9" fillId="0" borderId="0" xfId="16" applyFont="1" applyAlignment="1">
      <alignment wrapText="1"/>
    </xf>
    <xf numFmtId="0" fontId="20" fillId="0" borderId="0" xfId="16" applyFont="1" applyAlignment="1">
      <alignment wrapText="1"/>
    </xf>
    <xf numFmtId="0" fontId="20" fillId="0" borderId="0" xfId="16" applyFont="1"/>
    <xf numFmtId="0" fontId="300" fillId="0" borderId="0" xfId="81" applyFont="1" applyFill="1" applyAlignment="1">
      <alignment horizontal="center" vertical="top"/>
      <protection locked="0"/>
    </xf>
    <xf numFmtId="0" fontId="252" fillId="0" borderId="0" xfId="81" applyFill="1" applyBorder="1" applyAlignment="1" applyProtection="1"/>
    <xf numFmtId="171" fontId="252" fillId="0" borderId="0" xfId="81" applyNumberFormat="1" applyFill="1" applyBorder="1" applyAlignment="1">
      <alignment vertical="center"/>
      <protection locked="0"/>
    </xf>
    <xf numFmtId="0" fontId="0" fillId="0" borderId="0" xfId="0" applyAlignment="1" applyProtection="1">
      <alignment horizontal="right"/>
    </xf>
    <xf numFmtId="0" fontId="268" fillId="0" borderId="0" xfId="0" applyFont="1" applyAlignment="1" applyProtection="1"/>
    <xf numFmtId="0" fontId="269" fillId="0" borderId="0" xfId="0" applyFont="1" applyAlignment="1" applyProtection="1"/>
    <xf numFmtId="0" fontId="97" fillId="0" borderId="0" xfId="0" applyFont="1" applyAlignment="1">
      <alignment horizontal="right" vertical="center"/>
      <protection locked="0"/>
    </xf>
    <xf numFmtId="0" fontId="53" fillId="0" borderId="0" xfId="0" applyFont="1" applyAlignment="1">
      <alignment horizontal="center" vertical="center"/>
      <protection locked="0"/>
    </xf>
    <xf numFmtId="0" fontId="12" fillId="0" borderId="0" xfId="59" applyAlignment="1">
      <alignment wrapText="1"/>
    </xf>
    <xf numFmtId="167" fontId="94" fillId="0" borderId="125" xfId="0" applyNumberFormat="1" applyFont="1" applyBorder="1" applyAlignment="1">
      <alignment horizontal="left" vertical="top"/>
      <protection locked="0"/>
    </xf>
    <xf numFmtId="39" fontId="121" fillId="0" borderId="125" xfId="0" applyNumberFormat="1" applyFont="1" applyBorder="1" applyAlignment="1">
      <alignment horizontal="right" vertical="center"/>
      <protection locked="0"/>
    </xf>
    <xf numFmtId="0" fontId="28" fillId="0" borderId="125" xfId="0" applyFont="1" applyBorder="1" applyAlignment="1" applyProtection="1">
      <alignment horizontal="left" wrapText="1"/>
    </xf>
    <xf numFmtId="0" fontId="72" fillId="0" borderId="125" xfId="0" applyFont="1" applyBorder="1" applyAlignment="1" applyProtection="1">
      <alignment horizontal="left" wrapText="1"/>
    </xf>
    <xf numFmtId="1" fontId="8" fillId="0" borderId="125" xfId="68" applyNumberFormat="1" applyFont="1" applyBorder="1" applyAlignment="1">
      <alignment horizontal="right"/>
      <protection locked="0"/>
    </xf>
    <xf numFmtId="4" fontId="8" fillId="0" borderId="125" xfId="68" applyNumberFormat="1" applyFont="1" applyBorder="1" applyAlignment="1">
      <alignment horizontal="right"/>
      <protection locked="0"/>
    </xf>
    <xf numFmtId="1" fontId="37" fillId="0" borderId="125" xfId="68" applyNumberFormat="1" applyFont="1" applyBorder="1" applyAlignment="1">
      <alignment horizontal="right"/>
      <protection locked="0"/>
    </xf>
    <xf numFmtId="49" fontId="37" fillId="0" borderId="125" xfId="68" applyNumberFormat="1" applyFont="1" applyBorder="1" applyAlignment="1">
      <alignment horizontal="left" wrapText="1"/>
      <protection locked="0"/>
    </xf>
    <xf numFmtId="0" fontId="37" fillId="0" borderId="125" xfId="68" applyFont="1" applyBorder="1" applyAlignment="1">
      <alignment horizontal="left" wrapText="1"/>
      <protection locked="0"/>
    </xf>
    <xf numFmtId="167" fontId="67" fillId="0" borderId="125" xfId="68" applyNumberFormat="1" applyBorder="1" applyAlignment="1">
      <alignment horizontal="left" vertical="top"/>
      <protection locked="0"/>
    </xf>
    <xf numFmtId="4" fontId="37" fillId="0" borderId="125" xfId="68" applyNumberFormat="1" applyFont="1" applyBorder="1" applyAlignment="1">
      <alignment horizontal="right"/>
      <protection locked="0"/>
    </xf>
    <xf numFmtId="4" fontId="122" fillId="0" borderId="125" xfId="68" applyNumberFormat="1" applyFont="1" applyBorder="1" applyAlignment="1">
      <alignment horizontal="right"/>
      <protection locked="0"/>
    </xf>
    <xf numFmtId="39" fontId="145"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2" fillId="0" borderId="125" xfId="0" applyFont="1" applyBorder="1" applyAlignment="1">
      <alignment horizontal="center" vertical="center"/>
      <protection locked="0"/>
    </xf>
    <xf numFmtId="1" fontId="66" fillId="0" borderId="125" xfId="0" applyNumberFormat="1" applyFont="1" applyBorder="1" applyAlignment="1">
      <alignment horizontal="right"/>
      <protection locked="0"/>
    </xf>
    <xf numFmtId="4" fontId="37" fillId="0" borderId="125" xfId="0" applyNumberFormat="1" applyFont="1" applyBorder="1" applyAlignment="1">
      <alignment horizontal="right"/>
      <protection locked="0"/>
    </xf>
    <xf numFmtId="49" fontId="8" fillId="0" borderId="125" xfId="92" applyNumberFormat="1" applyFont="1" applyBorder="1" applyAlignment="1">
      <alignment horizontal="left" wrapText="1"/>
      <protection locked="0"/>
    </xf>
    <xf numFmtId="167" fontId="94"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6" fillId="0" borderId="0" xfId="81" applyFont="1" applyFill="1" applyAlignment="1">
      <alignment horizontal="left" vertical="top"/>
      <protection locked="0"/>
    </xf>
    <xf numFmtId="0" fontId="306" fillId="0" borderId="0" xfId="81" applyFont="1" applyFill="1" applyAlignment="1" applyProtection="1"/>
    <xf numFmtId="0" fontId="307" fillId="0" borderId="0" xfId="88" applyFont="1" applyFill="1" applyAlignment="1" applyProtection="1">
      <alignment horizontal="left" vertical="center"/>
      <protection locked="0"/>
    </xf>
    <xf numFmtId="0" fontId="11" fillId="0" borderId="0" xfId="0" applyFont="1" applyAlignment="1">
      <alignment horizontal="center" vertical="center"/>
      <protection locked="0"/>
    </xf>
    <xf numFmtId="0" fontId="164" fillId="0" borderId="0" xfId="51" applyFont="1" applyFill="1" applyBorder="1" applyAlignment="1">
      <alignment horizontal="left" vertical="center"/>
      <protection locked="0"/>
    </xf>
    <xf numFmtId="167" fontId="8" fillId="0" borderId="124" xfId="71" applyNumberFormat="1" applyFont="1" applyBorder="1" applyAlignment="1" applyProtection="1">
      <alignment horizontal="right"/>
      <protection locked="0"/>
    </xf>
    <xf numFmtId="37" fontId="8" fillId="0" borderId="125" xfId="71" applyNumberFormat="1" applyFont="1" applyBorder="1" applyAlignment="1" applyProtection="1">
      <alignment horizontal="right"/>
      <protection locked="0"/>
    </xf>
    <xf numFmtId="0" fontId="8" fillId="0" borderId="125" xfId="71" applyFont="1" applyBorder="1" applyAlignment="1" applyProtection="1">
      <alignment horizontal="left" wrapText="1"/>
      <protection locked="0"/>
    </xf>
    <xf numFmtId="0" fontId="28" fillId="0" borderId="125" xfId="71" applyFont="1" applyBorder="1" applyAlignment="1" applyProtection="1">
      <alignment horizontal="left" wrapText="1"/>
      <protection locked="0"/>
    </xf>
    <xf numFmtId="167" fontId="72" fillId="0" borderId="125" xfId="71" applyNumberFormat="1" applyFont="1" applyBorder="1" applyAlignment="1" applyProtection="1">
      <alignment horizontal="right"/>
      <protection locked="0"/>
    </xf>
    <xf numFmtId="39" fontId="8" fillId="0" borderId="125" xfId="71" applyNumberFormat="1" applyFont="1" applyBorder="1" applyAlignment="1" applyProtection="1">
      <alignment horizontal="right"/>
      <protection locked="0"/>
    </xf>
    <xf numFmtId="37" fontId="66" fillId="0" borderId="125" xfId="71" applyNumberFormat="1" applyFont="1" applyBorder="1" applyAlignment="1" applyProtection="1">
      <alignment horizontal="right"/>
      <protection locked="0"/>
    </xf>
    <xf numFmtId="0" fontId="66" fillId="0" borderId="125" xfId="71" applyFont="1" applyBorder="1" applyAlignment="1" applyProtection="1">
      <alignment horizontal="left" wrapText="1"/>
      <protection locked="0"/>
    </xf>
    <xf numFmtId="0" fontId="121" fillId="0" borderId="125" xfId="71" applyFont="1" applyBorder="1" applyAlignment="1" applyProtection="1">
      <alignment horizontal="center" vertical="center" wrapText="1"/>
      <protection locked="0"/>
    </xf>
    <xf numFmtId="167" fontId="28" fillId="0" borderId="125" xfId="71" applyNumberFormat="1" applyFont="1" applyBorder="1" applyAlignment="1" applyProtection="1">
      <alignment horizontal="right"/>
      <protection locked="0"/>
    </xf>
    <xf numFmtId="39" fontId="66" fillId="0" borderId="125" xfId="71" applyNumberFormat="1" applyFont="1" applyBorder="1" applyAlignment="1" applyProtection="1">
      <alignment horizontal="right"/>
      <protection locked="0"/>
    </xf>
    <xf numFmtId="2" fontId="35" fillId="0" borderId="125" xfId="71" applyNumberFormat="1" applyFont="1" applyBorder="1" applyAlignment="1" applyProtection="1">
      <alignment horizontal="left" vertical="center"/>
      <protection locked="0"/>
    </xf>
    <xf numFmtId="0" fontId="7" fillId="0" borderId="125" xfId="71" applyBorder="1" applyAlignment="1" applyProtection="1">
      <alignment horizontal="left" vertical="top"/>
      <protection locked="0"/>
    </xf>
    <xf numFmtId="0" fontId="39" fillId="0" borderId="125" xfId="71" applyFont="1" applyBorder="1" applyAlignment="1" applyProtection="1">
      <alignment horizontal="center" vertical="center"/>
      <protection locked="0"/>
    </xf>
    <xf numFmtId="0" fontId="28" fillId="0" borderId="125" xfId="71" applyFont="1" applyBorder="1" applyAlignment="1" applyProtection="1">
      <alignment horizontal="left" vertical="center" wrapText="1"/>
      <protection locked="0"/>
    </xf>
    <xf numFmtId="2" fontId="28" fillId="0" borderId="125" xfId="71" applyNumberFormat="1" applyFont="1" applyBorder="1" applyAlignment="1" applyProtection="1">
      <alignment horizontal="right"/>
      <protection locked="0"/>
    </xf>
    <xf numFmtId="4" fontId="8" fillId="0" borderId="125" xfId="71" applyNumberFormat="1" applyFont="1" applyBorder="1" applyAlignment="1" applyProtection="1">
      <alignment horizontal="right"/>
      <protection locked="0"/>
    </xf>
    <xf numFmtId="0" fontId="28" fillId="0" borderId="125" xfId="37" applyFont="1" applyBorder="1" applyAlignment="1">
      <alignment horizontal="left" wrapText="1"/>
    </xf>
    <xf numFmtId="0" fontId="37" fillId="0" borderId="125" xfId="3" applyFont="1" applyBorder="1" applyAlignment="1" applyProtection="1">
      <alignment horizontal="left" wrapText="1"/>
      <protection locked="0"/>
    </xf>
    <xf numFmtId="167" fontId="37" fillId="0" borderId="125" xfId="3" applyNumberFormat="1" applyFont="1" applyBorder="1" applyAlignment="1" applyProtection="1">
      <alignment horizontal="right"/>
      <protection locked="0"/>
    </xf>
    <xf numFmtId="39" fontId="37" fillId="0" borderId="125" xfId="3" applyNumberFormat="1" applyFont="1" applyBorder="1" applyAlignment="1" applyProtection="1">
      <alignment horizontal="right"/>
      <protection locked="0"/>
    </xf>
    <xf numFmtId="49" fontId="8" fillId="0" borderId="125" xfId="71" applyNumberFormat="1" applyFont="1" applyBorder="1" applyAlignment="1" applyProtection="1">
      <alignment horizontal="left" wrapText="1"/>
      <protection locked="0"/>
    </xf>
    <xf numFmtId="0" fontId="134" fillId="0" borderId="125" xfId="71" applyFont="1" applyBorder="1" applyAlignment="1" applyProtection="1">
      <alignment horizontal="left" vertical="center" wrapText="1"/>
      <protection locked="0"/>
    </xf>
    <xf numFmtId="39" fontId="8" fillId="0" borderId="125" xfId="71" applyNumberFormat="1" applyFont="1" applyBorder="1" applyAlignment="1" applyProtection="1">
      <alignment horizontal="right" vertical="center"/>
      <protection locked="0"/>
    </xf>
    <xf numFmtId="37" fontId="72" fillId="0" borderId="125" xfId="71" applyNumberFormat="1" applyFont="1" applyBorder="1" applyAlignment="1" applyProtection="1">
      <alignment horizontal="right"/>
      <protection locked="0"/>
    </xf>
    <xf numFmtId="0" fontId="72" fillId="0" borderId="125" xfId="71" applyFont="1" applyBorder="1" applyAlignment="1" applyProtection="1">
      <alignment horizontal="left" wrapText="1"/>
      <protection locked="0"/>
    </xf>
    <xf numFmtId="4" fontId="72" fillId="5" borderId="125" xfId="71" applyNumberFormat="1" applyFont="1" applyFill="1" applyBorder="1" applyAlignment="1" applyProtection="1">
      <alignment horizontal="right"/>
      <protection locked="0"/>
    </xf>
    <xf numFmtId="37" fontId="137" fillId="0" borderId="125" xfId="71" applyNumberFormat="1" applyFont="1" applyBorder="1" applyAlignment="1" applyProtection="1">
      <alignment horizontal="right"/>
      <protection locked="0"/>
    </xf>
    <xf numFmtId="0" fontId="228" fillId="0" borderId="125" xfId="71" applyFont="1" applyBorder="1" applyAlignment="1" applyProtection="1">
      <alignment horizontal="left" wrapText="1"/>
      <protection locked="0"/>
    </xf>
    <xf numFmtId="0" fontId="137" fillId="0" borderId="125" xfId="71" applyFont="1" applyBorder="1" applyAlignment="1" applyProtection="1">
      <alignment horizontal="left" wrapText="1"/>
      <protection locked="0"/>
    </xf>
    <xf numFmtId="0" fontId="57" fillId="0" borderId="125" xfId="71" applyFont="1" applyBorder="1" applyAlignment="1" applyProtection="1">
      <alignment horizontal="left" wrapText="1"/>
      <protection locked="0"/>
    </xf>
    <xf numFmtId="167" fontId="57" fillId="0" borderId="125" xfId="71" applyNumberFormat="1" applyFont="1" applyBorder="1" applyAlignment="1" applyProtection="1">
      <alignment horizontal="right"/>
      <protection locked="0"/>
    </xf>
    <xf numFmtId="4" fontId="137" fillId="5" borderId="125" xfId="71" applyNumberFormat="1" applyFont="1" applyFill="1" applyBorder="1" applyAlignment="1" applyProtection="1">
      <alignment horizontal="right"/>
      <protection locked="0"/>
    </xf>
    <xf numFmtId="39" fontId="8" fillId="0" borderId="125" xfId="71" applyNumberFormat="1" applyFont="1" applyBorder="1" applyAlignment="1" applyProtection="1">
      <alignment horizontal="center"/>
      <protection locked="0"/>
    </xf>
    <xf numFmtId="0" fontId="96" fillId="0" borderId="125" xfId="71" applyFont="1" applyBorder="1" applyAlignment="1" applyProtection="1">
      <alignment horizontal="left" wrapText="1"/>
      <protection locked="0"/>
    </xf>
    <xf numFmtId="0" fontId="72" fillId="0" borderId="125" xfId="28" applyFont="1" applyBorder="1" applyAlignment="1">
      <alignment horizontal="left" wrapText="1"/>
      <protection locked="0"/>
    </xf>
    <xf numFmtId="39" fontId="28" fillId="0" borderId="125" xfId="3" applyNumberFormat="1" applyFont="1" applyBorder="1" applyAlignment="1" applyProtection="1">
      <alignment horizontal="right"/>
      <protection locked="0"/>
    </xf>
    <xf numFmtId="167" fontId="10" fillId="0" borderId="125" xfId="3" applyNumberFormat="1" applyBorder="1"/>
    <xf numFmtId="7" fontId="73" fillId="0" borderId="125" xfId="60" applyNumberFormat="1" applyFont="1" applyBorder="1" applyAlignment="1">
      <alignment horizontal="center" vertical="center"/>
      <protection locked="0"/>
    </xf>
    <xf numFmtId="175" fontId="73" fillId="0" borderId="125" xfId="51" applyNumberFormat="1" applyFont="1" applyFill="1" applyBorder="1" applyAlignment="1">
      <alignment horizontal="center" vertical="center"/>
      <protection locked="0"/>
    </xf>
    <xf numFmtId="0" fontId="296" fillId="0" borderId="125" xfId="3" applyFont="1" applyBorder="1" applyAlignment="1" applyProtection="1">
      <alignment horizontal="left" wrapText="1"/>
      <protection locked="0"/>
    </xf>
    <xf numFmtId="0" fontId="8" fillId="0" borderId="125" xfId="25" applyFont="1" applyBorder="1" applyAlignment="1" applyProtection="1">
      <alignment horizontal="left" wrapText="1"/>
      <protection locked="0"/>
    </xf>
    <xf numFmtId="167" fontId="8" fillId="0" borderId="125" xfId="3" applyNumberFormat="1" applyFont="1" applyBorder="1" applyAlignment="1" applyProtection="1">
      <alignment horizontal="right" wrapText="1"/>
      <protection locked="0"/>
    </xf>
    <xf numFmtId="1" fontId="8" fillId="0" borderId="125" xfId="71" applyNumberFormat="1" applyFont="1" applyBorder="1" applyAlignment="1">
      <alignment horizontal="right"/>
    </xf>
    <xf numFmtId="4" fontId="8" fillId="0" borderId="125" xfId="71" applyNumberFormat="1" applyFont="1" applyBorder="1" applyAlignment="1">
      <alignment horizontal="right"/>
    </xf>
    <xf numFmtId="49" fontId="8" fillId="0" borderId="125" xfId="71" applyNumberFormat="1" applyFont="1" applyBorder="1" applyAlignment="1" applyProtection="1">
      <alignment horizontal="right" wrapText="1"/>
      <protection locked="0"/>
    </xf>
    <xf numFmtId="0" fontId="28" fillId="0" borderId="125" xfId="25" applyFont="1" applyBorder="1" applyAlignment="1" applyProtection="1">
      <alignment horizontal="left" wrapText="1"/>
      <protection locked="0"/>
    </xf>
    <xf numFmtId="167" fontId="28" fillId="0" borderId="125" xfId="32" applyNumberFormat="1" applyFont="1" applyBorder="1" applyAlignment="1" applyProtection="1">
      <alignment horizontal="right"/>
      <protection locked="0"/>
    </xf>
    <xf numFmtId="37" fontId="8" fillId="0" borderId="125" xfId="25" applyNumberFormat="1" applyFont="1" applyBorder="1" applyAlignment="1" applyProtection="1">
      <alignment horizontal="right"/>
      <protection locked="0"/>
    </xf>
    <xf numFmtId="37" fontId="54" fillId="0" borderId="125" xfId="3" applyNumberFormat="1" applyFont="1" applyBorder="1" applyAlignment="1" applyProtection="1">
      <alignment horizontal="right"/>
      <protection locked="0"/>
    </xf>
    <xf numFmtId="0" fontId="54" fillId="0" borderId="125" xfId="3" applyFont="1" applyBorder="1" applyAlignment="1" applyProtection="1">
      <alignment horizontal="left" wrapText="1"/>
      <protection locked="0"/>
    </xf>
    <xf numFmtId="167" fontId="54" fillId="0" borderId="125" xfId="3" applyNumberFormat="1" applyFont="1" applyBorder="1" applyAlignment="1" applyProtection="1">
      <alignment horizontal="right"/>
      <protection locked="0"/>
    </xf>
    <xf numFmtId="39" fontId="54" fillId="0" borderId="125" xfId="3" applyNumberFormat="1" applyFont="1" applyBorder="1" applyAlignment="1" applyProtection="1">
      <alignment horizontal="right"/>
      <protection locked="0"/>
    </xf>
    <xf numFmtId="0" fontId="57" fillId="0" borderId="125" xfId="25" applyFont="1" applyBorder="1" applyAlignment="1" applyProtection="1">
      <alignment horizontal="left" wrapText="1"/>
      <protection locked="0"/>
    </xf>
    <xf numFmtId="0" fontId="57" fillId="0" borderId="125" xfId="3" applyFont="1" applyBorder="1" applyAlignment="1" applyProtection="1">
      <alignment horizontal="left" wrapText="1"/>
      <protection locked="0"/>
    </xf>
    <xf numFmtId="167" fontId="57" fillId="0" borderId="125" xfId="3" applyNumberFormat="1" applyFont="1" applyBorder="1" applyAlignment="1" applyProtection="1">
      <alignment horizontal="right"/>
      <protection locked="0"/>
    </xf>
    <xf numFmtId="39" fontId="57" fillId="0" borderId="125" xfId="3" applyNumberFormat="1" applyFont="1" applyBorder="1" applyAlignment="1" applyProtection="1">
      <alignment horizontal="right"/>
      <protection locked="0"/>
    </xf>
    <xf numFmtId="1" fontId="8" fillId="0" borderId="125" xfId="71" applyNumberFormat="1" applyFont="1" applyBorder="1" applyAlignment="1" applyProtection="1">
      <alignment horizontal="right"/>
      <protection locked="0"/>
    </xf>
    <xf numFmtId="37" fontId="8" fillId="0" borderId="125" xfId="69" applyNumberFormat="1" applyFont="1" applyBorder="1" applyAlignment="1" applyProtection="1">
      <alignment horizontal="right"/>
      <protection locked="0"/>
    </xf>
    <xf numFmtId="49" fontId="8" fillId="0" borderId="125" xfId="69" applyNumberFormat="1" applyFont="1" applyBorder="1" applyAlignment="1" applyProtection="1">
      <alignment horizontal="left" wrapText="1"/>
      <protection locked="0"/>
    </xf>
    <xf numFmtId="0" fontId="37" fillId="0" borderId="125" xfId="69" applyFont="1" applyBorder="1" applyAlignment="1" applyProtection="1">
      <alignment horizontal="left" wrapText="1"/>
      <protection locked="0"/>
    </xf>
    <xf numFmtId="4" fontId="8" fillId="0" borderId="125" xfId="69" applyNumberFormat="1" applyFont="1" applyBorder="1" applyAlignment="1" applyProtection="1">
      <alignment horizontal="right"/>
      <protection locked="0"/>
    </xf>
    <xf numFmtId="49" fontId="66" fillId="0" borderId="125" xfId="71" applyNumberFormat="1" applyFont="1" applyBorder="1" applyAlignment="1" applyProtection="1">
      <alignment horizontal="left" wrapText="1"/>
      <protection locked="0"/>
    </xf>
    <xf numFmtId="1" fontId="72" fillId="0" borderId="125" xfId="71" applyNumberFormat="1" applyFont="1" applyBorder="1" applyAlignment="1" applyProtection="1">
      <alignment horizontal="right"/>
      <protection locked="0"/>
    </xf>
    <xf numFmtId="4" fontId="28" fillId="5" borderId="125" xfId="71" applyNumberFormat="1" applyFont="1" applyFill="1" applyBorder="1" applyAlignment="1" applyProtection="1">
      <alignment horizontal="right"/>
      <protection locked="0"/>
    </xf>
    <xf numFmtId="167" fontId="8" fillId="0" borderId="125" xfId="71" applyNumberFormat="1" applyFont="1" applyBorder="1" applyAlignment="1" applyProtection="1">
      <alignment horizontal="left" wrapText="1"/>
      <protection locked="0"/>
    </xf>
    <xf numFmtId="4" fontId="8" fillId="7" borderId="125" xfId="71" applyNumberFormat="1" applyFont="1" applyFill="1" applyBorder="1" applyAlignment="1" applyProtection="1">
      <alignment horizontal="right"/>
      <protection locked="0"/>
    </xf>
    <xf numFmtId="37" fontId="8" fillId="0" borderId="125" xfId="34" applyNumberFormat="1" applyFont="1" applyBorder="1" applyAlignment="1" applyProtection="1">
      <alignment horizontal="right"/>
      <protection locked="0"/>
    </xf>
    <xf numFmtId="49" fontId="8" fillId="0" borderId="125" xfId="34" applyNumberFormat="1" applyFont="1" applyBorder="1" applyAlignment="1" applyProtection="1">
      <alignment horizontal="left" wrapText="1"/>
      <protection locked="0"/>
    </xf>
    <xf numFmtId="0" fontId="37" fillId="0" borderId="125" xfId="34" applyFont="1" applyBorder="1" applyAlignment="1" applyProtection="1">
      <alignment horizontal="left" wrapText="1"/>
      <protection locked="0"/>
    </xf>
    <xf numFmtId="39" fontId="8" fillId="0" borderId="125" xfId="34" applyNumberFormat="1" applyFont="1" applyBorder="1" applyAlignment="1" applyProtection="1">
      <alignment horizontal="right"/>
      <protection locked="0"/>
    </xf>
    <xf numFmtId="0" fontId="28" fillId="0" borderId="125" xfId="34" applyFont="1" applyBorder="1" applyAlignment="1" applyProtection="1">
      <alignment horizontal="left" wrapText="1"/>
      <protection locked="0"/>
    </xf>
    <xf numFmtId="0" fontId="37" fillId="0" borderId="125" xfId="25" applyFont="1" applyBorder="1" applyAlignment="1" applyProtection="1">
      <alignment horizontal="left" wrapText="1"/>
      <protection locked="0"/>
    </xf>
    <xf numFmtId="167" fontId="37" fillId="0" borderId="125" xfId="25" applyNumberFormat="1" applyFont="1" applyBorder="1" applyAlignment="1" applyProtection="1">
      <alignment horizontal="right"/>
      <protection locked="0"/>
    </xf>
    <xf numFmtId="39" fontId="8" fillId="0" borderId="125" xfId="25" applyNumberFormat="1" applyFont="1" applyBorder="1" applyAlignment="1" applyProtection="1">
      <alignment horizontal="center"/>
      <protection locked="0"/>
    </xf>
    <xf numFmtId="0" fontId="11" fillId="0" borderId="125" xfId="71" applyFont="1" applyBorder="1" applyAlignment="1" applyProtection="1">
      <alignment horizontal="left" vertical="top"/>
      <protection locked="0"/>
    </xf>
    <xf numFmtId="39" fontId="8" fillId="0" borderId="125" xfId="63" applyNumberFormat="1" applyFont="1" applyBorder="1" applyAlignment="1" applyProtection="1">
      <alignment horizontal="center"/>
      <protection locked="0"/>
    </xf>
    <xf numFmtId="0" fontId="12" fillId="0" borderId="0" xfId="59"/>
    <xf numFmtId="0" fontId="17" fillId="12" borderId="12" xfId="8" applyFont="1" applyFill="1" applyBorder="1" applyAlignment="1">
      <alignment horizontal="center" vertical="center" wrapText="1"/>
    </xf>
    <xf numFmtId="0" fontId="17" fillId="13" borderId="12" xfId="8" applyFont="1" applyFill="1" applyBorder="1" applyAlignment="1">
      <alignment horizontal="center" vertical="center" wrapText="1"/>
    </xf>
    <xf numFmtId="0" fontId="17" fillId="12" borderId="4" xfId="8" applyFont="1" applyFill="1" applyBorder="1" applyAlignment="1">
      <alignment vertical="center"/>
    </xf>
    <xf numFmtId="0" fontId="17" fillId="12" borderId="0" xfId="8" applyFont="1" applyFill="1" applyAlignment="1">
      <alignment vertical="center"/>
    </xf>
    <xf numFmtId="0" fontId="17" fillId="13" borderId="4" xfId="8" applyFont="1" applyFill="1" applyBorder="1" applyAlignment="1">
      <alignment vertical="center"/>
    </xf>
    <xf numFmtId="0" fontId="17" fillId="13" borderId="0" xfId="8" applyFont="1" applyFill="1" applyAlignment="1">
      <alignment vertical="center"/>
    </xf>
    <xf numFmtId="1" fontId="17" fillId="12" borderId="0" xfId="8" applyNumberFormat="1" applyFont="1" applyFill="1" applyAlignment="1">
      <alignment horizontal="right" vertical="center"/>
    </xf>
    <xf numFmtId="0" fontId="17" fillId="12" borderId="5" xfId="8" applyFont="1" applyFill="1" applyBorder="1" applyAlignment="1">
      <alignment vertical="center"/>
    </xf>
    <xf numFmtId="1" fontId="17" fillId="13" borderId="0" xfId="8" applyNumberFormat="1" applyFont="1" applyFill="1" applyAlignment="1">
      <alignment horizontal="right" vertical="center"/>
    </xf>
    <xf numFmtId="0" fontId="17" fillId="13" borderId="5" xfId="8" applyFont="1" applyFill="1" applyBorder="1" applyAlignment="1">
      <alignment vertical="center"/>
    </xf>
    <xf numFmtId="4" fontId="12" fillId="12" borderId="6" xfId="8" applyNumberFormat="1" applyFont="1" applyFill="1" applyBorder="1" applyAlignment="1">
      <alignment horizontal="right" vertical="center"/>
    </xf>
    <xf numFmtId="4" fontId="12" fillId="12" borderId="7" xfId="8" applyNumberFormat="1" applyFont="1" applyFill="1" applyBorder="1" applyAlignment="1">
      <alignment horizontal="right" vertical="center"/>
    </xf>
    <xf numFmtId="4" fontId="17" fillId="12" borderId="8" xfId="8" applyNumberFormat="1" applyFont="1" applyFill="1" applyBorder="1" applyAlignment="1">
      <alignment horizontal="right" vertical="center"/>
    </xf>
    <xf numFmtId="4" fontId="17" fillId="13" borderId="5" xfId="8" applyNumberFormat="1" applyFont="1" applyFill="1" applyBorder="1" applyAlignment="1">
      <alignment horizontal="right" vertical="center"/>
    </xf>
    <xf numFmtId="0" fontId="45" fillId="12" borderId="31" xfId="49" applyFont="1" applyFill="1" applyBorder="1" applyAlignment="1">
      <alignment horizontal="center" vertical="center" wrapText="1"/>
    </xf>
    <xf numFmtId="0" fontId="45" fillId="13" borderId="31" xfId="49" applyFont="1" applyFill="1" applyBorder="1" applyAlignment="1">
      <alignment horizontal="center" vertical="center" wrapText="1"/>
    </xf>
    <xf numFmtId="4" fontId="37" fillId="12" borderId="0" xfId="25" applyNumberFormat="1" applyFont="1" applyFill="1" applyAlignment="1">
      <alignment horizontal="right"/>
    </xf>
    <xf numFmtId="39" fontId="37" fillId="12" borderId="30" xfId="25" applyNumberFormat="1" applyFont="1" applyFill="1" applyBorder="1" applyAlignment="1" applyProtection="1">
      <alignment horizontal="right"/>
      <protection locked="0"/>
    </xf>
    <xf numFmtId="4" fontId="8" fillId="12" borderId="30" xfId="31" applyNumberFormat="1" applyFont="1" applyFill="1" applyBorder="1" applyAlignment="1" applyProtection="1">
      <alignment horizontal="right"/>
      <protection locked="0"/>
    </xf>
    <xf numFmtId="39" fontId="8" fillId="12" borderId="30" xfId="25" applyNumberFormat="1" applyFont="1" applyFill="1" applyBorder="1" applyAlignment="1" applyProtection="1">
      <alignment horizontal="right"/>
      <protection locked="0"/>
    </xf>
    <xf numFmtId="39" fontId="28" fillId="12" borderId="30" xfId="3" applyNumberFormat="1" applyFont="1" applyFill="1" applyBorder="1" applyAlignment="1" applyProtection="1">
      <alignment horizontal="right"/>
      <protection locked="0"/>
    </xf>
    <xf numFmtId="4" fontId="8" fillId="12" borderId="30" xfId="32" applyNumberFormat="1" applyFont="1" applyFill="1" applyBorder="1" applyAlignment="1" applyProtection="1">
      <alignment horizontal="right"/>
      <protection locked="0"/>
    </xf>
    <xf numFmtId="4" fontId="54" fillId="12" borderId="30" xfId="31" applyNumberFormat="1" applyFont="1" applyFill="1" applyBorder="1" applyAlignment="1" applyProtection="1">
      <alignment horizontal="right"/>
      <protection locked="0"/>
    </xf>
    <xf numFmtId="4" fontId="54" fillId="12" borderId="30" xfId="32" applyNumberFormat="1" applyFont="1" applyFill="1" applyBorder="1" applyAlignment="1" applyProtection="1">
      <alignment horizontal="right"/>
      <protection locked="0"/>
    </xf>
    <xf numFmtId="39" fontId="57" fillId="12" borderId="30" xfId="3" applyNumberFormat="1" applyFont="1" applyFill="1" applyBorder="1" applyAlignment="1" applyProtection="1">
      <alignment horizontal="right"/>
      <protection locked="0"/>
    </xf>
    <xf numFmtId="4" fontId="8" fillId="12" borderId="30" xfId="25" applyNumberFormat="1" applyFont="1" applyFill="1" applyBorder="1" applyAlignment="1" applyProtection="1">
      <alignment horizontal="right"/>
      <protection locked="0"/>
    </xf>
    <xf numFmtId="4" fontId="8" fillId="12" borderId="30" xfId="69" applyNumberFormat="1" applyFont="1" applyFill="1" applyBorder="1" applyAlignment="1" applyProtection="1">
      <alignment horizontal="right"/>
      <protection locked="0"/>
    </xf>
    <xf numFmtId="4" fontId="8" fillId="12" borderId="30" xfId="28" applyNumberFormat="1" applyFont="1" applyFill="1" applyBorder="1" applyAlignment="1">
      <alignment horizontal="right"/>
      <protection locked="0"/>
    </xf>
    <xf numFmtId="4" fontId="28" fillId="12" borderId="30" xfId="71" applyNumberFormat="1" applyFont="1" applyFill="1" applyBorder="1" applyAlignment="1" applyProtection="1">
      <alignment horizontal="right"/>
      <protection locked="0"/>
    </xf>
    <xf numFmtId="4" fontId="28" fillId="12" borderId="30" xfId="25" applyNumberFormat="1" applyFont="1" applyFill="1" applyBorder="1" applyAlignment="1" applyProtection="1">
      <alignment horizontal="right"/>
      <protection locked="0"/>
    </xf>
    <xf numFmtId="4" fontId="8" fillId="12" borderId="30" xfId="26" applyNumberFormat="1" applyFont="1" applyFill="1" applyBorder="1" applyAlignment="1" applyProtection="1">
      <alignment horizontal="right"/>
      <protection locked="0"/>
    </xf>
    <xf numFmtId="39" fontId="8" fillId="12" borderId="30" xfId="34" applyNumberFormat="1" applyFont="1" applyFill="1" applyBorder="1" applyAlignment="1" applyProtection="1">
      <alignment horizontal="right"/>
      <protection locked="0"/>
    </xf>
    <xf numFmtId="4" fontId="28" fillId="12" borderId="30" xfId="39" applyNumberFormat="1" applyFont="1" applyFill="1" applyBorder="1" applyAlignment="1">
      <alignment horizontal="right"/>
      <protection locked="0"/>
    </xf>
    <xf numFmtId="4" fontId="8" fillId="12" borderId="30" xfId="34" applyNumberFormat="1" applyFont="1" applyFill="1" applyBorder="1" applyAlignment="1" applyProtection="1">
      <alignment horizontal="right"/>
      <protection locked="0"/>
    </xf>
    <xf numFmtId="39" fontId="48" fillId="12" borderId="30" xfId="3" applyNumberFormat="1" applyFont="1" applyFill="1" applyBorder="1" applyAlignment="1" applyProtection="1">
      <alignment horizontal="right"/>
      <protection locked="0"/>
    </xf>
    <xf numFmtId="39" fontId="37" fillId="12" borderId="30" xfId="25" applyNumberFormat="1" applyFont="1" applyFill="1" applyBorder="1" applyAlignment="1">
      <alignment horizontal="right"/>
    </xf>
    <xf numFmtId="39" fontId="28" fillId="12" borderId="30" xfId="25" applyNumberFormat="1" applyFont="1" applyFill="1" applyBorder="1" applyAlignment="1" applyProtection="1">
      <alignment horizontal="right"/>
      <protection locked="0"/>
    </xf>
    <xf numFmtId="171" fontId="8" fillId="12" borderId="30" xfId="25" applyNumberFormat="1" applyFont="1" applyFill="1" applyBorder="1" applyAlignment="1" applyProtection="1">
      <alignment horizontal="right"/>
      <protection locked="0"/>
    </xf>
    <xf numFmtId="4" fontId="57" fillId="12" borderId="30" xfId="71" applyNumberFormat="1" applyFont="1" applyFill="1" applyBorder="1" applyAlignment="1" applyProtection="1">
      <alignment horizontal="right"/>
      <protection locked="0"/>
    </xf>
    <xf numFmtId="39" fontId="96" fillId="12" borderId="30" xfId="25" applyNumberFormat="1" applyFont="1" applyFill="1" applyBorder="1" applyAlignment="1" applyProtection="1">
      <alignment horizontal="right"/>
      <protection locked="0"/>
    </xf>
    <xf numFmtId="4" fontId="28" fillId="12" borderId="30" xfId="8" applyNumberFormat="1" applyFont="1" applyFill="1" applyBorder="1" applyAlignment="1" applyProtection="1">
      <alignment horizontal="right"/>
      <protection locked="0"/>
    </xf>
    <xf numFmtId="4" fontId="28" fillId="12" borderId="30" xfId="37" applyNumberFormat="1" applyFont="1" applyFill="1" applyBorder="1" applyAlignment="1">
      <alignment horizontal="right"/>
    </xf>
    <xf numFmtId="39" fontId="8" fillId="12" borderId="30" xfId="60" applyNumberFormat="1" applyFont="1" applyFill="1" applyBorder="1" applyAlignment="1">
      <alignment horizontal="right"/>
      <protection locked="0"/>
    </xf>
    <xf numFmtId="39" fontId="28" fillId="12" borderId="30" xfId="37" applyNumberFormat="1" applyFont="1" applyFill="1" applyBorder="1" applyAlignment="1">
      <alignment horizontal="right"/>
    </xf>
    <xf numFmtId="4" fontId="8" fillId="12" borderId="15" xfId="71" applyNumberFormat="1" applyFont="1" applyFill="1" applyBorder="1" applyAlignment="1" applyProtection="1">
      <alignment horizontal="right"/>
      <protection locked="0"/>
    </xf>
    <xf numFmtId="4" fontId="8" fillId="12" borderId="125" xfId="71" applyNumberFormat="1" applyFont="1" applyFill="1" applyBorder="1" applyAlignment="1" applyProtection="1">
      <alignment horizontal="right"/>
      <protection locked="0"/>
    </xf>
    <xf numFmtId="4" fontId="28" fillId="12" borderId="30" xfId="37" applyNumberFormat="1" applyFont="1" applyFill="1" applyBorder="1" applyAlignment="1" applyProtection="1">
      <alignment horizontal="right"/>
      <protection locked="0"/>
    </xf>
    <xf numFmtId="39" fontId="8" fillId="12" borderId="30" xfId="37" applyNumberFormat="1" applyFont="1" applyFill="1" applyBorder="1" applyAlignment="1">
      <alignment horizontal="right"/>
    </xf>
    <xf numFmtId="4" fontId="37" fillId="13" borderId="0" xfId="25" applyNumberFormat="1" applyFont="1" applyFill="1" applyAlignment="1">
      <alignment horizontal="right"/>
    </xf>
    <xf numFmtId="39" fontId="37" fillId="13" borderId="30" xfId="25" applyNumberFormat="1" applyFont="1" applyFill="1" applyBorder="1" applyAlignment="1" applyProtection="1">
      <alignment horizontal="right"/>
      <protection locked="0"/>
    </xf>
    <xf numFmtId="4" fontId="8" fillId="13" borderId="30" xfId="31" applyNumberFormat="1" applyFont="1" applyFill="1" applyBorder="1" applyAlignment="1" applyProtection="1">
      <alignment horizontal="right"/>
      <protection locked="0"/>
    </xf>
    <xf numFmtId="39" fontId="8" fillId="13" borderId="30" xfId="25" applyNumberFormat="1" applyFont="1" applyFill="1" applyBorder="1" applyAlignment="1" applyProtection="1">
      <alignment horizontal="right"/>
      <protection locked="0"/>
    </xf>
    <xf numFmtId="39" fontId="28" fillId="13" borderId="30" xfId="3" applyNumberFormat="1" applyFont="1" applyFill="1" applyBorder="1" applyAlignment="1" applyProtection="1">
      <alignment horizontal="right"/>
      <protection locked="0"/>
    </xf>
    <xf numFmtId="4" fontId="8" fillId="13" borderId="30" xfId="32" applyNumberFormat="1" applyFont="1" applyFill="1" applyBorder="1" applyAlignment="1" applyProtection="1">
      <alignment horizontal="right"/>
      <protection locked="0"/>
    </xf>
    <xf numFmtId="4" fontId="54" fillId="13" borderId="30" xfId="31" applyNumberFormat="1" applyFont="1" applyFill="1" applyBorder="1" applyAlignment="1" applyProtection="1">
      <alignment horizontal="right"/>
      <protection locked="0"/>
    </xf>
    <xf numFmtId="4" fontId="54" fillId="13" borderId="30" xfId="32" applyNumberFormat="1" applyFont="1" applyFill="1" applyBorder="1" applyAlignment="1" applyProtection="1">
      <alignment horizontal="right"/>
      <protection locked="0"/>
    </xf>
    <xf numFmtId="39" fontId="57" fillId="13" borderId="30" xfId="3" applyNumberFormat="1" applyFont="1" applyFill="1" applyBorder="1" applyAlignment="1" applyProtection="1">
      <alignment horizontal="right"/>
      <protection locked="0"/>
    </xf>
    <xf numFmtId="4" fontId="8" fillId="13" borderId="30" xfId="25" applyNumberFormat="1" applyFont="1" applyFill="1" applyBorder="1" applyAlignment="1" applyProtection="1">
      <alignment horizontal="right"/>
      <protection locked="0"/>
    </xf>
    <xf numFmtId="4" fontId="8" fillId="13" borderId="30" xfId="69" applyNumberFormat="1" applyFont="1" applyFill="1" applyBorder="1" applyAlignment="1" applyProtection="1">
      <alignment horizontal="right"/>
      <protection locked="0"/>
    </xf>
    <xf numFmtId="4" fontId="8" fillId="13" borderId="30" xfId="28" applyNumberFormat="1" applyFont="1" applyFill="1" applyBorder="1" applyAlignment="1">
      <alignment horizontal="right"/>
      <protection locked="0"/>
    </xf>
    <xf numFmtId="4" fontId="28" fillId="13" borderId="30" xfId="71" applyNumberFormat="1" applyFont="1" applyFill="1" applyBorder="1" applyAlignment="1" applyProtection="1">
      <alignment horizontal="right"/>
      <protection locked="0"/>
    </xf>
    <xf numFmtId="4" fontId="28" fillId="13" borderId="30" xfId="25" applyNumberFormat="1" applyFont="1" applyFill="1" applyBorder="1" applyAlignment="1" applyProtection="1">
      <alignment horizontal="right"/>
      <protection locked="0"/>
    </xf>
    <xf numFmtId="4" fontId="8" fillId="13" borderId="30" xfId="26" applyNumberFormat="1" applyFont="1" applyFill="1" applyBorder="1" applyAlignment="1" applyProtection="1">
      <alignment horizontal="right"/>
      <protection locked="0"/>
    </xf>
    <xf numFmtId="39" fontId="8" fillId="13" borderId="30" xfId="34" applyNumberFormat="1" applyFont="1" applyFill="1" applyBorder="1" applyAlignment="1" applyProtection="1">
      <alignment horizontal="right"/>
      <protection locked="0"/>
    </xf>
    <xf numFmtId="4" fontId="28" fillId="13" borderId="30" xfId="39" applyNumberFormat="1" applyFont="1" applyFill="1" applyBorder="1" applyAlignment="1">
      <alignment horizontal="right"/>
      <protection locked="0"/>
    </xf>
    <xf numFmtId="4" fontId="8" fillId="13" borderId="30" xfId="34" applyNumberFormat="1" applyFont="1" applyFill="1" applyBorder="1" applyAlignment="1" applyProtection="1">
      <alignment horizontal="right"/>
      <protection locked="0"/>
    </xf>
    <xf numFmtId="39" fontId="48" fillId="13" borderId="30" xfId="3" applyNumberFormat="1" applyFont="1" applyFill="1" applyBorder="1" applyAlignment="1" applyProtection="1">
      <alignment horizontal="right"/>
      <protection locked="0"/>
    </xf>
    <xf numFmtId="39" fontId="37" fillId="13" borderId="30" xfId="25" applyNumberFormat="1" applyFont="1" applyFill="1" applyBorder="1" applyAlignment="1">
      <alignment horizontal="right"/>
    </xf>
    <xf numFmtId="39" fontId="28" fillId="13" borderId="30" xfId="25" applyNumberFormat="1" applyFont="1" applyFill="1" applyBorder="1" applyAlignment="1" applyProtection="1">
      <alignment horizontal="right"/>
      <protection locked="0"/>
    </xf>
    <xf numFmtId="171" fontId="8" fillId="13" borderId="30" xfId="25" applyNumberFormat="1" applyFont="1" applyFill="1" applyBorder="1" applyAlignment="1" applyProtection="1">
      <alignment horizontal="right"/>
      <protection locked="0"/>
    </xf>
    <xf numFmtId="4" fontId="57" fillId="13" borderId="30" xfId="71" applyNumberFormat="1" applyFont="1" applyFill="1" applyBorder="1" applyAlignment="1" applyProtection="1">
      <alignment horizontal="right"/>
      <protection locked="0"/>
    </xf>
    <xf numFmtId="39" fontId="96" fillId="13" borderId="30" xfId="25" applyNumberFormat="1" applyFont="1" applyFill="1" applyBorder="1" applyAlignment="1" applyProtection="1">
      <alignment horizontal="right"/>
      <protection locked="0"/>
    </xf>
    <xf numFmtId="4" fontId="28" fillId="13" borderId="30" xfId="8" applyNumberFormat="1" applyFont="1" applyFill="1" applyBorder="1" applyAlignment="1" applyProtection="1">
      <alignment horizontal="right"/>
      <protection locked="0"/>
    </xf>
    <xf numFmtId="4" fontId="28" fillId="13" borderId="30" xfId="37" applyNumberFormat="1" applyFont="1" applyFill="1" applyBorder="1" applyAlignment="1">
      <alignment horizontal="right"/>
    </xf>
    <xf numFmtId="39" fontId="8" fillId="13" borderId="30" xfId="60" applyNumberFormat="1" applyFont="1" applyFill="1" applyBorder="1" applyAlignment="1">
      <alignment horizontal="right"/>
      <protection locked="0"/>
    </xf>
    <xf numFmtId="39" fontId="28" fillId="13" borderId="30" xfId="37" applyNumberFormat="1" applyFont="1" applyFill="1" applyBorder="1" applyAlignment="1">
      <alignment horizontal="right"/>
    </xf>
    <xf numFmtId="39" fontId="8" fillId="13" borderId="30" xfId="40" applyNumberFormat="1" applyFont="1" applyFill="1" applyBorder="1" applyAlignment="1">
      <alignment horizontal="right"/>
      <protection locked="0"/>
    </xf>
    <xf numFmtId="4" fontId="8" fillId="13" borderId="15" xfId="71" applyNumberFormat="1" applyFont="1" applyFill="1" applyBorder="1" applyAlignment="1" applyProtection="1">
      <alignment horizontal="right"/>
      <protection locked="0"/>
    </xf>
    <xf numFmtId="4" fontId="8" fillId="13" borderId="125" xfId="71" applyNumberFormat="1" applyFont="1" applyFill="1" applyBorder="1" applyAlignment="1" applyProtection="1">
      <alignment horizontal="right"/>
      <protection locked="0"/>
    </xf>
    <xf numFmtId="4" fontId="28" fillId="13" borderId="30" xfId="37" applyNumberFormat="1" applyFont="1" applyFill="1" applyBorder="1" applyAlignment="1" applyProtection="1">
      <alignment horizontal="right"/>
      <protection locked="0"/>
    </xf>
    <xf numFmtId="39" fontId="8" fillId="13" borderId="30" xfId="37" applyNumberFormat="1" applyFont="1" applyFill="1" applyBorder="1" applyAlignment="1">
      <alignment horizontal="right"/>
    </xf>
    <xf numFmtId="39" fontId="37" fillId="12" borderId="31" xfId="49" applyNumberFormat="1" applyFont="1" applyFill="1" applyBorder="1" applyAlignment="1" applyProtection="1">
      <alignment horizontal="right"/>
      <protection locked="0"/>
    </xf>
    <xf numFmtId="39" fontId="37" fillId="0" borderId="31" xfId="49" applyNumberFormat="1" applyFont="1" applyBorder="1" applyAlignment="1" applyProtection="1">
      <alignment horizontal="right"/>
      <protection locked="0"/>
    </xf>
    <xf numFmtId="39" fontId="37" fillId="13" borderId="31" xfId="49" applyNumberFormat="1" applyFont="1" applyFill="1" applyBorder="1" applyAlignment="1" applyProtection="1">
      <alignment horizontal="right"/>
      <protection locked="0"/>
    </xf>
    <xf numFmtId="0" fontId="45" fillId="0" borderId="31" xfId="49" applyFont="1" applyBorder="1" applyAlignment="1">
      <alignment horizontal="center" vertical="center" wrapText="1"/>
    </xf>
    <xf numFmtId="0" fontId="309" fillId="0" borderId="0" xfId="76" applyFont="1" applyFill="1" applyAlignment="1" applyProtection="1"/>
    <xf numFmtId="0" fontId="38" fillId="0" borderId="0" xfId="49"/>
    <xf numFmtId="0" fontId="45" fillId="12" borderId="32" xfId="71" applyFont="1" applyFill="1" applyBorder="1" applyAlignment="1">
      <alignment horizontal="center" vertical="center" wrapText="1"/>
    </xf>
    <xf numFmtId="4" fontId="37" fillId="12" borderId="0" xfId="71" applyNumberFormat="1" applyFont="1" applyFill="1" applyAlignment="1">
      <alignment horizontal="right"/>
    </xf>
    <xf numFmtId="39" fontId="37" fillId="12" borderId="30" xfId="71" applyNumberFormat="1" applyFont="1" applyFill="1" applyBorder="1" applyAlignment="1" applyProtection="1">
      <alignment horizontal="right"/>
      <protection locked="0"/>
    </xf>
    <xf numFmtId="4" fontId="8" fillId="12" borderId="125" xfId="31" applyNumberFormat="1" applyFont="1" applyFill="1" applyBorder="1" applyAlignment="1" applyProtection="1">
      <alignment horizontal="right"/>
      <protection locked="0"/>
    </xf>
    <xf numFmtId="39" fontId="8" fillId="12" borderId="125" xfId="71" applyNumberFormat="1" applyFont="1" applyFill="1" applyBorder="1" applyAlignment="1" applyProtection="1">
      <alignment horizontal="right"/>
      <protection locked="0"/>
    </xf>
    <xf numFmtId="39" fontId="28" fillId="12" borderId="125" xfId="3" applyNumberFormat="1" applyFont="1" applyFill="1" applyBorder="1" applyAlignment="1" applyProtection="1">
      <alignment horizontal="right"/>
      <protection locked="0"/>
    </xf>
    <xf numFmtId="4" fontId="8" fillId="12" borderId="125" xfId="32" applyNumberFormat="1" applyFont="1" applyFill="1" applyBorder="1" applyAlignment="1" applyProtection="1">
      <alignment horizontal="right"/>
      <protection locked="0"/>
    </xf>
    <xf numFmtId="39" fontId="8" fillId="12" borderId="125" xfId="3" applyNumberFormat="1" applyFont="1" applyFill="1" applyBorder="1" applyAlignment="1" applyProtection="1">
      <alignment horizontal="right"/>
      <protection locked="0"/>
    </xf>
    <xf numFmtId="4" fontId="54" fillId="12" borderId="125" xfId="31" applyNumberFormat="1" applyFont="1" applyFill="1" applyBorder="1" applyAlignment="1" applyProtection="1">
      <alignment horizontal="right"/>
      <protection locked="0"/>
    </xf>
    <xf numFmtId="39" fontId="54" fillId="12" borderId="125" xfId="3" applyNumberFormat="1" applyFont="1" applyFill="1" applyBorder="1" applyAlignment="1" applyProtection="1">
      <alignment horizontal="right"/>
      <protection locked="0"/>
    </xf>
    <xf numFmtId="39" fontId="57" fillId="12" borderId="125" xfId="3" applyNumberFormat="1" applyFont="1" applyFill="1" applyBorder="1" applyAlignment="1" applyProtection="1">
      <alignment horizontal="right"/>
      <protection locked="0"/>
    </xf>
    <xf numFmtId="4" fontId="8" fillId="12" borderId="125" xfId="69" applyNumberFormat="1" applyFont="1" applyFill="1" applyBorder="1" applyAlignment="1" applyProtection="1">
      <alignment horizontal="right"/>
      <protection locked="0"/>
    </xf>
    <xf numFmtId="4" fontId="28" fillId="12" borderId="125" xfId="71" applyNumberFormat="1" applyFont="1" applyFill="1" applyBorder="1" applyAlignment="1" applyProtection="1">
      <alignment horizontal="right"/>
      <protection locked="0"/>
    </xf>
    <xf numFmtId="4" fontId="8" fillId="12" borderId="125" xfId="26" applyNumberFormat="1" applyFont="1" applyFill="1" applyBorder="1" applyAlignment="1" applyProtection="1">
      <alignment horizontal="right"/>
      <protection locked="0"/>
    </xf>
    <xf numFmtId="39" fontId="8" fillId="12" borderId="125" xfId="34" applyNumberFormat="1" applyFont="1" applyFill="1" applyBorder="1" applyAlignment="1" applyProtection="1">
      <alignment horizontal="right"/>
      <protection locked="0"/>
    </xf>
    <xf numFmtId="4" fontId="28" fillId="12" borderId="125" xfId="39" applyNumberFormat="1" applyFont="1" applyFill="1" applyBorder="1" applyAlignment="1">
      <alignment horizontal="right"/>
      <protection locked="0"/>
    </xf>
    <xf numFmtId="4" fontId="8" fillId="12" borderId="125" xfId="34" applyNumberFormat="1" applyFont="1" applyFill="1" applyBorder="1" applyAlignment="1" applyProtection="1">
      <alignment horizontal="right"/>
      <protection locked="0"/>
    </xf>
    <xf numFmtId="39" fontId="37" fillId="12" borderId="125" xfId="25" applyNumberFormat="1" applyFont="1" applyFill="1" applyBorder="1" applyAlignment="1" applyProtection="1">
      <alignment horizontal="right"/>
      <protection locked="0"/>
    </xf>
    <xf numFmtId="39" fontId="37" fillId="12" borderId="125" xfId="71" applyNumberFormat="1" applyFont="1" applyFill="1" applyBorder="1" applyAlignment="1" applyProtection="1">
      <alignment horizontal="right"/>
      <protection locked="0"/>
    </xf>
    <xf numFmtId="39" fontId="48" fillId="12" borderId="125" xfId="3" applyNumberFormat="1" applyFont="1" applyFill="1" applyBorder="1" applyAlignment="1" applyProtection="1">
      <alignment horizontal="right"/>
      <protection locked="0"/>
    </xf>
    <xf numFmtId="39" fontId="37" fillId="12" borderId="125" xfId="71" applyNumberFormat="1" applyFont="1" applyFill="1" applyBorder="1" applyAlignment="1">
      <alignment horizontal="right"/>
    </xf>
    <xf numFmtId="39" fontId="37" fillId="12" borderId="125" xfId="49" applyNumberFormat="1" applyFont="1" applyFill="1" applyBorder="1" applyAlignment="1" applyProtection="1">
      <alignment horizontal="right"/>
      <protection locked="0"/>
    </xf>
    <xf numFmtId="4" fontId="109" fillId="12" borderId="125" xfId="32" applyNumberFormat="1" applyFont="1" applyFill="1" applyBorder="1" applyAlignment="1" applyProtection="1">
      <alignment horizontal="right" vertical="center"/>
      <protection locked="0"/>
    </xf>
    <xf numFmtId="39" fontId="8" fillId="12" borderId="125" xfId="59" applyNumberFormat="1" applyFont="1" applyFill="1" applyBorder="1" applyAlignment="1" applyProtection="1">
      <alignment horizontal="right"/>
      <protection locked="0"/>
    </xf>
    <xf numFmtId="0" fontId="7" fillId="12" borderId="125" xfId="71" applyFill="1" applyBorder="1" applyAlignment="1" applyProtection="1">
      <alignment horizontal="left" vertical="top"/>
      <protection locked="0"/>
    </xf>
    <xf numFmtId="4" fontId="37" fillId="12" borderId="125" xfId="71" applyNumberFormat="1" applyFont="1" applyFill="1" applyBorder="1" applyAlignment="1" applyProtection="1">
      <alignment horizontal="right"/>
      <protection locked="0"/>
    </xf>
    <xf numFmtId="39" fontId="8" fillId="12" borderId="125" xfId="63" applyNumberFormat="1" applyFont="1" applyFill="1" applyBorder="1" applyAlignment="1" applyProtection="1">
      <alignment horizontal="right"/>
      <protection locked="0"/>
    </xf>
    <xf numFmtId="39" fontId="8" fillId="12" borderId="30" xfId="63" applyNumberFormat="1" applyFont="1" applyFill="1" applyBorder="1" applyAlignment="1" applyProtection="1">
      <alignment horizontal="right"/>
      <protection locked="0"/>
    </xf>
    <xf numFmtId="4" fontId="8" fillId="12" borderId="30" xfId="71" applyNumberFormat="1" applyFont="1" applyFill="1" applyBorder="1" applyAlignment="1" applyProtection="1">
      <alignment horizontal="right"/>
      <protection locked="0"/>
    </xf>
    <xf numFmtId="4" fontId="37" fillId="12" borderId="30" xfId="71" applyNumberFormat="1" applyFont="1" applyFill="1" applyBorder="1" applyAlignment="1" applyProtection="1">
      <alignment horizontal="right"/>
      <protection locked="0"/>
    </xf>
    <xf numFmtId="39" fontId="54" fillId="12" borderId="30" xfId="3" applyNumberFormat="1" applyFont="1" applyFill="1" applyBorder="1" applyAlignment="1" applyProtection="1">
      <alignment horizontal="right"/>
      <protection locked="0"/>
    </xf>
    <xf numFmtId="4" fontId="48" fillId="12" borderId="30" xfId="71" applyNumberFormat="1" applyFont="1" applyFill="1" applyBorder="1" applyAlignment="1" applyProtection="1">
      <alignment horizontal="right"/>
      <protection locked="0"/>
    </xf>
    <xf numFmtId="39" fontId="37" fillId="12" borderId="31" xfId="71" applyNumberFormat="1" applyFont="1" applyFill="1" applyBorder="1" applyAlignment="1">
      <alignment horizontal="right"/>
    </xf>
    <xf numFmtId="165" fontId="15" fillId="12" borderId="12" xfId="22" applyNumberFormat="1" applyFont="1" applyFill="1" applyBorder="1" applyAlignment="1">
      <alignment horizontal="center" vertical="center"/>
    </xf>
    <xf numFmtId="4" fontId="37" fillId="12" borderId="31" xfId="0" applyNumberFormat="1" applyFont="1" applyFill="1" applyBorder="1" applyAlignment="1">
      <alignment horizontal="right"/>
      <protection locked="0"/>
    </xf>
    <xf numFmtId="0" fontId="45" fillId="12" borderId="31" xfId="0" applyFont="1" applyFill="1" applyBorder="1" applyAlignment="1" applyProtection="1">
      <alignment horizontal="center" vertical="center" wrapText="1"/>
    </xf>
    <xf numFmtId="4" fontId="37" fillId="12" borderId="29" xfId="0" applyNumberFormat="1" applyFont="1" applyFill="1" applyBorder="1" applyAlignment="1">
      <alignment horizontal="right"/>
      <protection locked="0"/>
    </xf>
    <xf numFmtId="4" fontId="37" fillId="12" borderId="129" xfId="0" applyNumberFormat="1" applyFont="1" applyFill="1" applyBorder="1" applyAlignment="1">
      <alignment horizontal="right"/>
      <protection locked="0"/>
    </xf>
    <xf numFmtId="4" fontId="9" fillId="12" borderId="129" xfId="0" applyNumberFormat="1" applyFont="1" applyFill="1" applyBorder="1" applyAlignment="1" applyProtection="1"/>
    <xf numFmtId="39" fontId="8" fillId="12" borderId="129" xfId="0" applyNumberFormat="1" applyFont="1" applyFill="1" applyBorder="1" applyAlignment="1">
      <alignment horizontal="right"/>
      <protection locked="0"/>
    </xf>
    <xf numFmtId="4" fontId="25" fillId="12" borderId="129" xfId="0" applyNumberFormat="1" applyFont="1" applyFill="1" applyBorder="1" applyAlignment="1" applyProtection="1"/>
    <xf numFmtId="4" fontId="8" fillId="12" borderId="129" xfId="99" applyNumberFormat="1" applyFont="1" applyFill="1" applyBorder="1" applyAlignment="1" applyProtection="1">
      <alignment horizontal="right"/>
      <protection locked="0"/>
    </xf>
    <xf numFmtId="4" fontId="37" fillId="12" borderId="125" xfId="99" applyNumberFormat="1" applyFont="1" applyFill="1" applyBorder="1" applyAlignment="1" applyProtection="1">
      <alignment horizontal="right"/>
      <protection locked="0"/>
    </xf>
    <xf numFmtId="4" fontId="8" fillId="12" borderId="125" xfId="99" applyNumberFormat="1" applyFont="1" applyFill="1" applyBorder="1" applyAlignment="1" applyProtection="1">
      <alignment horizontal="right"/>
      <protection locked="0"/>
    </xf>
    <xf numFmtId="39" fontId="37" fillId="12" borderId="0" xfId="0" applyNumberFormat="1" applyFont="1" applyFill="1" applyAlignment="1">
      <alignment horizontal="right"/>
      <protection locked="0"/>
    </xf>
    <xf numFmtId="39" fontId="37" fillId="12" borderId="125" xfId="0" applyNumberFormat="1" applyFont="1" applyFill="1" applyBorder="1" applyAlignment="1">
      <alignment horizontal="right"/>
      <protection locked="0"/>
    </xf>
    <xf numFmtId="4" fontId="8" fillId="12" borderId="125" xfId="46" applyNumberFormat="1" applyFont="1" applyFill="1" applyBorder="1" applyAlignment="1">
      <alignment horizontal="right"/>
      <protection locked="0"/>
    </xf>
    <xf numFmtId="39" fontId="8" fillId="12" borderId="125" xfId="0" applyNumberFormat="1" applyFont="1" applyFill="1" applyBorder="1" applyAlignment="1">
      <alignment horizontal="right"/>
      <protection locked="0"/>
    </xf>
    <xf numFmtId="39" fontId="96" fillId="12" borderId="125" xfId="0" applyNumberFormat="1" applyFont="1" applyFill="1" applyBorder="1" applyAlignment="1">
      <alignment horizontal="right"/>
      <protection locked="0"/>
    </xf>
    <xf numFmtId="4" fontId="8" fillId="12" borderId="125" xfId="68" applyNumberFormat="1" applyFont="1" applyFill="1" applyBorder="1" applyAlignment="1">
      <alignment horizontal="right"/>
      <protection locked="0"/>
    </xf>
    <xf numFmtId="4" fontId="37" fillId="12" borderId="125" xfId="68" applyNumberFormat="1" applyFont="1" applyFill="1" applyBorder="1" applyAlignment="1">
      <alignment horizontal="right"/>
      <protection locked="0"/>
    </xf>
    <xf numFmtId="4" fontId="72" fillId="12" borderId="125" xfId="31" applyNumberFormat="1" applyFont="1" applyFill="1" applyBorder="1" applyAlignment="1" applyProtection="1">
      <alignment horizontal="right"/>
      <protection locked="0"/>
    </xf>
    <xf numFmtId="4" fontId="137" fillId="12" borderId="125" xfId="31" applyNumberFormat="1" applyFont="1" applyFill="1" applyBorder="1" applyAlignment="1" applyProtection="1">
      <alignment horizontal="right"/>
      <protection locked="0"/>
    </xf>
    <xf numFmtId="4" fontId="57" fillId="12" borderId="125" xfId="0" applyNumberFormat="1" applyFont="1" applyFill="1" applyBorder="1" applyAlignment="1">
      <alignment horizontal="right"/>
      <protection locked="0"/>
    </xf>
    <xf numFmtId="0" fontId="11" fillId="12" borderId="125" xfId="0" applyFont="1" applyFill="1" applyBorder="1" applyAlignment="1">
      <alignment horizontal="center" vertical="top"/>
      <protection locked="0"/>
    </xf>
    <xf numFmtId="4" fontId="8" fillId="12" borderId="125" xfId="97" applyNumberFormat="1" applyFont="1" applyFill="1" applyBorder="1" applyAlignment="1" applyProtection="1">
      <alignment horizontal="right"/>
      <protection locked="0"/>
    </xf>
    <xf numFmtId="39" fontId="8" fillId="12" borderId="125" xfId="28" applyNumberFormat="1" applyFont="1" applyFill="1" applyBorder="1" applyAlignment="1">
      <alignment horizontal="right"/>
      <protection locked="0"/>
    </xf>
    <xf numFmtId="0" fontId="302" fillId="12" borderId="125" xfId="0" applyFont="1" applyFill="1" applyBorder="1" applyAlignment="1">
      <alignment horizontal="center" vertical="center"/>
      <protection locked="0"/>
    </xf>
    <xf numFmtId="4" fontId="8" fillId="12" borderId="125" xfId="0" applyNumberFormat="1" applyFont="1" applyFill="1" applyBorder="1" applyAlignment="1">
      <alignment horizontal="right"/>
      <protection locked="0"/>
    </xf>
    <xf numFmtId="4" fontId="37" fillId="12" borderId="125" xfId="0" applyNumberFormat="1" applyFont="1" applyFill="1" applyBorder="1" applyAlignment="1">
      <alignment horizontal="right"/>
      <protection locked="0"/>
    </xf>
    <xf numFmtId="39" fontId="8" fillId="12" borderId="125" xfId="0" applyNumberFormat="1" applyFont="1" applyFill="1" applyBorder="1" applyAlignment="1">
      <alignment horizontal="center"/>
      <protection locked="0"/>
    </xf>
    <xf numFmtId="0" fontId="28" fillId="12" borderId="125" xfId="3" applyFont="1" applyFill="1" applyBorder="1" applyAlignment="1" applyProtection="1">
      <alignment horizontal="left" wrapText="1"/>
      <protection locked="0"/>
    </xf>
    <xf numFmtId="0" fontId="8" fillId="12" borderId="125" xfId="28" applyFont="1" applyFill="1" applyBorder="1" applyAlignment="1">
      <alignment horizontal="left" wrapText="1"/>
      <protection locked="0"/>
    </xf>
    <xf numFmtId="39" fontId="96" fillId="12" borderId="125" xfId="28" applyNumberFormat="1" applyFont="1" applyFill="1" applyBorder="1" applyAlignment="1">
      <alignment horizontal="right"/>
      <protection locked="0"/>
    </xf>
    <xf numFmtId="39" fontId="8" fillId="12" borderId="125" xfId="63" applyNumberFormat="1" applyFont="1" applyFill="1" applyBorder="1" applyAlignment="1">
      <alignment horizontal="right"/>
    </xf>
    <xf numFmtId="39" fontId="37" fillId="13" borderId="0" xfId="0" applyNumberFormat="1" applyFont="1" applyFill="1" applyAlignment="1">
      <alignment horizontal="right"/>
      <protection locked="0"/>
    </xf>
    <xf numFmtId="39" fontId="37" fillId="13" borderId="125" xfId="0" applyNumberFormat="1" applyFont="1" applyFill="1" applyBorder="1" applyAlignment="1">
      <alignment horizontal="right"/>
      <protection locked="0"/>
    </xf>
    <xf numFmtId="4" fontId="8" fillId="13" borderId="125" xfId="46" applyNumberFormat="1" applyFont="1" applyFill="1" applyBorder="1" applyAlignment="1">
      <alignment horizontal="right"/>
      <protection locked="0"/>
    </xf>
    <xf numFmtId="39" fontId="8" fillId="13" borderId="125" xfId="0" applyNumberFormat="1" applyFont="1" applyFill="1" applyBorder="1" applyAlignment="1">
      <alignment horizontal="right"/>
      <protection locked="0"/>
    </xf>
    <xf numFmtId="39" fontId="96" fillId="13" borderId="125" xfId="0" applyNumberFormat="1" applyFont="1" applyFill="1" applyBorder="1" applyAlignment="1">
      <alignment horizontal="right"/>
      <protection locked="0"/>
    </xf>
    <xf numFmtId="4" fontId="8" fillId="13" borderId="125" xfId="68" applyNumberFormat="1" applyFont="1" applyFill="1" applyBorder="1" applyAlignment="1">
      <alignment horizontal="right"/>
      <protection locked="0"/>
    </xf>
    <xf numFmtId="4" fontId="37" fillId="13" borderId="125" xfId="68" applyNumberFormat="1" applyFont="1" applyFill="1" applyBorder="1" applyAlignment="1">
      <alignment horizontal="right"/>
      <protection locked="0"/>
    </xf>
    <xf numFmtId="4" fontId="72" fillId="13" borderId="125" xfId="31" applyNumberFormat="1" applyFont="1" applyFill="1" applyBorder="1" applyAlignment="1" applyProtection="1">
      <alignment horizontal="right"/>
      <protection locked="0"/>
    </xf>
    <xf numFmtId="4" fontId="137" fillId="13" borderId="125" xfId="31" applyNumberFormat="1" applyFont="1" applyFill="1" applyBorder="1" applyAlignment="1" applyProtection="1">
      <alignment horizontal="right"/>
      <protection locked="0"/>
    </xf>
    <xf numFmtId="4" fontId="57" fillId="13" borderId="125" xfId="0" applyNumberFormat="1" applyFont="1" applyFill="1" applyBorder="1" applyAlignment="1">
      <alignment horizontal="right"/>
      <protection locked="0"/>
    </xf>
    <xf numFmtId="0" fontId="11" fillId="13" borderId="125" xfId="0" applyFont="1" applyFill="1" applyBorder="1" applyAlignment="1">
      <alignment horizontal="center" vertical="top"/>
      <protection locked="0"/>
    </xf>
    <xf numFmtId="4" fontId="8" fillId="13" borderId="125" xfId="97" applyNumberFormat="1" applyFont="1" applyFill="1" applyBorder="1" applyAlignment="1" applyProtection="1">
      <alignment horizontal="right"/>
      <protection locked="0"/>
    </xf>
    <xf numFmtId="39" fontId="8" fillId="13" borderId="125" xfId="28" applyNumberFormat="1" applyFont="1" applyFill="1" applyBorder="1" applyAlignment="1">
      <alignment horizontal="right"/>
      <protection locked="0"/>
    </xf>
    <xf numFmtId="0" fontId="302" fillId="13" borderId="125" xfId="0" applyFont="1" applyFill="1" applyBorder="1" applyAlignment="1">
      <alignment horizontal="center" vertical="center"/>
      <protection locked="0"/>
    </xf>
    <xf numFmtId="4" fontId="8" fillId="13" borderId="125" xfId="0" applyNumberFormat="1" applyFont="1" applyFill="1" applyBorder="1" applyAlignment="1">
      <alignment horizontal="right"/>
      <protection locked="0"/>
    </xf>
    <xf numFmtId="4" fontId="37" fillId="13" borderId="125" xfId="0" applyNumberFormat="1" applyFont="1" applyFill="1" applyBorder="1" applyAlignment="1">
      <alignment horizontal="right"/>
      <protection locked="0"/>
    </xf>
    <xf numFmtId="39" fontId="8" fillId="13" borderId="125" xfId="0" applyNumberFormat="1" applyFont="1" applyFill="1" applyBorder="1" applyAlignment="1">
      <alignment horizontal="center"/>
      <protection locked="0"/>
    </xf>
    <xf numFmtId="0" fontId="28" fillId="13" borderId="125" xfId="3" applyFont="1" applyFill="1" applyBorder="1" applyAlignment="1" applyProtection="1">
      <alignment horizontal="left" wrapText="1"/>
      <protection locked="0"/>
    </xf>
    <xf numFmtId="0" fontId="8" fillId="13" borderId="125" xfId="28" applyFont="1" applyFill="1" applyBorder="1" applyAlignment="1">
      <alignment horizontal="left" wrapText="1"/>
      <protection locked="0"/>
    </xf>
    <xf numFmtId="4" fontId="8" fillId="13" borderId="125" xfId="31" applyNumberFormat="1" applyFont="1" applyFill="1" applyBorder="1" applyAlignment="1" applyProtection="1">
      <alignment horizontal="right"/>
      <protection locked="0"/>
    </xf>
    <xf numFmtId="4" fontId="8" fillId="13" borderId="125" xfId="26" applyNumberFormat="1" applyFont="1" applyFill="1" applyBorder="1" applyAlignment="1" applyProtection="1">
      <alignment horizontal="right"/>
      <protection locked="0"/>
    </xf>
    <xf numFmtId="39" fontId="96" fillId="13" borderId="125" xfId="28" applyNumberFormat="1" applyFont="1" applyFill="1" applyBorder="1" applyAlignment="1">
      <alignment horizontal="right"/>
      <protection locked="0"/>
    </xf>
    <xf numFmtId="39" fontId="8" fillId="13" borderId="125" xfId="63" applyNumberFormat="1" applyFont="1" applyFill="1" applyBorder="1" applyAlignment="1">
      <alignment horizontal="right"/>
    </xf>
    <xf numFmtId="39" fontId="37" fillId="12" borderId="30" xfId="71" applyNumberFormat="1" applyFont="1" applyFill="1" applyBorder="1" applyAlignment="1">
      <alignment horizontal="right"/>
    </xf>
    <xf numFmtId="4" fontId="8" fillId="12" borderId="30" xfId="90" applyNumberFormat="1" applyFont="1" applyFill="1" applyBorder="1" applyAlignment="1" applyProtection="1">
      <alignment horizontal="right"/>
      <protection locked="0"/>
    </xf>
    <xf numFmtId="39" fontId="8" fillId="12" borderId="30" xfId="71" applyNumberFormat="1" applyFont="1" applyFill="1" applyBorder="1" applyAlignment="1" applyProtection="1">
      <alignment horizontal="right"/>
      <protection locked="0"/>
    </xf>
    <xf numFmtId="39" fontId="8" fillId="12" borderId="72" xfId="71" applyNumberFormat="1" applyFont="1" applyFill="1" applyBorder="1" applyAlignment="1" applyProtection="1">
      <alignment horizontal="right"/>
      <protection locked="0"/>
    </xf>
    <xf numFmtId="4" fontId="8" fillId="12" borderId="75" xfId="90" applyNumberFormat="1" applyFont="1" applyFill="1" applyBorder="1" applyAlignment="1" applyProtection="1">
      <alignment horizontal="right"/>
      <protection locked="0"/>
    </xf>
    <xf numFmtId="39" fontId="8" fillId="12" borderId="76" xfId="71" applyNumberFormat="1" applyFont="1" applyFill="1" applyBorder="1" applyAlignment="1" applyProtection="1">
      <alignment horizontal="right"/>
      <protection locked="0"/>
    </xf>
    <xf numFmtId="4" fontId="8" fillId="12" borderId="79" xfId="90" applyNumberFormat="1" applyFont="1" applyFill="1" applyBorder="1" applyAlignment="1" applyProtection="1">
      <alignment horizontal="right"/>
      <protection locked="0"/>
    </xf>
    <xf numFmtId="39" fontId="8" fillId="12" borderId="80" xfId="71" applyNumberFormat="1" applyFont="1" applyFill="1" applyBorder="1" applyAlignment="1" applyProtection="1">
      <alignment horizontal="right"/>
      <protection locked="0"/>
    </xf>
    <xf numFmtId="4" fontId="8" fillId="12" borderId="83" xfId="90" applyNumberFormat="1" applyFont="1" applyFill="1" applyBorder="1" applyAlignment="1" applyProtection="1">
      <alignment horizontal="right"/>
      <protection locked="0"/>
    </xf>
    <xf numFmtId="39" fontId="8" fillId="12" borderId="84" xfId="71" applyNumberFormat="1" applyFont="1" applyFill="1" applyBorder="1" applyAlignment="1" applyProtection="1">
      <alignment horizontal="right"/>
      <protection locked="0"/>
    </xf>
    <xf numFmtId="4" fontId="8" fillId="12" borderId="87" xfId="90" applyNumberFormat="1" applyFont="1" applyFill="1" applyBorder="1" applyAlignment="1" applyProtection="1">
      <alignment horizontal="right"/>
      <protection locked="0"/>
    </xf>
    <xf numFmtId="39" fontId="8" fillId="12" borderId="88" xfId="71" applyNumberFormat="1" applyFont="1" applyFill="1" applyBorder="1" applyAlignment="1" applyProtection="1">
      <alignment horizontal="right"/>
      <protection locked="0"/>
    </xf>
    <xf numFmtId="4" fontId="8" fillId="12" borderId="91" xfId="90" applyNumberFormat="1" applyFont="1" applyFill="1" applyBorder="1" applyAlignment="1" applyProtection="1">
      <alignment horizontal="right"/>
      <protection locked="0"/>
    </xf>
    <xf numFmtId="39" fontId="8" fillId="12" borderId="92" xfId="71" applyNumberFormat="1" applyFont="1" applyFill="1" applyBorder="1" applyAlignment="1" applyProtection="1">
      <alignment horizontal="right"/>
      <protection locked="0"/>
    </xf>
    <xf numFmtId="4" fontId="8" fillId="12" borderId="95" xfId="90" applyNumberFormat="1" applyFont="1" applyFill="1" applyBorder="1" applyAlignment="1" applyProtection="1">
      <alignment horizontal="right"/>
      <protection locked="0"/>
    </xf>
    <xf numFmtId="39" fontId="8" fillId="12" borderId="96" xfId="71" applyNumberFormat="1" applyFont="1" applyFill="1" applyBorder="1" applyAlignment="1" applyProtection="1">
      <alignment horizontal="right"/>
      <protection locked="0"/>
    </xf>
    <xf numFmtId="4" fontId="8" fillId="12" borderId="99" xfId="90" applyNumberFormat="1" applyFont="1" applyFill="1" applyBorder="1" applyAlignment="1" applyProtection="1">
      <alignment horizontal="right"/>
      <protection locked="0"/>
    </xf>
    <xf numFmtId="39" fontId="8" fillId="12" borderId="100" xfId="71" applyNumberFormat="1" applyFont="1" applyFill="1" applyBorder="1" applyAlignment="1" applyProtection="1">
      <alignment horizontal="right"/>
      <protection locked="0"/>
    </xf>
    <xf numFmtId="4" fontId="8" fillId="12" borderId="103" xfId="90" applyNumberFormat="1" applyFont="1" applyFill="1" applyBorder="1" applyAlignment="1" applyProtection="1">
      <alignment horizontal="right"/>
      <protection locked="0"/>
    </xf>
    <xf numFmtId="39" fontId="8" fillId="12" borderId="104" xfId="71" applyNumberFormat="1" applyFont="1" applyFill="1" applyBorder="1" applyAlignment="1" applyProtection="1">
      <alignment horizontal="right"/>
      <protection locked="0"/>
    </xf>
    <xf numFmtId="4" fontId="8" fillId="12" borderId="107" xfId="90" applyNumberFormat="1" applyFont="1" applyFill="1" applyBorder="1" applyAlignment="1" applyProtection="1">
      <alignment horizontal="right"/>
      <protection locked="0"/>
    </xf>
    <xf numFmtId="39" fontId="8" fillId="12" borderId="108" xfId="71" applyNumberFormat="1" applyFont="1" applyFill="1" applyBorder="1" applyAlignment="1" applyProtection="1">
      <alignment horizontal="right"/>
      <protection locked="0"/>
    </xf>
    <xf numFmtId="4" fontId="8" fillId="12" borderId="111" xfId="90" applyNumberFormat="1" applyFont="1" applyFill="1" applyBorder="1" applyAlignment="1" applyProtection="1">
      <alignment horizontal="right"/>
      <protection locked="0"/>
    </xf>
    <xf numFmtId="39" fontId="8" fillId="12" borderId="112" xfId="71" applyNumberFormat="1" applyFont="1" applyFill="1" applyBorder="1" applyAlignment="1" applyProtection="1">
      <alignment horizontal="right"/>
      <protection locked="0"/>
    </xf>
    <xf numFmtId="4" fontId="8" fillId="12" borderId="115" xfId="90" applyNumberFormat="1" applyFont="1" applyFill="1" applyBorder="1" applyAlignment="1" applyProtection="1">
      <alignment horizontal="right"/>
      <protection locked="0"/>
    </xf>
    <xf numFmtId="39" fontId="8" fillId="12" borderId="116" xfId="71" applyNumberFormat="1" applyFont="1" applyFill="1" applyBorder="1" applyAlignment="1" applyProtection="1">
      <alignment horizontal="right"/>
      <protection locked="0"/>
    </xf>
    <xf numFmtId="4" fontId="8" fillId="12" borderId="119" xfId="90" applyNumberFormat="1" applyFont="1" applyFill="1" applyBorder="1" applyAlignment="1" applyProtection="1">
      <alignment horizontal="right"/>
      <protection locked="0"/>
    </xf>
    <xf numFmtId="4" fontId="8" fillId="12" borderId="119" xfId="71" applyNumberFormat="1" applyFont="1" applyFill="1" applyBorder="1" applyAlignment="1" applyProtection="1">
      <alignment horizontal="right"/>
      <protection locked="0"/>
    </xf>
    <xf numFmtId="39" fontId="8" fillId="12" borderId="122" xfId="71" applyNumberFormat="1" applyFont="1" applyFill="1" applyBorder="1" applyAlignment="1" applyProtection="1">
      <alignment horizontal="right"/>
      <protection locked="0"/>
    </xf>
    <xf numFmtId="4" fontId="8" fillId="12" borderId="125" xfId="90" applyNumberFormat="1" applyFont="1" applyFill="1" applyBorder="1" applyAlignment="1" applyProtection="1">
      <alignment horizontal="right"/>
      <protection locked="0"/>
    </xf>
    <xf numFmtId="4" fontId="8" fillId="12" borderId="124" xfId="90" applyNumberFormat="1" applyFont="1" applyFill="1" applyBorder="1" applyAlignment="1" applyProtection="1">
      <alignment horizontal="right"/>
      <protection locked="0"/>
    </xf>
    <xf numFmtId="4" fontId="8" fillId="12" borderId="125" xfId="60" applyNumberFormat="1" applyFont="1" applyFill="1" applyBorder="1" applyAlignment="1">
      <alignment horizontal="right"/>
      <protection locked="0"/>
    </xf>
    <xf numFmtId="39" fontId="37" fillId="12" borderId="125" xfId="3" applyNumberFormat="1" applyFont="1" applyFill="1" applyBorder="1" applyAlignment="1" applyProtection="1">
      <alignment horizontal="right"/>
      <protection locked="0"/>
    </xf>
    <xf numFmtId="4" fontId="57" fillId="12" borderId="125" xfId="71" applyNumberFormat="1" applyFont="1" applyFill="1" applyBorder="1" applyAlignment="1" applyProtection="1">
      <alignment horizontal="right"/>
      <protection locked="0"/>
    </xf>
    <xf numFmtId="39" fontId="54" fillId="12" borderId="125" xfId="71" applyNumberFormat="1" applyFont="1" applyFill="1" applyBorder="1" applyAlignment="1" applyProtection="1">
      <alignment horizontal="right"/>
      <protection locked="0"/>
    </xf>
    <xf numFmtId="39" fontId="96" fillId="12" borderId="125" xfId="71" applyNumberFormat="1" applyFont="1" applyFill="1" applyBorder="1" applyAlignment="1" applyProtection="1">
      <alignment horizontal="right"/>
      <protection locked="0"/>
    </xf>
    <xf numFmtId="4" fontId="8" fillId="12" borderId="87" xfId="60" applyNumberFormat="1" applyFont="1" applyFill="1" applyBorder="1" applyAlignment="1">
      <alignment horizontal="right"/>
      <protection locked="0"/>
    </xf>
    <xf numFmtId="4" fontId="122" fillId="12" borderId="87" xfId="60" applyNumberFormat="1" applyFont="1" applyFill="1" applyBorder="1" applyAlignment="1">
      <alignment horizontal="right" vertical="center"/>
      <protection locked="0"/>
    </xf>
    <xf numFmtId="39" fontId="37" fillId="12" borderId="87" xfId="6" applyNumberFormat="1" applyFont="1" applyFill="1" applyBorder="1" applyAlignment="1" applyProtection="1">
      <alignment horizontal="right"/>
      <protection locked="0"/>
    </xf>
    <xf numFmtId="39" fontId="8" fillId="12" borderId="87" xfId="71" applyNumberFormat="1" applyFont="1" applyFill="1" applyBorder="1" applyAlignment="1" applyProtection="1">
      <alignment horizontal="right"/>
      <protection locked="0"/>
    </xf>
    <xf numFmtId="39" fontId="96" fillId="12" borderId="87" xfId="71" applyNumberFormat="1" applyFont="1" applyFill="1" applyBorder="1" applyAlignment="1" applyProtection="1">
      <alignment horizontal="right"/>
      <protection locked="0"/>
    </xf>
    <xf numFmtId="4" fontId="28" fillId="12" borderId="87" xfId="71" applyNumberFormat="1" applyFont="1" applyFill="1" applyBorder="1" applyAlignment="1" applyProtection="1">
      <alignment horizontal="right"/>
      <protection locked="0"/>
    </xf>
    <xf numFmtId="4" fontId="57" fillId="12" borderId="87" xfId="71" applyNumberFormat="1" applyFont="1" applyFill="1" applyBorder="1" applyAlignment="1" applyProtection="1">
      <alignment horizontal="right"/>
      <protection locked="0"/>
    </xf>
    <xf numFmtId="39" fontId="8" fillId="12" borderId="79" xfId="71" applyNumberFormat="1" applyFont="1" applyFill="1" applyBorder="1" applyAlignment="1" applyProtection="1">
      <alignment horizontal="right"/>
      <protection locked="0"/>
    </xf>
    <xf numFmtId="4" fontId="8" fillId="12" borderId="79" xfId="71" applyNumberFormat="1" applyFont="1" applyFill="1" applyBorder="1" applyAlignment="1" applyProtection="1">
      <alignment horizontal="right"/>
      <protection locked="0"/>
    </xf>
    <xf numFmtId="4" fontId="8" fillId="12" borderId="79" xfId="60" applyNumberFormat="1" applyFont="1" applyFill="1" applyBorder="1" applyAlignment="1">
      <alignment horizontal="right"/>
      <protection locked="0"/>
    </xf>
    <xf numFmtId="39" fontId="37" fillId="12" borderId="79" xfId="3" applyNumberFormat="1" applyFont="1" applyFill="1" applyBorder="1" applyAlignment="1" applyProtection="1">
      <alignment horizontal="right"/>
      <protection locked="0"/>
    </xf>
    <xf numFmtId="171" fontId="8" fillId="12" borderId="79" xfId="71" applyNumberFormat="1" applyFont="1" applyFill="1" applyBorder="1" applyAlignment="1" applyProtection="1">
      <alignment horizontal="right"/>
      <protection locked="0"/>
    </xf>
    <xf numFmtId="39" fontId="28" fillId="12" borderId="79" xfId="71" applyNumberFormat="1" applyFont="1" applyFill="1" applyBorder="1" applyAlignment="1" applyProtection="1">
      <alignment horizontal="right"/>
      <protection locked="0"/>
    </xf>
    <xf numFmtId="39" fontId="8" fillId="12" borderId="79" xfId="35" applyNumberFormat="1" applyFont="1" applyFill="1" applyBorder="1" applyAlignment="1">
      <alignment horizontal="right"/>
      <protection locked="0"/>
    </xf>
    <xf numFmtId="39" fontId="8" fillId="12" borderId="79" xfId="60" applyNumberFormat="1" applyFont="1" applyFill="1" applyBorder="1" applyAlignment="1" applyProtection="1">
      <alignment horizontal="right"/>
    </xf>
    <xf numFmtId="39" fontId="8" fillId="12" borderId="15" xfId="0" applyNumberFormat="1" applyFont="1" applyFill="1" applyBorder="1" applyAlignment="1">
      <alignment horizontal="right"/>
      <protection locked="0"/>
    </xf>
    <xf numFmtId="39" fontId="37" fillId="13" borderId="30" xfId="71" applyNumberFormat="1" applyFont="1" applyFill="1" applyBorder="1" applyAlignment="1">
      <alignment horizontal="right"/>
    </xf>
    <xf numFmtId="39" fontId="37" fillId="13" borderId="30" xfId="71" applyNumberFormat="1" applyFont="1" applyFill="1" applyBorder="1" applyAlignment="1" applyProtection="1">
      <alignment horizontal="right"/>
      <protection locked="0"/>
    </xf>
    <xf numFmtId="4" fontId="8" fillId="13" borderId="30" xfId="90" applyNumberFormat="1" applyFont="1" applyFill="1" applyBorder="1" applyAlignment="1" applyProtection="1">
      <alignment horizontal="right"/>
      <protection locked="0"/>
    </xf>
    <xf numFmtId="39" fontId="8" fillId="13" borderId="30" xfId="71" applyNumberFormat="1" applyFont="1" applyFill="1" applyBorder="1" applyAlignment="1" applyProtection="1">
      <alignment horizontal="right"/>
      <protection locked="0"/>
    </xf>
    <xf numFmtId="39" fontId="8" fillId="13" borderId="72" xfId="71" applyNumberFormat="1" applyFont="1" applyFill="1" applyBorder="1" applyAlignment="1" applyProtection="1">
      <alignment horizontal="right"/>
      <protection locked="0"/>
    </xf>
    <xf numFmtId="4" fontId="8" fillId="13" borderId="75" xfId="90" applyNumberFormat="1" applyFont="1" applyFill="1" applyBorder="1" applyAlignment="1" applyProtection="1">
      <alignment horizontal="right"/>
      <protection locked="0"/>
    </xf>
    <xf numFmtId="39" fontId="8" fillId="13" borderId="76" xfId="71" applyNumberFormat="1" applyFont="1" applyFill="1" applyBorder="1" applyAlignment="1" applyProtection="1">
      <alignment horizontal="right"/>
      <protection locked="0"/>
    </xf>
    <xf numFmtId="4" fontId="8" fillId="13" borderId="79" xfId="90" applyNumberFormat="1" applyFont="1" applyFill="1" applyBorder="1" applyAlignment="1" applyProtection="1">
      <alignment horizontal="right"/>
      <protection locked="0"/>
    </xf>
    <xf numFmtId="39" fontId="8" fillId="13" borderId="80" xfId="71" applyNumberFormat="1" applyFont="1" applyFill="1" applyBorder="1" applyAlignment="1" applyProtection="1">
      <alignment horizontal="right"/>
      <protection locked="0"/>
    </xf>
    <xf numFmtId="4" fontId="8" fillId="13" borderId="83" xfId="90" applyNumberFormat="1" applyFont="1" applyFill="1" applyBorder="1" applyAlignment="1" applyProtection="1">
      <alignment horizontal="right"/>
      <protection locked="0"/>
    </xf>
    <xf numFmtId="39" fontId="8" fillId="13" borderId="84" xfId="71" applyNumberFormat="1" applyFont="1" applyFill="1" applyBorder="1" applyAlignment="1" applyProtection="1">
      <alignment horizontal="right"/>
      <protection locked="0"/>
    </xf>
    <xf numFmtId="4" fontId="8" fillId="13" borderId="87" xfId="90" applyNumberFormat="1" applyFont="1" applyFill="1" applyBorder="1" applyAlignment="1" applyProtection="1">
      <alignment horizontal="right"/>
      <protection locked="0"/>
    </xf>
    <xf numFmtId="39" fontId="8" fillId="13" borderId="88" xfId="71" applyNumberFormat="1" applyFont="1" applyFill="1" applyBorder="1" applyAlignment="1" applyProtection="1">
      <alignment horizontal="right"/>
      <protection locked="0"/>
    </xf>
    <xf numFmtId="4" fontId="8" fillId="13" borderId="91" xfId="90" applyNumberFormat="1" applyFont="1" applyFill="1" applyBorder="1" applyAlignment="1" applyProtection="1">
      <alignment horizontal="right"/>
      <protection locked="0"/>
    </xf>
    <xf numFmtId="39" fontId="8" fillId="13" borderId="92" xfId="71" applyNumberFormat="1" applyFont="1" applyFill="1" applyBorder="1" applyAlignment="1" applyProtection="1">
      <alignment horizontal="right"/>
      <protection locked="0"/>
    </xf>
    <xf numFmtId="4" fontId="8" fillId="13" borderId="95" xfId="90" applyNumberFormat="1" applyFont="1" applyFill="1" applyBorder="1" applyAlignment="1" applyProtection="1">
      <alignment horizontal="right"/>
      <protection locked="0"/>
    </xf>
    <xf numFmtId="39" fontId="8" fillId="13" borderId="96" xfId="71" applyNumberFormat="1" applyFont="1" applyFill="1" applyBorder="1" applyAlignment="1" applyProtection="1">
      <alignment horizontal="right"/>
      <protection locked="0"/>
    </xf>
    <xf numFmtId="4" fontId="8" fillId="13" borderId="99" xfId="90" applyNumberFormat="1" applyFont="1" applyFill="1" applyBorder="1" applyAlignment="1" applyProtection="1">
      <alignment horizontal="right"/>
      <protection locked="0"/>
    </xf>
    <xf numFmtId="39" fontId="8" fillId="13" borderId="100" xfId="71" applyNumberFormat="1" applyFont="1" applyFill="1" applyBorder="1" applyAlignment="1" applyProtection="1">
      <alignment horizontal="right"/>
      <protection locked="0"/>
    </xf>
    <xf numFmtId="4" fontId="8" fillId="13" borderId="103" xfId="90" applyNumberFormat="1" applyFont="1" applyFill="1" applyBorder="1" applyAlignment="1" applyProtection="1">
      <alignment horizontal="right"/>
      <protection locked="0"/>
    </xf>
    <xf numFmtId="39" fontId="8" fillId="13" borderId="104" xfId="71" applyNumberFormat="1" applyFont="1" applyFill="1" applyBorder="1" applyAlignment="1" applyProtection="1">
      <alignment horizontal="right"/>
      <protection locked="0"/>
    </xf>
    <xf numFmtId="4" fontId="8" fillId="13" borderId="107" xfId="90" applyNumberFormat="1" applyFont="1" applyFill="1" applyBorder="1" applyAlignment="1" applyProtection="1">
      <alignment horizontal="right"/>
      <protection locked="0"/>
    </xf>
    <xf numFmtId="39" fontId="8" fillId="13" borderId="108" xfId="71" applyNumberFormat="1" applyFont="1" applyFill="1" applyBorder="1" applyAlignment="1" applyProtection="1">
      <alignment horizontal="right"/>
      <protection locked="0"/>
    </xf>
    <xf numFmtId="4" fontId="8" fillId="13" borderId="111" xfId="90" applyNumberFormat="1" applyFont="1" applyFill="1" applyBorder="1" applyAlignment="1" applyProtection="1">
      <alignment horizontal="right"/>
      <protection locked="0"/>
    </xf>
    <xf numFmtId="39" fontId="8" fillId="13" borderId="112" xfId="71" applyNumberFormat="1" applyFont="1" applyFill="1" applyBorder="1" applyAlignment="1" applyProtection="1">
      <alignment horizontal="right"/>
      <protection locked="0"/>
    </xf>
    <xf numFmtId="4" fontId="8" fillId="13" borderId="115" xfId="90" applyNumberFormat="1" applyFont="1" applyFill="1" applyBorder="1" applyAlignment="1" applyProtection="1">
      <alignment horizontal="right"/>
      <protection locked="0"/>
    </xf>
    <xf numFmtId="39" fontId="8" fillId="13" borderId="116" xfId="71" applyNumberFormat="1" applyFont="1" applyFill="1" applyBorder="1" applyAlignment="1" applyProtection="1">
      <alignment horizontal="right"/>
      <protection locked="0"/>
    </xf>
    <xf numFmtId="4" fontId="8" fillId="13" borderId="119" xfId="90" applyNumberFormat="1" applyFont="1" applyFill="1" applyBorder="1" applyAlignment="1" applyProtection="1">
      <alignment horizontal="right"/>
      <protection locked="0"/>
    </xf>
    <xf numFmtId="4" fontId="8" fillId="13" borderId="119" xfId="71" applyNumberFormat="1" applyFont="1" applyFill="1" applyBorder="1" applyAlignment="1" applyProtection="1">
      <alignment horizontal="right"/>
      <protection locked="0"/>
    </xf>
    <xf numFmtId="39" fontId="8" fillId="13" borderId="122" xfId="71" applyNumberFormat="1" applyFont="1" applyFill="1" applyBorder="1" applyAlignment="1" applyProtection="1">
      <alignment horizontal="right"/>
      <protection locked="0"/>
    </xf>
    <xf numFmtId="4" fontId="8" fillId="13" borderId="125" xfId="90" applyNumberFormat="1" applyFont="1" applyFill="1" applyBorder="1" applyAlignment="1" applyProtection="1">
      <alignment horizontal="right"/>
      <protection locked="0"/>
    </xf>
    <xf numFmtId="4" fontId="8" fillId="13" borderId="124" xfId="90" applyNumberFormat="1" applyFont="1" applyFill="1" applyBorder="1" applyAlignment="1" applyProtection="1">
      <alignment horizontal="right"/>
      <protection locked="0"/>
    </xf>
    <xf numFmtId="39" fontId="8" fillId="13" borderId="125" xfId="71" applyNumberFormat="1" applyFont="1" applyFill="1" applyBorder="1" applyAlignment="1" applyProtection="1">
      <alignment horizontal="right"/>
      <protection locked="0"/>
    </xf>
    <xf numFmtId="4" fontId="8" fillId="13" borderId="125" xfId="60" applyNumberFormat="1" applyFont="1" applyFill="1" applyBorder="1" applyAlignment="1">
      <alignment horizontal="right"/>
      <protection locked="0"/>
    </xf>
    <xf numFmtId="39" fontId="37" fillId="13" borderId="125" xfId="3" applyNumberFormat="1" applyFont="1" applyFill="1" applyBorder="1" applyAlignment="1" applyProtection="1">
      <alignment horizontal="right"/>
      <protection locked="0"/>
    </xf>
    <xf numFmtId="4" fontId="28" fillId="13" borderId="125" xfId="71" applyNumberFormat="1" applyFont="1" applyFill="1" applyBorder="1" applyAlignment="1" applyProtection="1">
      <alignment horizontal="right"/>
      <protection locked="0"/>
    </xf>
    <xf numFmtId="4" fontId="57" fillId="13" borderId="125" xfId="71" applyNumberFormat="1" applyFont="1" applyFill="1" applyBorder="1" applyAlignment="1" applyProtection="1">
      <alignment horizontal="right"/>
      <protection locked="0"/>
    </xf>
    <xf numFmtId="39" fontId="54" fillId="13" borderId="125" xfId="71" applyNumberFormat="1" applyFont="1" applyFill="1" applyBorder="1" applyAlignment="1" applyProtection="1">
      <alignment horizontal="right"/>
      <protection locked="0"/>
    </xf>
    <xf numFmtId="39" fontId="96" fillId="13" borderId="125" xfId="71" applyNumberFormat="1" applyFont="1" applyFill="1" applyBorder="1" applyAlignment="1" applyProtection="1">
      <alignment horizontal="right"/>
      <protection locked="0"/>
    </xf>
    <xf numFmtId="39" fontId="28" fillId="13" borderId="125" xfId="3" applyNumberFormat="1" applyFont="1" applyFill="1" applyBorder="1" applyAlignment="1" applyProtection="1">
      <alignment horizontal="right"/>
      <protection locked="0"/>
    </xf>
    <xf numFmtId="4" fontId="8" fillId="13" borderId="87" xfId="60" applyNumberFormat="1" applyFont="1" applyFill="1" applyBorder="1" applyAlignment="1">
      <alignment horizontal="right"/>
      <protection locked="0"/>
    </xf>
    <xf numFmtId="4" fontId="122" fillId="13" borderId="87" xfId="60" applyNumberFormat="1" applyFont="1" applyFill="1" applyBorder="1" applyAlignment="1">
      <alignment horizontal="right" vertical="center"/>
      <protection locked="0"/>
    </xf>
    <xf numFmtId="39" fontId="37" fillId="13" borderId="87" xfId="6" applyNumberFormat="1" applyFont="1" applyFill="1" applyBorder="1" applyAlignment="1" applyProtection="1">
      <alignment horizontal="right"/>
      <protection locked="0"/>
    </xf>
    <xf numFmtId="39" fontId="8" fillId="13" borderId="87" xfId="71" applyNumberFormat="1" applyFont="1" applyFill="1" applyBorder="1" applyAlignment="1" applyProtection="1">
      <alignment horizontal="right"/>
      <protection locked="0"/>
    </xf>
    <xf numFmtId="39" fontId="96" fillId="13" borderId="87" xfId="71" applyNumberFormat="1" applyFont="1" applyFill="1" applyBorder="1" applyAlignment="1" applyProtection="1">
      <alignment horizontal="right"/>
      <protection locked="0"/>
    </xf>
    <xf numFmtId="4" fontId="28" fillId="13" borderId="87" xfId="71" applyNumberFormat="1" applyFont="1" applyFill="1" applyBorder="1" applyAlignment="1" applyProtection="1">
      <alignment horizontal="right"/>
      <protection locked="0"/>
    </xf>
    <xf numFmtId="4" fontId="57" fillId="13" borderId="87" xfId="71" applyNumberFormat="1" applyFont="1" applyFill="1" applyBorder="1" applyAlignment="1" applyProtection="1">
      <alignment horizontal="right"/>
      <protection locked="0"/>
    </xf>
    <xf numFmtId="39" fontId="8" fillId="13" borderId="79" xfId="71" applyNumberFormat="1" applyFont="1" applyFill="1" applyBorder="1" applyAlignment="1" applyProtection="1">
      <alignment horizontal="right"/>
      <protection locked="0"/>
    </xf>
    <xf numFmtId="4" fontId="8" fillId="13" borderId="79" xfId="71" applyNumberFormat="1" applyFont="1" applyFill="1" applyBorder="1" applyAlignment="1" applyProtection="1">
      <alignment horizontal="right"/>
      <protection locked="0"/>
    </xf>
    <xf numFmtId="4" fontId="8" fillId="13" borderId="79" xfId="60" applyNumberFormat="1" applyFont="1" applyFill="1" applyBorder="1" applyAlignment="1">
      <alignment horizontal="right"/>
      <protection locked="0"/>
    </xf>
    <xf numFmtId="39" fontId="37" fillId="13" borderId="79" xfId="3" applyNumberFormat="1" applyFont="1" applyFill="1" applyBorder="1" applyAlignment="1" applyProtection="1">
      <alignment horizontal="right"/>
      <protection locked="0"/>
    </xf>
    <xf numFmtId="171" fontId="8" fillId="13" borderId="79" xfId="71" applyNumberFormat="1" applyFont="1" applyFill="1" applyBorder="1" applyAlignment="1" applyProtection="1">
      <alignment horizontal="right"/>
      <protection locked="0"/>
    </xf>
    <xf numFmtId="39" fontId="28" fillId="13" borderId="79" xfId="71" applyNumberFormat="1" applyFont="1" applyFill="1" applyBorder="1" applyAlignment="1" applyProtection="1">
      <alignment horizontal="right"/>
      <protection locked="0"/>
    </xf>
    <xf numFmtId="39" fontId="8" fillId="13" borderId="79" xfId="35" applyNumberFormat="1" applyFont="1" applyFill="1" applyBorder="1" applyAlignment="1">
      <alignment horizontal="right"/>
      <protection locked="0"/>
    </xf>
    <xf numFmtId="39" fontId="8" fillId="13" borderId="79" xfId="60" applyNumberFormat="1" applyFont="1" applyFill="1" applyBorder="1" applyAlignment="1" applyProtection="1">
      <alignment horizontal="right"/>
    </xf>
    <xf numFmtId="39" fontId="8" fillId="13" borderId="15" xfId="0" applyNumberFormat="1" applyFont="1" applyFill="1" applyBorder="1" applyAlignment="1">
      <alignment horizontal="right"/>
      <protection locked="0"/>
    </xf>
    <xf numFmtId="37" fontId="37" fillId="0" borderId="0" xfId="0" applyNumberFormat="1" applyFont="1" applyAlignment="1">
      <alignment horizontal="center"/>
      <protection locked="0"/>
    </xf>
    <xf numFmtId="0" fontId="37" fillId="0" borderId="0" xfId="0" applyFont="1" applyAlignment="1">
      <alignment horizontal="left"/>
      <protection locked="0"/>
    </xf>
    <xf numFmtId="0" fontId="66" fillId="0" borderId="0" xfId="0" applyFont="1" applyAlignment="1">
      <alignment horizontal="center"/>
      <protection locked="0"/>
    </xf>
    <xf numFmtId="170" fontId="66" fillId="0" borderId="0" xfId="0" applyNumberFormat="1" applyFont="1" applyAlignment="1">
      <alignment horizontal="right"/>
      <protection locked="0"/>
    </xf>
    <xf numFmtId="171" fontId="8" fillId="0" borderId="0" xfId="0" applyNumberFormat="1" applyFont="1" applyAlignment="1">
      <alignment horizontal="right"/>
      <protection locked="0"/>
    </xf>
    <xf numFmtId="171" fontId="37" fillId="0" borderId="0" xfId="0" applyNumberFormat="1" applyFont="1" applyAlignment="1">
      <alignment horizontal="right"/>
      <protection locked="0"/>
    </xf>
    <xf numFmtId="39" fontId="37" fillId="12" borderId="31" xfId="0" applyNumberFormat="1" applyFont="1" applyFill="1" applyBorder="1" applyAlignment="1" applyProtection="1">
      <alignment horizontal="right"/>
    </xf>
    <xf numFmtId="39" fontId="37" fillId="12" borderId="30" xfId="0" applyNumberFormat="1" applyFont="1" applyFill="1" applyBorder="1" applyAlignment="1">
      <alignment horizontal="right"/>
      <protection locked="0"/>
    </xf>
    <xf numFmtId="39" fontId="96" fillId="12" borderId="30" xfId="0" applyNumberFormat="1" applyFont="1" applyFill="1" applyBorder="1" applyAlignment="1">
      <alignment horizontal="right"/>
      <protection locked="0"/>
    </xf>
    <xf numFmtId="39" fontId="8" fillId="12" borderId="30" xfId="0" applyNumberFormat="1" applyFont="1" applyFill="1" applyBorder="1" applyAlignment="1">
      <alignment horizontal="right"/>
      <protection locked="0"/>
    </xf>
    <xf numFmtId="4" fontId="28" fillId="12" borderId="30" xfId="30" applyNumberFormat="1" applyFont="1" applyFill="1" applyBorder="1" applyAlignment="1" applyProtection="1">
      <alignment horizontal="right"/>
      <protection locked="0"/>
    </xf>
    <xf numFmtId="4" fontId="57" fillId="12" borderId="30" xfId="30" applyNumberFormat="1" applyFont="1" applyFill="1" applyBorder="1" applyAlignment="1" applyProtection="1">
      <alignment horizontal="right"/>
      <protection locked="0"/>
    </xf>
    <xf numFmtId="4" fontId="8" fillId="12" borderId="15" xfId="30" applyNumberFormat="1" applyFont="1" applyFill="1" applyBorder="1" applyAlignment="1" applyProtection="1">
      <alignment horizontal="right"/>
      <protection locked="0"/>
    </xf>
    <xf numFmtId="39" fontId="8" fillId="12" borderId="30" xfId="28" applyNumberFormat="1" applyFont="1" applyFill="1" applyBorder="1" applyAlignment="1">
      <alignment horizontal="right"/>
      <protection locked="0"/>
    </xf>
    <xf numFmtId="39" fontId="96" fillId="12" borderId="30" xfId="28" applyNumberFormat="1" applyFont="1" applyFill="1" applyBorder="1" applyAlignment="1">
      <alignment horizontal="right"/>
      <protection locked="0"/>
    </xf>
    <xf numFmtId="39" fontId="8" fillId="12" borderId="15" xfId="44" applyNumberFormat="1" applyFont="1" applyFill="1" applyBorder="1" applyAlignment="1">
      <alignment horizontal="right"/>
      <protection locked="0"/>
    </xf>
    <xf numFmtId="4" fontId="8" fillId="12" borderId="15" xfId="68" applyNumberFormat="1" applyFont="1" applyFill="1" applyBorder="1" applyAlignment="1">
      <alignment horizontal="right"/>
      <protection locked="0"/>
    </xf>
    <xf numFmtId="4" fontId="37" fillId="12" borderId="15" xfId="68" applyNumberFormat="1" applyFont="1" applyFill="1" applyBorder="1" applyAlignment="1">
      <alignment horizontal="right"/>
      <protection locked="0"/>
    </xf>
    <xf numFmtId="4" fontId="57" fillId="12" borderId="30" xfId="0" applyNumberFormat="1" applyFont="1" applyFill="1" applyBorder="1" applyAlignment="1">
      <alignment horizontal="right"/>
      <protection locked="0"/>
    </xf>
    <xf numFmtId="39" fontId="37" fillId="12" borderId="15" xfId="0" applyNumberFormat="1" applyFont="1" applyFill="1" applyBorder="1" applyAlignment="1">
      <alignment horizontal="right"/>
      <protection locked="0"/>
    </xf>
    <xf numFmtId="4" fontId="37" fillId="12" borderId="15" xfId="0" applyNumberFormat="1" applyFont="1" applyFill="1" applyBorder="1" applyAlignment="1">
      <alignment horizontal="right"/>
      <protection locked="0"/>
    </xf>
    <xf numFmtId="4" fontId="8" fillId="12" borderId="15" xfId="80" applyNumberFormat="1" applyFont="1" applyFill="1" applyBorder="1" applyAlignment="1">
      <alignment horizontal="right"/>
      <protection locked="0"/>
    </xf>
    <xf numFmtId="4" fontId="8" fillId="12" borderId="15" xfId="0" applyNumberFormat="1" applyFont="1" applyFill="1" applyBorder="1" applyAlignment="1">
      <alignment horizontal="right"/>
      <protection locked="0"/>
    </xf>
    <xf numFmtId="4" fontId="8" fillId="12" borderId="15" xfId="82" applyNumberFormat="1" applyFont="1" applyFill="1" applyBorder="1" applyAlignment="1">
      <alignment horizontal="right"/>
      <protection locked="0"/>
    </xf>
    <xf numFmtId="39" fontId="8" fillId="12" borderId="129" xfId="94" applyNumberFormat="1" applyFont="1" applyFill="1" applyBorder="1" applyAlignment="1" applyProtection="1">
      <alignment horizontal="right"/>
      <protection locked="0"/>
    </xf>
    <xf numFmtId="4" fontId="8" fillId="12" borderId="30" xfId="6" applyNumberFormat="1" applyFont="1" applyFill="1" applyBorder="1" applyAlignment="1" applyProtection="1">
      <alignment horizontal="right"/>
      <protection locked="0"/>
    </xf>
    <xf numFmtId="4" fontId="8" fillId="12" borderId="129" xfId="80" applyNumberFormat="1" applyFont="1" applyFill="1" applyBorder="1" applyAlignment="1">
      <alignment horizontal="right"/>
      <protection locked="0"/>
    </xf>
    <xf numFmtId="39" fontId="8" fillId="12" borderId="0" xfId="0" applyNumberFormat="1" applyFont="1" applyFill="1" applyAlignment="1">
      <alignment horizontal="right"/>
      <protection locked="0"/>
    </xf>
    <xf numFmtId="4" fontId="8" fillId="12" borderId="129" xfId="0" applyNumberFormat="1" applyFont="1" applyFill="1" applyBorder="1" applyAlignment="1">
      <alignment horizontal="right"/>
      <protection locked="0"/>
    </xf>
    <xf numFmtId="4" fontId="8" fillId="12" borderId="0" xfId="0" applyNumberFormat="1" applyFont="1" applyFill="1" applyAlignment="1">
      <alignment horizontal="right"/>
      <protection locked="0"/>
    </xf>
    <xf numFmtId="4" fontId="8" fillId="12" borderId="125" xfId="40" applyNumberFormat="1" applyFont="1" applyFill="1" applyBorder="1" applyAlignment="1">
      <alignment horizontal="right"/>
      <protection locked="0"/>
    </xf>
    <xf numFmtId="4" fontId="49" fillId="12" borderId="129" xfId="80" applyNumberFormat="1" applyFont="1" applyFill="1" applyBorder="1" applyAlignment="1" applyProtection="1"/>
    <xf numFmtId="2" fontId="8" fillId="12" borderId="125" xfId="0" applyNumberFormat="1" applyFont="1" applyFill="1" applyBorder="1" applyAlignment="1">
      <alignment horizontal="right"/>
      <protection locked="0"/>
    </xf>
    <xf numFmtId="4" fontId="49" fillId="12" borderId="129" xfId="0" applyNumberFormat="1" applyFont="1" applyFill="1" applyBorder="1" applyAlignment="1" applyProtection="1"/>
    <xf numFmtId="4" fontId="49" fillId="12" borderId="0" xfId="0" applyNumberFormat="1" applyFont="1" applyFill="1" applyAlignment="1" applyProtection="1"/>
    <xf numFmtId="4" fontId="37"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8" fillId="12" borderId="125" xfId="28" applyNumberFormat="1" applyFont="1" applyFill="1" applyBorder="1" applyAlignment="1">
      <alignment horizontal="right"/>
      <protection locked="0"/>
    </xf>
    <xf numFmtId="39" fontId="8"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7" fillId="13" borderId="29" xfId="0" applyNumberFormat="1" applyFont="1" applyFill="1" applyBorder="1" applyAlignment="1">
      <alignment horizontal="right"/>
      <protection locked="0"/>
    </xf>
    <xf numFmtId="4" fontId="37" fillId="13" borderId="129" xfId="0" applyNumberFormat="1" applyFont="1" applyFill="1" applyBorder="1" applyAlignment="1">
      <alignment horizontal="right"/>
      <protection locked="0"/>
    </xf>
    <xf numFmtId="4" fontId="8" fillId="13" borderId="129" xfId="0" applyNumberFormat="1" applyFont="1" applyFill="1" applyBorder="1" applyAlignment="1">
      <alignment horizontal="right"/>
      <protection locked="0"/>
    </xf>
    <xf numFmtId="39" fontId="8" fillId="13" borderId="129" xfId="0" applyNumberFormat="1" applyFont="1" applyFill="1" applyBorder="1" applyAlignment="1">
      <alignment horizontal="right"/>
      <protection locked="0"/>
    </xf>
    <xf numFmtId="4" fontId="8" fillId="13" borderId="129" xfId="80" applyNumberFormat="1" applyFont="1" applyFill="1" applyBorder="1" applyAlignment="1">
      <alignment horizontal="right"/>
      <protection locked="0"/>
    </xf>
    <xf numFmtId="4" fontId="8" fillId="13" borderId="0" xfId="0" applyNumberFormat="1" applyFont="1" applyFill="1" applyAlignment="1">
      <alignment horizontal="right"/>
      <protection locked="0"/>
    </xf>
    <xf numFmtId="4" fontId="8" fillId="13" borderId="129" xfId="99" applyNumberFormat="1" applyFont="1" applyFill="1" applyBorder="1" applyAlignment="1" applyProtection="1">
      <alignment horizontal="right"/>
      <protection locked="0"/>
    </xf>
    <xf numFmtId="4" fontId="25" fillId="13" borderId="129" xfId="0" applyNumberFormat="1" applyFont="1" applyFill="1" applyBorder="1" applyAlignment="1" applyProtection="1"/>
    <xf numFmtId="4" fontId="8" fillId="13" borderId="125" xfId="40" applyNumberFormat="1" applyFont="1" applyFill="1" applyBorder="1" applyAlignment="1">
      <alignment horizontal="right"/>
      <protection locked="0"/>
    </xf>
    <xf numFmtId="4" fontId="49" fillId="13" borderId="129" xfId="80" applyNumberFormat="1" applyFont="1" applyFill="1" applyBorder="1" applyAlignment="1" applyProtection="1"/>
    <xf numFmtId="4" fontId="9" fillId="13" borderId="129" xfId="0" applyNumberFormat="1" applyFont="1" applyFill="1" applyBorder="1" applyAlignment="1" applyProtection="1"/>
    <xf numFmtId="2" fontId="8" fillId="13" borderId="125" xfId="0" applyNumberFormat="1" applyFont="1" applyFill="1" applyBorder="1" applyAlignment="1">
      <alignment horizontal="right"/>
      <protection locked="0"/>
    </xf>
    <xf numFmtId="4" fontId="49" fillId="13" borderId="129" xfId="0" applyNumberFormat="1" applyFont="1" applyFill="1" applyBorder="1" applyAlignment="1" applyProtection="1"/>
    <xf numFmtId="4" fontId="49" fillId="13" borderId="0" xfId="0" applyNumberFormat="1" applyFont="1" applyFill="1" applyAlignment="1" applyProtection="1"/>
    <xf numFmtId="4" fontId="37"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8" fillId="13" borderId="125" xfId="28" applyNumberFormat="1" applyFont="1" applyFill="1" applyBorder="1" applyAlignment="1">
      <alignment horizontal="right"/>
      <protection locked="0"/>
    </xf>
    <xf numFmtId="39" fontId="8"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8" fillId="13" borderId="142" xfId="0" applyNumberFormat="1" applyFont="1" applyFill="1" applyBorder="1" applyAlignment="1">
      <alignment horizontal="right"/>
      <protection locked="0"/>
    </xf>
    <xf numFmtId="4" fontId="8" fillId="13" borderId="15" xfId="30" applyNumberFormat="1" applyFont="1" applyFill="1" applyBorder="1" applyAlignment="1" applyProtection="1">
      <alignment horizontal="right"/>
      <protection locked="0"/>
    </xf>
    <xf numFmtId="4" fontId="37" fillId="13" borderId="15" xfId="0" applyNumberFormat="1" applyFont="1" applyFill="1" applyBorder="1" applyAlignment="1">
      <alignment horizontal="right"/>
      <protection locked="0"/>
    </xf>
    <xf numFmtId="4" fontId="8" fillId="13" borderId="15" xfId="80" applyNumberFormat="1" applyFont="1" applyFill="1" applyBorder="1" applyAlignment="1">
      <alignment horizontal="right"/>
      <protection locked="0"/>
    </xf>
    <xf numFmtId="4" fontId="8" fillId="13" borderId="15" xfId="0" applyNumberFormat="1" applyFont="1" applyFill="1" applyBorder="1" applyAlignment="1">
      <alignment horizontal="right"/>
      <protection locked="0"/>
    </xf>
    <xf numFmtId="4" fontId="8" fillId="13" borderId="15" xfId="82" applyNumberFormat="1" applyFont="1" applyFill="1" applyBorder="1" applyAlignment="1">
      <alignment horizontal="right"/>
      <protection locked="0"/>
    </xf>
    <xf numFmtId="39" fontId="8" fillId="13" borderId="129" xfId="94" applyNumberFormat="1" applyFont="1" applyFill="1" applyBorder="1" applyAlignment="1" applyProtection="1">
      <alignment horizontal="right"/>
      <protection locked="0"/>
    </xf>
    <xf numFmtId="4" fontId="8" fillId="13" borderId="30" xfId="6" applyNumberFormat="1" applyFont="1" applyFill="1" applyBorder="1" applyAlignment="1" applyProtection="1">
      <alignment horizontal="right"/>
      <protection locked="0"/>
    </xf>
    <xf numFmtId="39" fontId="8" fillId="13" borderId="0" xfId="0" applyNumberFormat="1" applyFont="1" applyFill="1" applyAlignment="1">
      <alignment horizontal="right"/>
      <protection locked="0"/>
    </xf>
    <xf numFmtId="171" fontId="37" fillId="12" borderId="31" xfId="0" applyNumberFormat="1" applyFont="1" applyFill="1" applyBorder="1" applyAlignment="1">
      <alignment horizontal="right"/>
      <protection locked="0"/>
    </xf>
    <xf numFmtId="166" fontId="8" fillId="12" borderId="27" xfId="28" applyNumberFormat="1" applyFont="1" applyFill="1" applyBorder="1" applyAlignment="1" applyProtection="1">
      <alignment horizontal="center" vertical="center"/>
    </xf>
    <xf numFmtId="0" fontId="11" fillId="12" borderId="29" xfId="28" applyFill="1" applyBorder="1" applyAlignment="1" applyProtection="1">
      <alignment horizontal="left"/>
    </xf>
    <xf numFmtId="166" fontId="8" fillId="13" borderId="27" xfId="28" applyNumberFormat="1" applyFont="1" applyFill="1" applyBorder="1" applyAlignment="1" applyProtection="1">
      <alignment horizontal="center" vertical="center"/>
    </xf>
    <xf numFmtId="0" fontId="11" fillId="13" borderId="29" xfId="28" applyFill="1" applyBorder="1" applyAlignment="1" applyProtection="1">
      <alignment horizontal="left"/>
    </xf>
    <xf numFmtId="4" fontId="40" fillId="13" borderId="30" xfId="28" applyNumberFormat="1" applyFont="1" applyFill="1" applyBorder="1" applyAlignment="1" applyProtection="1">
      <alignment horizontal="right" vertical="center"/>
    </xf>
    <xf numFmtId="4" fontId="42" fillId="13" borderId="30" xfId="28" applyNumberFormat="1" applyFont="1" applyFill="1" applyBorder="1" applyAlignment="1" applyProtection="1">
      <alignment horizontal="right" vertical="center"/>
    </xf>
    <xf numFmtId="0" fontId="45" fillId="13" borderId="32" xfId="65" applyFont="1" applyFill="1" applyBorder="1" applyAlignment="1">
      <alignment horizontal="center" vertical="center" wrapText="1"/>
    </xf>
    <xf numFmtId="39" fontId="37" fillId="13" borderId="37" xfId="65" applyNumberFormat="1" applyFont="1" applyFill="1" applyBorder="1" applyAlignment="1" applyProtection="1">
      <alignment horizontal="right"/>
      <protection locked="0"/>
    </xf>
    <xf numFmtId="4" fontId="8" fillId="13" borderId="30" xfId="46" applyNumberFormat="1" applyFont="1" applyFill="1" applyBorder="1" applyAlignment="1">
      <alignment horizontal="right"/>
      <protection locked="0"/>
    </xf>
    <xf numFmtId="4" fontId="8" fillId="13" borderId="30" xfId="3" applyNumberFormat="1" applyFont="1" applyFill="1" applyBorder="1" applyAlignment="1" applyProtection="1">
      <alignment horizontal="right"/>
      <protection locked="0"/>
    </xf>
    <xf numFmtId="4" fontId="54" fillId="13" borderId="30" xfId="46" applyNumberFormat="1" applyFont="1" applyFill="1" applyBorder="1" applyAlignment="1">
      <alignment horizontal="right"/>
      <protection locked="0"/>
    </xf>
    <xf numFmtId="39" fontId="54" fillId="13" borderId="30" xfId="25" applyNumberFormat="1" applyFont="1" applyFill="1" applyBorder="1" applyAlignment="1" applyProtection="1">
      <alignment horizontal="right"/>
      <protection locked="0"/>
    </xf>
    <xf numFmtId="39" fontId="173" fillId="13" borderId="30" xfId="25" applyNumberFormat="1" applyFont="1" applyFill="1" applyBorder="1" applyAlignment="1" applyProtection="1">
      <alignment horizontal="right"/>
      <protection locked="0"/>
    </xf>
    <xf numFmtId="39" fontId="72" fillId="13" borderId="30" xfId="25" applyNumberFormat="1" applyFont="1" applyFill="1" applyBorder="1" applyAlignment="1" applyProtection="1">
      <alignment horizontal="right"/>
      <protection locked="0"/>
    </xf>
    <xf numFmtId="4" fontId="8" fillId="13" borderId="30" xfId="40" applyNumberFormat="1" applyFont="1" applyFill="1" applyBorder="1" applyAlignment="1">
      <alignment horizontal="right"/>
      <protection locked="0"/>
    </xf>
    <xf numFmtId="39" fontId="8" fillId="13" borderId="30" xfId="24" applyNumberFormat="1" applyFont="1" applyFill="1" applyBorder="1" applyAlignment="1" applyProtection="1">
      <alignment horizontal="right"/>
      <protection locked="0"/>
    </xf>
    <xf numFmtId="39" fontId="37" fillId="13" borderId="30" xfId="24" applyNumberFormat="1" applyFont="1" applyFill="1" applyBorder="1" applyAlignment="1" applyProtection="1">
      <alignment horizontal="right"/>
      <protection locked="0"/>
    </xf>
    <xf numFmtId="39" fontId="37" fillId="13" borderId="30" xfId="40" applyNumberFormat="1" applyFont="1" applyFill="1" applyBorder="1" applyAlignment="1">
      <alignment horizontal="right"/>
      <protection locked="0"/>
    </xf>
    <xf numFmtId="4" fontId="8" fillId="13" borderId="30" xfId="49" applyNumberFormat="1" applyFont="1" applyFill="1" applyBorder="1" applyAlignment="1" applyProtection="1">
      <alignment horizontal="right"/>
      <protection locked="0"/>
    </xf>
    <xf numFmtId="39" fontId="8" fillId="13" borderId="30" xfId="26" applyNumberFormat="1" applyFont="1" applyFill="1" applyBorder="1" applyAlignment="1" applyProtection="1">
      <alignment horizontal="right"/>
      <protection locked="0"/>
    </xf>
    <xf numFmtId="4" fontId="37" fillId="13" borderId="30" xfId="25" applyNumberFormat="1" applyFont="1" applyFill="1" applyBorder="1" applyAlignment="1" applyProtection="1">
      <alignment horizontal="right"/>
      <protection locked="0"/>
    </xf>
    <xf numFmtId="39" fontId="37" fillId="13" borderId="30" xfId="64" applyNumberFormat="1" applyFont="1" applyFill="1" applyBorder="1" applyAlignment="1" applyProtection="1">
      <alignment horizontal="right"/>
      <protection locked="0"/>
    </xf>
    <xf numFmtId="4" fontId="8" fillId="13" borderId="30" xfId="12" applyNumberFormat="1" applyFont="1" applyFill="1" applyBorder="1" applyAlignment="1">
      <alignment horizontal="right"/>
      <protection locked="0"/>
    </xf>
    <xf numFmtId="4" fontId="48" fillId="13" borderId="30" xfId="3" applyNumberFormat="1" applyFont="1" applyFill="1" applyBorder="1" applyAlignment="1" applyProtection="1">
      <alignment horizontal="right"/>
      <protection locked="0"/>
    </xf>
    <xf numFmtId="39" fontId="37" fillId="13" borderId="31" xfId="65" applyNumberFormat="1" applyFont="1" applyFill="1" applyBorder="1" applyAlignment="1">
      <alignment horizontal="right"/>
    </xf>
    <xf numFmtId="39" fontId="8" fillId="13" borderId="35" xfId="47" applyNumberFormat="1" applyFont="1" applyFill="1" applyBorder="1" applyAlignment="1">
      <alignment horizontal="right"/>
      <protection locked="0"/>
    </xf>
    <xf numFmtId="39" fontId="8" fillId="13" borderId="35" xfId="25" applyNumberFormat="1" applyFont="1" applyFill="1" applyBorder="1" applyAlignment="1" applyProtection="1">
      <alignment horizontal="right"/>
      <protection locked="0"/>
    </xf>
    <xf numFmtId="39" fontId="37" fillId="13" borderId="30" xfId="45" applyNumberFormat="1" applyFont="1" applyFill="1" applyBorder="1" applyAlignment="1">
      <alignment horizontal="right"/>
      <protection locked="0"/>
    </xf>
    <xf numFmtId="39" fontId="28" fillId="13" borderId="30" xfId="44" applyNumberFormat="1" applyFont="1" applyFill="1" applyBorder="1" applyAlignment="1">
      <alignment horizontal="right"/>
      <protection locked="0"/>
    </xf>
    <xf numFmtId="39" fontId="57" fillId="13" borderId="30" xfId="44" applyNumberFormat="1" applyFont="1" applyFill="1" applyBorder="1" applyAlignment="1">
      <alignment horizontal="right"/>
      <protection locked="0"/>
    </xf>
    <xf numFmtId="4" fontId="28" fillId="13" borderId="30" xfId="47" applyNumberFormat="1" applyFont="1" applyFill="1" applyBorder="1" applyAlignment="1">
      <alignment horizontal="right"/>
      <protection locked="0"/>
    </xf>
    <xf numFmtId="39" fontId="8" fillId="13" borderId="30" xfId="28" applyNumberFormat="1" applyFont="1" applyFill="1" applyBorder="1" applyAlignment="1">
      <alignment horizontal="right"/>
      <protection locked="0"/>
    </xf>
    <xf numFmtId="4" fontId="8" fillId="13" borderId="30" xfId="45" applyNumberFormat="1" applyFont="1" applyFill="1" applyBorder="1" applyAlignment="1">
      <alignment horizontal="right"/>
      <protection locked="0"/>
    </xf>
    <xf numFmtId="39" fontId="8" fillId="13" borderId="30" xfId="64" applyNumberFormat="1" applyFont="1" applyFill="1" applyBorder="1" applyAlignment="1" applyProtection="1">
      <alignment horizontal="right"/>
      <protection locked="0"/>
    </xf>
    <xf numFmtId="39" fontId="48" fillId="13" borderId="30" xfId="60" applyNumberFormat="1" applyFont="1" applyFill="1" applyBorder="1" applyAlignment="1">
      <alignment horizontal="right"/>
      <protection locked="0"/>
    </xf>
    <xf numFmtId="39" fontId="37" fillId="13" borderId="31" xfId="45" applyNumberFormat="1" applyFont="1" applyFill="1" applyBorder="1" applyAlignment="1">
      <alignment horizontal="right"/>
      <protection locked="0"/>
    </xf>
    <xf numFmtId="4" fontId="72" fillId="13" borderId="30" xfId="31" applyNumberFormat="1" applyFont="1" applyFill="1" applyBorder="1" applyAlignment="1" applyProtection="1">
      <alignment horizontal="right"/>
      <protection locked="0"/>
    </xf>
    <xf numFmtId="39" fontId="8" fillId="13" borderId="30" xfId="0" applyNumberFormat="1" applyFont="1" applyFill="1" applyBorder="1" applyAlignment="1">
      <alignment horizontal="right"/>
      <protection locked="0"/>
    </xf>
    <xf numFmtId="4" fontId="8" fillId="13" borderId="30" xfId="43" applyNumberFormat="1" applyFont="1" applyFill="1" applyBorder="1" applyAlignment="1" applyProtection="1">
      <alignment horizontal="right"/>
      <protection locked="0"/>
    </xf>
    <xf numFmtId="4" fontId="28" fillId="13" borderId="30" xfId="44" applyNumberFormat="1" applyFont="1" applyFill="1" applyBorder="1" applyAlignment="1">
      <alignment horizontal="right"/>
      <protection locked="0"/>
    </xf>
    <xf numFmtId="4" fontId="37" fillId="13" borderId="30" xfId="0" applyNumberFormat="1" applyFont="1" applyFill="1" applyBorder="1" applyAlignment="1">
      <alignment horizontal="right"/>
      <protection locked="0"/>
    </xf>
    <xf numFmtId="4" fontId="8" fillId="13" borderId="30" xfId="0" applyNumberFormat="1" applyFont="1" applyFill="1" applyBorder="1" applyAlignment="1">
      <alignment horizontal="right"/>
      <protection locked="0"/>
    </xf>
    <xf numFmtId="39" fontId="96" fillId="13" borderId="30" xfId="0" applyNumberFormat="1" applyFont="1" applyFill="1" applyBorder="1" applyAlignment="1">
      <alignment horizontal="right"/>
      <protection locked="0"/>
    </xf>
    <xf numFmtId="0" fontId="8" fillId="13" borderId="30" xfId="0" applyFont="1" applyFill="1" applyBorder="1" applyAlignment="1">
      <alignment horizontal="right" vertical="center"/>
      <protection locked="0"/>
    </xf>
    <xf numFmtId="39" fontId="8" fillId="13" borderId="30" xfId="48" applyNumberFormat="1" applyFont="1" applyFill="1" applyBorder="1" applyAlignment="1">
      <alignment horizontal="right"/>
      <protection locked="0"/>
    </xf>
    <xf numFmtId="39" fontId="54" fillId="13" borderId="30" xfId="40" applyNumberFormat="1" applyFont="1" applyFill="1" applyBorder="1" applyAlignment="1">
      <alignment horizontal="right"/>
      <protection locked="0"/>
    </xf>
    <xf numFmtId="39" fontId="8" fillId="13" borderId="30" xfId="0" applyNumberFormat="1" applyFont="1" applyFill="1" applyBorder="1" applyAlignment="1">
      <alignment horizontal="right" vertical="center"/>
      <protection locked="0"/>
    </xf>
    <xf numFmtId="4" fontId="31" fillId="13" borderId="0" xfId="45" applyNumberFormat="1" applyFill="1" applyAlignment="1">
      <alignment vertical="top"/>
      <protection locked="0"/>
    </xf>
    <xf numFmtId="4" fontId="37" fillId="13" borderId="30" xfId="45" applyNumberFormat="1" applyFont="1" applyFill="1" applyBorder="1" applyAlignment="1">
      <alignment horizontal="right"/>
      <protection locked="0"/>
    </xf>
    <xf numFmtId="4" fontId="48" fillId="13" borderId="30" xfId="45" applyNumberFormat="1" applyFont="1" applyFill="1" applyBorder="1" applyAlignment="1">
      <alignment horizontal="right"/>
      <protection locked="0"/>
    </xf>
    <xf numFmtId="39" fontId="37" fillId="13" borderId="30" xfId="28" applyNumberFormat="1" applyFont="1" applyFill="1" applyBorder="1" applyAlignment="1">
      <alignment horizontal="right"/>
      <protection locked="0"/>
    </xf>
    <xf numFmtId="39" fontId="37" fillId="13" borderId="30" xfId="0" applyNumberFormat="1" applyFont="1" applyFill="1" applyBorder="1" applyAlignment="1">
      <alignment horizontal="right"/>
      <protection locked="0"/>
    </xf>
    <xf numFmtId="4" fontId="28" fillId="13" borderId="30" xfId="0" applyNumberFormat="1" applyFont="1" applyFill="1" applyBorder="1" applyAlignment="1">
      <alignment horizontal="right"/>
      <protection locked="0"/>
    </xf>
    <xf numFmtId="39" fontId="8" fillId="13" borderId="30" xfId="43" applyNumberFormat="1" applyFont="1" applyFill="1" applyBorder="1" applyAlignment="1" applyProtection="1">
      <alignment horizontal="right"/>
      <protection locked="0"/>
    </xf>
    <xf numFmtId="4" fontId="72" fillId="13" borderId="30" xfId="0" applyNumberFormat="1" applyFont="1" applyFill="1" applyBorder="1" applyAlignment="1">
      <alignment horizontal="right"/>
      <protection locked="0"/>
    </xf>
    <xf numFmtId="0" fontId="45" fillId="13" borderId="31" xfId="28" applyFont="1" applyFill="1" applyBorder="1" applyAlignment="1" applyProtection="1">
      <alignment horizontal="center" vertical="center" wrapText="1"/>
    </xf>
    <xf numFmtId="39" fontId="8" fillId="13" borderId="30" xfId="45" applyNumberFormat="1" applyFont="1" applyFill="1" applyBorder="1" applyAlignment="1">
      <alignment horizontal="right"/>
      <protection locked="0"/>
    </xf>
    <xf numFmtId="39" fontId="8" fillId="13" borderId="30" xfId="42" applyNumberFormat="1" applyFont="1" applyFill="1" applyBorder="1" applyAlignment="1" applyProtection="1">
      <alignment horizontal="right"/>
      <protection locked="0"/>
    </xf>
    <xf numFmtId="39" fontId="54" fillId="13" borderId="30" xfId="0" applyNumberFormat="1" applyFont="1" applyFill="1" applyBorder="1" applyAlignment="1">
      <alignment horizontal="right"/>
      <protection locked="0"/>
    </xf>
    <xf numFmtId="4" fontId="37" fillId="13" borderId="30" xfId="43" applyNumberFormat="1" applyFont="1" applyFill="1" applyBorder="1" applyAlignment="1" applyProtection="1">
      <alignment horizontal="right"/>
      <protection locked="0"/>
    </xf>
    <xf numFmtId="166" fontId="8" fillId="13" borderId="135" xfId="28" applyNumberFormat="1" applyFont="1" applyFill="1" applyBorder="1" applyAlignment="1" applyProtection="1">
      <alignment horizontal="center" vertical="center"/>
    </xf>
    <xf numFmtId="4" fontId="40" fillId="13" borderId="125" xfId="28" applyNumberFormat="1" applyFont="1" applyFill="1" applyBorder="1" applyAlignment="1" applyProtection="1">
      <alignment horizontal="right" vertical="center"/>
    </xf>
    <xf numFmtId="4" fontId="42" fillId="13" borderId="125" xfId="28" applyNumberFormat="1" applyFont="1" applyFill="1" applyBorder="1" applyAlignment="1" applyProtection="1">
      <alignment horizontal="right" vertical="center"/>
    </xf>
    <xf numFmtId="4" fontId="28" fillId="13" borderId="125" xfId="47" applyNumberFormat="1" applyFont="1" applyFill="1" applyBorder="1" applyAlignment="1">
      <alignment horizontal="right"/>
      <protection locked="0"/>
    </xf>
    <xf numFmtId="39" fontId="8" fillId="13" borderId="125" xfId="40" applyNumberFormat="1" applyFont="1" applyFill="1" applyBorder="1" applyAlignment="1">
      <alignment horizontal="right"/>
      <protection locked="0"/>
    </xf>
    <xf numFmtId="4" fontId="37" fillId="13" borderId="125" xfId="45" applyNumberFormat="1" applyFont="1" applyFill="1" applyBorder="1" applyAlignment="1">
      <alignment horizontal="right"/>
      <protection locked="0"/>
    </xf>
    <xf numFmtId="4" fontId="8" fillId="13" borderId="125" xfId="45" applyNumberFormat="1" applyFont="1" applyFill="1" applyBorder="1" applyAlignment="1">
      <alignment horizontal="right"/>
      <protection locked="0"/>
    </xf>
    <xf numFmtId="4" fontId="37" fillId="13" borderId="125" xfId="53" applyNumberFormat="1" applyFont="1" applyFill="1" applyBorder="1" applyAlignment="1" applyProtection="1">
      <alignment horizontal="right"/>
      <protection locked="0"/>
    </xf>
    <xf numFmtId="4" fontId="195" fillId="13" borderId="125" xfId="53" applyNumberFormat="1" applyFont="1" applyFill="1" applyBorder="1" applyAlignment="1" applyProtection="1">
      <alignment horizontal="right"/>
      <protection locked="0"/>
    </xf>
    <xf numFmtId="4" fontId="8" fillId="13" borderId="125" xfId="53" applyNumberFormat="1" applyFont="1" applyFill="1" applyBorder="1" applyAlignment="1" applyProtection="1">
      <alignment horizontal="right"/>
      <protection locked="0"/>
    </xf>
    <xf numFmtId="39" fontId="37" fillId="13" borderId="125" xfId="49" applyNumberFormat="1" applyFont="1" applyFill="1" applyBorder="1" applyAlignment="1" applyProtection="1">
      <alignment horizontal="right"/>
      <protection locked="0"/>
    </xf>
    <xf numFmtId="4" fontId="37" fillId="13" borderId="129" xfId="94" applyNumberFormat="1" applyFont="1" applyFill="1" applyBorder="1" applyAlignment="1" applyProtection="1">
      <alignment horizontal="right"/>
      <protection locked="0"/>
    </xf>
    <xf numFmtId="4" fontId="8" fillId="13" borderId="0" xfId="80" applyNumberFormat="1" applyFont="1" applyFill="1" applyAlignment="1">
      <alignment horizontal="right"/>
      <protection locked="0"/>
    </xf>
    <xf numFmtId="4" fontId="8" fillId="13" borderId="129" xfId="82" applyNumberFormat="1" applyFont="1" applyFill="1" applyBorder="1" applyAlignment="1">
      <alignment horizontal="right"/>
      <protection locked="0"/>
    </xf>
    <xf numFmtId="4" fontId="37" fillId="13" borderId="125" xfId="49" applyNumberFormat="1" applyFont="1" applyFill="1" applyBorder="1" applyAlignment="1" applyProtection="1">
      <alignment horizontal="right"/>
      <protection locked="0"/>
    </xf>
    <xf numFmtId="39" fontId="8" fillId="13" borderId="125" xfId="49" applyNumberFormat="1" applyFont="1" applyFill="1" applyBorder="1" applyAlignment="1" applyProtection="1">
      <alignment horizontal="right"/>
      <protection locked="0"/>
    </xf>
    <xf numFmtId="4" fontId="8" fillId="13" borderId="125" xfId="78" applyNumberFormat="1" applyFont="1" applyFill="1" applyBorder="1" applyAlignment="1" applyProtection="1">
      <alignment horizontal="right"/>
      <protection locked="0"/>
    </xf>
    <xf numFmtId="4" fontId="8" fillId="13" borderId="125" xfId="49" applyNumberFormat="1" applyFont="1" applyFill="1" applyBorder="1" applyAlignment="1" applyProtection="1">
      <alignment horizontal="right"/>
      <protection locked="0"/>
    </xf>
    <xf numFmtId="39" fontId="8" fillId="13" borderId="125" xfId="48" applyNumberFormat="1" applyFont="1" applyFill="1" applyBorder="1" applyAlignment="1">
      <alignment horizontal="right"/>
      <protection locked="0"/>
    </xf>
    <xf numFmtId="4" fontId="8" fillId="13" borderId="125" xfId="94" applyNumberFormat="1" applyFont="1" applyFill="1" applyBorder="1" applyAlignment="1" applyProtection="1">
      <alignment horizontal="right"/>
      <protection locked="0"/>
    </xf>
    <xf numFmtId="4" fontId="28" fillId="13" borderId="125" xfId="94" applyNumberFormat="1" applyFont="1" applyFill="1" applyBorder="1" applyAlignment="1" applyProtection="1">
      <alignment horizontal="right"/>
      <protection locked="0"/>
    </xf>
    <xf numFmtId="4" fontId="28" fillId="13" borderId="125" xfId="38" applyNumberFormat="1" applyFont="1" applyFill="1" applyBorder="1" applyAlignment="1" applyProtection="1">
      <alignment horizontal="right"/>
      <protection locked="0"/>
    </xf>
    <xf numFmtId="39" fontId="8" fillId="13" borderId="125" xfId="78" applyNumberFormat="1" applyFont="1" applyFill="1" applyBorder="1" applyAlignment="1" applyProtection="1">
      <alignment horizontal="right"/>
      <protection locked="0"/>
    </xf>
    <xf numFmtId="4" fontId="28" fillId="13" borderId="125" xfId="39" applyNumberFormat="1" applyFont="1" applyFill="1" applyBorder="1" applyAlignment="1">
      <alignment horizontal="right"/>
      <protection locked="0"/>
    </xf>
    <xf numFmtId="39" fontId="37" fillId="13" borderId="125" xfId="94" applyNumberFormat="1" applyFont="1" applyFill="1" applyBorder="1" applyAlignment="1" applyProtection="1">
      <alignment horizontal="right"/>
      <protection locked="0"/>
    </xf>
    <xf numFmtId="39" fontId="8" fillId="13" borderId="125" xfId="94" applyNumberFormat="1" applyFont="1" applyFill="1" applyBorder="1" applyAlignment="1" applyProtection="1">
      <alignment horizontal="right"/>
      <protection locked="0"/>
    </xf>
    <xf numFmtId="39" fontId="28" fillId="13" borderId="125" xfId="94" applyNumberFormat="1" applyFont="1" applyFill="1" applyBorder="1" applyAlignment="1" applyProtection="1">
      <alignment horizontal="right"/>
      <protection locked="0"/>
    </xf>
    <xf numFmtId="4" fontId="37" fillId="13" borderId="125" xfId="40" applyNumberFormat="1" applyFont="1" applyFill="1" applyBorder="1" applyAlignment="1">
      <alignment horizontal="right"/>
      <protection locked="0"/>
    </xf>
    <xf numFmtId="4" fontId="57" fillId="13" borderId="125" xfId="47" applyNumberFormat="1" applyFont="1" applyFill="1" applyBorder="1" applyAlignment="1">
      <alignment horizontal="right"/>
      <protection locked="0"/>
    </xf>
    <xf numFmtId="4" fontId="72" fillId="13" borderId="125" xfId="53" applyNumberFormat="1" applyFont="1" applyFill="1" applyBorder="1" applyAlignment="1" applyProtection="1">
      <alignment horizontal="right"/>
      <protection locked="0"/>
    </xf>
    <xf numFmtId="4" fontId="28" fillId="13" borderId="125" xfId="53" applyNumberFormat="1" applyFont="1" applyFill="1" applyBorder="1" applyAlignment="1" applyProtection="1">
      <alignment horizontal="right"/>
      <protection locked="0"/>
    </xf>
    <xf numFmtId="39" fontId="28" fillId="13" borderId="125" xfId="49" applyNumberFormat="1" applyFont="1" applyFill="1" applyBorder="1" applyAlignment="1" applyProtection="1">
      <alignment horizontal="right"/>
      <protection locked="0"/>
    </xf>
    <xf numFmtId="39" fontId="37" fillId="13" borderId="125" xfId="40" applyNumberFormat="1" applyFont="1" applyFill="1" applyBorder="1" applyAlignment="1">
      <alignment horizontal="right"/>
      <protection locked="0"/>
    </xf>
    <xf numFmtId="39" fontId="96" fillId="13" borderId="125" xfId="94" applyNumberFormat="1" applyFont="1" applyFill="1" applyBorder="1" applyAlignment="1" applyProtection="1">
      <alignment horizontal="right"/>
      <protection locked="0"/>
    </xf>
    <xf numFmtId="4" fontId="8" fillId="13" borderId="125" xfId="32" applyNumberFormat="1" applyFont="1" applyFill="1" applyBorder="1" applyAlignment="1" applyProtection="1">
      <alignment horizontal="right"/>
      <protection locked="0"/>
    </xf>
    <xf numFmtId="39" fontId="8" fillId="13" borderId="125" xfId="3" applyNumberFormat="1" applyFont="1" applyFill="1" applyBorder="1" applyAlignment="1" applyProtection="1">
      <alignment horizontal="right"/>
      <protection locked="0"/>
    </xf>
    <xf numFmtId="39" fontId="48" fillId="13" borderId="125" xfId="3" applyNumberFormat="1" applyFont="1" applyFill="1" applyBorder="1" applyAlignment="1" applyProtection="1">
      <alignment horizontal="right"/>
      <protection locked="0"/>
    </xf>
    <xf numFmtId="39" fontId="28" fillId="13" borderId="125" xfId="40" applyNumberFormat="1" applyFont="1" applyFill="1" applyBorder="1" applyAlignment="1">
      <alignment horizontal="right"/>
      <protection locked="0"/>
    </xf>
    <xf numFmtId="39" fontId="37" fillId="13" borderId="125" xfId="96" applyNumberFormat="1" applyFont="1" applyFill="1" applyBorder="1" applyAlignment="1" applyProtection="1">
      <alignment horizontal="right"/>
      <protection locked="0"/>
    </xf>
    <xf numFmtId="39" fontId="96" fillId="13" borderId="125" xfId="96" applyNumberFormat="1" applyFont="1" applyFill="1" applyBorder="1" applyAlignment="1" applyProtection="1">
      <alignment horizontal="right"/>
      <protection locked="0"/>
    </xf>
    <xf numFmtId="39" fontId="8" fillId="13" borderId="125" xfId="96" applyNumberFormat="1" applyFont="1" applyFill="1" applyBorder="1" applyAlignment="1" applyProtection="1">
      <alignment horizontal="right"/>
      <protection locked="0"/>
    </xf>
    <xf numFmtId="39" fontId="43" fillId="13" borderId="125" xfId="94" applyNumberFormat="1" applyFont="1" applyFill="1" applyBorder="1" applyAlignment="1" applyProtection="1">
      <alignment horizontal="right"/>
      <protection locked="0"/>
    </xf>
    <xf numFmtId="39" fontId="37" fillId="13" borderId="125" xfId="83" applyNumberFormat="1" applyFont="1" applyFill="1" applyBorder="1" applyAlignment="1">
      <alignment horizontal="right"/>
    </xf>
    <xf numFmtId="4" fontId="28" fillId="13" borderId="125" xfId="8" applyNumberFormat="1" applyFont="1" applyFill="1" applyBorder="1" applyAlignment="1" applyProtection="1">
      <alignment horizontal="right"/>
      <protection locked="0"/>
    </xf>
    <xf numFmtId="4" fontId="28" fillId="13" borderId="125" xfId="63" applyNumberFormat="1" applyFont="1" applyFill="1" applyBorder="1" applyAlignment="1">
      <alignment horizontal="right"/>
    </xf>
    <xf numFmtId="39" fontId="8" fillId="13" borderId="125" xfId="83" applyNumberFormat="1" applyFont="1" applyFill="1" applyBorder="1" applyAlignment="1">
      <alignment horizontal="right"/>
    </xf>
    <xf numFmtId="4" fontId="8" fillId="13" borderId="129" xfId="94" applyNumberFormat="1" applyFont="1" applyFill="1" applyBorder="1" applyAlignment="1" applyProtection="1">
      <alignment horizontal="right"/>
      <protection locked="0"/>
    </xf>
    <xf numFmtId="39" fontId="37" fillId="12" borderId="31" xfId="55" applyNumberFormat="1" applyFont="1" applyFill="1" applyBorder="1" applyAlignment="1" applyProtection="1">
      <alignment horizontal="right"/>
      <protection locked="0"/>
    </xf>
    <xf numFmtId="0" fontId="45" fillId="12" borderId="32" xfId="55" applyFont="1" applyFill="1" applyBorder="1" applyAlignment="1">
      <alignment horizontal="center" vertical="center" wrapText="1"/>
    </xf>
    <xf numFmtId="39" fontId="37" fillId="12" borderId="0" xfId="55" applyNumberFormat="1" applyFont="1" applyFill="1" applyAlignment="1" applyProtection="1">
      <alignment horizontal="right"/>
      <protection locked="0"/>
    </xf>
    <xf numFmtId="39" fontId="37" fillId="12" borderId="30" xfId="55" applyNumberFormat="1" applyFont="1" applyFill="1" applyBorder="1" applyAlignment="1" applyProtection="1">
      <alignment horizontal="right"/>
      <protection locked="0"/>
    </xf>
    <xf numFmtId="4" fontId="28" fillId="12" borderId="30" xfId="44" applyNumberFormat="1" applyFont="1" applyFill="1" applyBorder="1" applyAlignment="1">
      <alignment horizontal="right"/>
      <protection locked="0"/>
    </xf>
    <xf numFmtId="4" fontId="8" fillId="12" borderId="30" xfId="39" applyNumberFormat="1" applyFont="1" applyFill="1" applyBorder="1" applyAlignment="1" applyProtection="1">
      <alignment horizontal="right"/>
    </xf>
    <xf numFmtId="39" fontId="8" fillId="12" borderId="30" xfId="3" applyNumberFormat="1" applyFont="1" applyFill="1" applyBorder="1" applyAlignment="1" applyProtection="1">
      <alignment horizontal="right"/>
      <protection locked="0"/>
    </xf>
    <xf numFmtId="4" fontId="8" fillId="12" borderId="30" xfId="0" applyNumberFormat="1" applyFont="1" applyFill="1" applyBorder="1" applyAlignment="1">
      <alignment horizontal="right"/>
      <protection locked="0"/>
    </xf>
    <xf numFmtId="4" fontId="28" fillId="12" borderId="30" xfId="0" applyNumberFormat="1" applyFont="1" applyFill="1" applyBorder="1" applyAlignment="1">
      <alignment horizontal="right"/>
      <protection locked="0"/>
    </xf>
    <xf numFmtId="4" fontId="28" fillId="12" borderId="30" xfId="38" applyNumberFormat="1" applyFont="1" applyFill="1" applyBorder="1" applyAlignment="1" applyProtection="1">
      <alignment horizontal="right"/>
      <protection locked="0"/>
    </xf>
    <xf numFmtId="4" fontId="37" fillId="12" borderId="30" xfId="3" applyNumberFormat="1" applyFont="1" applyFill="1" applyBorder="1" applyAlignment="1" applyProtection="1">
      <alignment horizontal="right"/>
      <protection locked="0"/>
    </xf>
    <xf numFmtId="4" fontId="8" fillId="12" borderId="30" xfId="3" applyNumberFormat="1" applyFont="1" applyFill="1" applyBorder="1" applyAlignment="1" applyProtection="1">
      <alignment horizontal="right"/>
      <protection locked="0"/>
    </xf>
    <xf numFmtId="4" fontId="96" fillId="12" borderId="30" xfId="3" applyNumberFormat="1" applyFont="1" applyFill="1" applyBorder="1" applyAlignment="1" applyProtection="1">
      <alignment horizontal="right"/>
      <protection locked="0"/>
    </xf>
    <xf numFmtId="39" fontId="37" fillId="12" borderId="30" xfId="3" applyNumberFormat="1" applyFont="1" applyFill="1" applyBorder="1" applyAlignment="1" applyProtection="1">
      <alignment horizontal="right"/>
      <protection locked="0"/>
    </xf>
    <xf numFmtId="39" fontId="28" fillId="12" borderId="30" xfId="0" applyNumberFormat="1" applyFont="1" applyFill="1" applyBorder="1" applyAlignment="1">
      <alignment horizontal="right"/>
      <protection locked="0"/>
    </xf>
    <xf numFmtId="39" fontId="48" fillId="12" borderId="30" xfId="0" applyNumberFormat="1" applyFont="1" applyFill="1" applyBorder="1" applyAlignment="1">
      <alignment horizontal="right"/>
      <protection locked="0"/>
    </xf>
    <xf numFmtId="4" fontId="8" fillId="12" borderId="30" xfId="60" applyNumberFormat="1" applyFont="1" applyFill="1" applyBorder="1" applyAlignment="1">
      <alignment horizontal="right"/>
      <protection locked="0"/>
    </xf>
    <xf numFmtId="4" fontId="37" fillId="12" borderId="30" xfId="3" applyNumberFormat="1" applyFont="1" applyFill="1" applyBorder="1" applyAlignment="1">
      <alignment horizontal="right"/>
    </xf>
    <xf numFmtId="4" fontId="54" fillId="12" borderId="30" xfId="3" applyNumberFormat="1" applyFont="1" applyFill="1" applyBorder="1" applyAlignment="1" applyProtection="1">
      <alignment horizontal="right"/>
      <protection locked="0"/>
    </xf>
    <xf numFmtId="39" fontId="8" fillId="12" borderId="30" xfId="43" applyNumberFormat="1" applyFont="1" applyFill="1" applyBorder="1" applyAlignment="1" applyProtection="1">
      <alignment horizontal="right"/>
      <protection locked="0"/>
    </xf>
    <xf numFmtId="39" fontId="8" fillId="12" borderId="30" xfId="43" applyNumberFormat="1" applyFont="1" applyFill="1" applyBorder="1" applyAlignment="1" applyProtection="1">
      <alignment horizontal="right" vertical="center"/>
      <protection locked="0"/>
    </xf>
    <xf numFmtId="4" fontId="31" fillId="12" borderId="0" xfId="45" applyNumberFormat="1" applyFill="1" applyAlignment="1">
      <alignment vertical="top"/>
      <protection locked="0"/>
    </xf>
    <xf numFmtId="4" fontId="8" fillId="12" borderId="30" xfId="45" applyNumberFormat="1" applyFont="1" applyFill="1" applyBorder="1" applyAlignment="1">
      <alignment horizontal="right"/>
      <protection locked="0"/>
    </xf>
    <xf numFmtId="4" fontId="8" fillId="12" borderId="30" xfId="24" applyNumberFormat="1" applyFont="1" applyFill="1" applyBorder="1" applyAlignment="1" applyProtection="1">
      <alignment horizontal="right"/>
      <protection locked="0"/>
    </xf>
    <xf numFmtId="4" fontId="28" fillId="12" borderId="30" xfId="24" applyNumberFormat="1" applyFont="1" applyFill="1" applyBorder="1" applyAlignment="1" applyProtection="1">
      <alignment horizontal="right"/>
      <protection locked="0"/>
    </xf>
    <xf numFmtId="39" fontId="8" fillId="12" borderId="30" xfId="27" applyNumberFormat="1" applyFont="1" applyFill="1" applyBorder="1" applyAlignment="1">
      <alignment horizontal="right"/>
      <protection locked="0"/>
    </xf>
    <xf numFmtId="39" fontId="48" fillId="12" borderId="30" xfId="52" applyNumberFormat="1" applyFont="1" applyFill="1" applyBorder="1" applyAlignment="1" applyProtection="1">
      <alignment horizontal="right"/>
      <protection locked="0"/>
    </xf>
    <xf numFmtId="4" fontId="28" fillId="12" borderId="30" xfId="32" applyNumberFormat="1" applyFont="1" applyFill="1" applyBorder="1" applyAlignment="1" applyProtection="1">
      <alignment horizontal="right"/>
      <protection locked="0"/>
    </xf>
    <xf numFmtId="4" fontId="109" fillId="12" borderId="30" xfId="32" applyNumberFormat="1" applyFont="1" applyFill="1" applyBorder="1" applyAlignment="1" applyProtection="1">
      <alignment horizontal="right" vertical="center"/>
      <protection locked="0"/>
    </xf>
    <xf numFmtId="4" fontId="118" fillId="12" borderId="30" xfId="32" applyNumberFormat="1" applyFont="1" applyFill="1" applyBorder="1" applyAlignment="1" applyProtection="1">
      <alignment horizontal="right" vertical="center"/>
      <protection locked="0"/>
    </xf>
    <xf numFmtId="39" fontId="40" fillId="12" borderId="30" xfId="28" applyNumberFormat="1" applyFont="1" applyFill="1" applyBorder="1" applyAlignment="1" applyProtection="1">
      <alignment horizontal="right"/>
    </xf>
    <xf numFmtId="39" fontId="42" fillId="12" borderId="30" xfId="28" applyNumberFormat="1" applyFont="1" applyFill="1" applyBorder="1" applyAlignment="1" applyProtection="1">
      <alignment horizontal="right" vertical="center"/>
    </xf>
    <xf numFmtId="39" fontId="37" fillId="12" borderId="31" xfId="24" applyNumberFormat="1" applyFont="1" applyFill="1" applyBorder="1" applyAlignment="1" applyProtection="1">
      <alignment horizontal="right"/>
      <protection locked="0"/>
    </xf>
    <xf numFmtId="0" fontId="45" fillId="12" borderId="32" xfId="24" applyFont="1" applyFill="1" applyBorder="1" applyAlignment="1">
      <alignment horizontal="center" vertical="center" wrapText="1"/>
    </xf>
    <xf numFmtId="39" fontId="37" fillId="12" borderId="0" xfId="24" applyNumberFormat="1" applyFont="1" applyFill="1" applyAlignment="1" applyProtection="1">
      <alignment horizontal="right"/>
      <protection locked="0"/>
    </xf>
    <xf numFmtId="39" fontId="37" fillId="12" borderId="30" xfId="24" applyNumberFormat="1" applyFont="1" applyFill="1" applyBorder="1" applyAlignment="1" applyProtection="1">
      <alignment horizontal="right"/>
      <protection locked="0"/>
    </xf>
    <xf numFmtId="39" fontId="8" fillId="12" borderId="30" xfId="24" applyNumberFormat="1" applyFont="1" applyFill="1" applyBorder="1" applyAlignment="1" applyProtection="1">
      <alignment horizontal="right"/>
      <protection locked="0"/>
    </xf>
    <xf numFmtId="4" fontId="72" fillId="12" borderId="30" xfId="31" applyNumberFormat="1" applyFont="1" applyFill="1" applyBorder="1" applyAlignment="1" applyProtection="1">
      <alignment horizontal="right"/>
      <protection locked="0"/>
    </xf>
    <xf numFmtId="39" fontId="37" fillId="12" borderId="31" xfId="3" applyNumberFormat="1" applyFont="1" applyFill="1" applyBorder="1" applyAlignment="1">
      <alignment horizontal="right"/>
    </xf>
    <xf numFmtId="0" fontId="45" fillId="12" borderId="32" xfId="3" applyFont="1" applyFill="1" applyBorder="1" applyAlignment="1">
      <alignment horizontal="center" vertical="center" wrapText="1"/>
    </xf>
    <xf numFmtId="39" fontId="37" fillId="12" borderId="0" xfId="48" applyNumberFormat="1" applyFont="1" applyFill="1" applyAlignment="1">
      <alignment horizontal="right"/>
      <protection locked="0"/>
    </xf>
    <xf numFmtId="39" fontId="37" fillId="12" borderId="30" xfId="3" applyNumberFormat="1" applyFont="1" applyFill="1" applyBorder="1" applyAlignment="1">
      <alignment horizontal="right"/>
    </xf>
    <xf numFmtId="4" fontId="28" fillId="12" borderId="30" xfId="52" applyNumberFormat="1" applyFont="1" applyFill="1" applyBorder="1" applyAlignment="1" applyProtection="1">
      <alignment horizontal="right"/>
      <protection locked="0"/>
    </xf>
    <xf numFmtId="39" fontId="8" fillId="12" borderId="30" xfId="52" applyNumberFormat="1" applyFont="1" applyFill="1" applyBorder="1" applyAlignment="1" applyProtection="1">
      <alignment horizontal="right"/>
      <protection locked="0"/>
    </xf>
    <xf numFmtId="39" fontId="8" fillId="12" borderId="30" xfId="27" applyNumberFormat="1" applyFont="1" applyFill="1" applyBorder="1" applyAlignment="1" applyProtection="1">
      <alignment horizontal="right"/>
    </xf>
    <xf numFmtId="39" fontId="37" fillId="12" borderId="30" xfId="32" applyNumberFormat="1" applyFont="1" applyFill="1" applyBorder="1" applyAlignment="1" applyProtection="1">
      <alignment horizontal="right"/>
      <protection locked="0"/>
    </xf>
    <xf numFmtId="4" fontId="28" fillId="12" borderId="30" xfId="53" applyNumberFormat="1" applyFont="1" applyFill="1" applyBorder="1" applyAlignment="1" applyProtection="1">
      <alignment horizontal="right"/>
      <protection locked="0"/>
    </xf>
    <xf numFmtId="4" fontId="8" fillId="12" borderId="30" xfId="53" applyNumberFormat="1" applyFont="1" applyFill="1" applyBorder="1" applyAlignment="1" applyProtection="1">
      <alignment horizontal="right"/>
      <protection locked="0"/>
    </xf>
    <xf numFmtId="4" fontId="8" fillId="12" borderId="30" xfId="52" applyNumberFormat="1" applyFont="1" applyFill="1" applyBorder="1" applyAlignment="1" applyProtection="1">
      <alignment horizontal="right"/>
      <protection locked="0"/>
    </xf>
    <xf numFmtId="39" fontId="8" fillId="12" borderId="30" xfId="54" applyNumberFormat="1" applyFont="1" applyFill="1" applyBorder="1" applyAlignment="1" applyProtection="1">
      <alignment horizontal="right"/>
      <protection locked="0"/>
    </xf>
    <xf numFmtId="39" fontId="37" fillId="12" borderId="31" xfId="29" applyNumberFormat="1" applyFont="1" applyFill="1" applyBorder="1" applyAlignment="1">
      <alignment horizontal="right"/>
    </xf>
    <xf numFmtId="0" fontId="45" fillId="12" borderId="32" xfId="29" applyFont="1" applyFill="1" applyBorder="1" applyAlignment="1">
      <alignment horizontal="center" vertical="center" wrapText="1"/>
    </xf>
    <xf numFmtId="39" fontId="37" fillId="12" borderId="37" xfId="29" applyNumberFormat="1" applyFont="1" applyFill="1" applyBorder="1" applyAlignment="1" applyProtection="1">
      <alignment horizontal="right"/>
      <protection locked="0"/>
    </xf>
    <xf numFmtId="4" fontId="28" fillId="12" borderId="30" xfId="47" applyNumberFormat="1" applyFont="1" applyFill="1" applyBorder="1" applyAlignment="1">
      <alignment horizontal="right"/>
      <protection locked="0"/>
    </xf>
    <xf numFmtId="4" fontId="28" fillId="12" borderId="30" xfId="3" applyNumberFormat="1" applyFont="1" applyFill="1" applyBorder="1" applyAlignment="1" applyProtection="1">
      <alignment horizontal="right"/>
      <protection locked="0"/>
    </xf>
    <xf numFmtId="2" fontId="28" fillId="12" borderId="30" xfId="3" applyNumberFormat="1" applyFont="1" applyFill="1" applyBorder="1" applyAlignment="1" applyProtection="1">
      <alignment horizontal="right"/>
      <protection locked="0"/>
    </xf>
    <xf numFmtId="39" fontId="8" fillId="12" borderId="35" xfId="47" applyNumberFormat="1" applyFont="1" applyFill="1" applyBorder="1" applyAlignment="1">
      <alignment horizontal="right"/>
      <protection locked="0"/>
    </xf>
    <xf numFmtId="39" fontId="37" fillId="12" borderId="30" xfId="49" applyNumberFormat="1" applyFont="1" applyFill="1" applyBorder="1" applyAlignment="1" applyProtection="1">
      <alignment horizontal="right"/>
      <protection locked="0"/>
    </xf>
    <xf numFmtId="39" fontId="8" fillId="12" borderId="30" xfId="50" applyNumberFormat="1" applyFont="1" applyFill="1" applyBorder="1" applyAlignment="1" applyProtection="1">
      <alignment horizontal="right"/>
      <protection locked="0"/>
    </xf>
    <xf numFmtId="4" fontId="48" fillId="12" borderId="30" xfId="3" applyNumberFormat="1" applyFont="1" applyFill="1" applyBorder="1" applyAlignment="1" applyProtection="1">
      <alignment horizontal="right"/>
      <protection locked="0"/>
    </xf>
    <xf numFmtId="39" fontId="37" fillId="12" borderId="31" xfId="25" applyNumberFormat="1" applyFont="1" applyFill="1" applyBorder="1" applyAlignment="1">
      <alignment horizontal="right"/>
    </xf>
    <xf numFmtId="0" fontId="45" fillId="12" borderId="32" xfId="25" applyFont="1" applyFill="1" applyBorder="1" applyAlignment="1">
      <alignment horizontal="center" vertical="center" wrapText="1"/>
    </xf>
    <xf numFmtId="39" fontId="8" fillId="12" borderId="30" xfId="6" applyNumberFormat="1" applyFont="1" applyFill="1" applyBorder="1" applyAlignment="1" applyProtection="1">
      <alignment horizontal="right"/>
      <protection locked="0"/>
    </xf>
    <xf numFmtId="39" fontId="37" fillId="13" borderId="31" xfId="25" applyNumberFormat="1" applyFont="1" applyFill="1" applyBorder="1" applyAlignment="1">
      <alignment horizontal="right"/>
    </xf>
    <xf numFmtId="0" fontId="45" fillId="13" borderId="32" xfId="25" applyFont="1" applyFill="1" applyBorder="1" applyAlignment="1">
      <alignment horizontal="center" vertical="center" wrapText="1"/>
    </xf>
    <xf numFmtId="39" fontId="37" fillId="13" borderId="30" xfId="3" applyNumberFormat="1" applyFont="1" applyFill="1" applyBorder="1" applyAlignment="1" applyProtection="1">
      <alignment horizontal="right"/>
      <protection locked="0"/>
    </xf>
    <xf numFmtId="39" fontId="8" fillId="13" borderId="30" xfId="3" applyNumberFormat="1" applyFont="1" applyFill="1" applyBorder="1" applyAlignment="1" applyProtection="1">
      <alignment horizontal="right"/>
      <protection locked="0"/>
    </xf>
    <xf numFmtId="4" fontId="28" fillId="13" borderId="30" xfId="30" applyNumberFormat="1" applyFont="1" applyFill="1" applyBorder="1" applyAlignment="1" applyProtection="1">
      <alignment horizontal="right"/>
      <protection locked="0"/>
    </xf>
    <xf numFmtId="39" fontId="8" fillId="13" borderId="30" xfId="6" applyNumberFormat="1" applyFont="1" applyFill="1" applyBorder="1" applyAlignment="1" applyProtection="1">
      <alignment horizontal="right"/>
      <protection locked="0"/>
    </xf>
    <xf numFmtId="0" fontId="8" fillId="13" borderId="24" xfId="23" applyFont="1" applyFill="1" applyBorder="1" applyAlignment="1" applyProtection="1">
      <alignment horizontal="center" vertical="center" wrapText="1"/>
    </xf>
    <xf numFmtId="166" fontId="8" fillId="13" borderId="27" xfId="23" applyNumberFormat="1" applyFont="1" applyFill="1" applyBorder="1" applyAlignment="1" applyProtection="1">
      <alignment horizontal="center" vertical="center"/>
    </xf>
    <xf numFmtId="0" fontId="11" fillId="13" borderId="29" xfId="23" applyFill="1" applyBorder="1" applyAlignment="1" applyProtection="1">
      <alignment horizontal="left"/>
    </xf>
    <xf numFmtId="39" fontId="40" fillId="13" borderId="30" xfId="23" applyNumberFormat="1" applyFont="1" applyFill="1" applyBorder="1" applyAlignment="1" applyProtection="1">
      <alignment horizontal="right" vertical="center"/>
    </xf>
    <xf numFmtId="39" fontId="42" fillId="13" borderId="30" xfId="23" applyNumberFormat="1" applyFont="1" applyFill="1" applyBorder="1" applyAlignment="1" applyProtection="1">
      <alignment horizontal="right" vertical="center"/>
    </xf>
    <xf numFmtId="39" fontId="54" fillId="13" borderId="30" xfId="3" applyNumberFormat="1" applyFont="1" applyFill="1" applyBorder="1" applyAlignment="1" applyProtection="1">
      <alignment horizontal="right"/>
      <protection locked="0"/>
    </xf>
    <xf numFmtId="39" fontId="8" fillId="13" borderId="30" xfId="23" applyNumberFormat="1" applyFont="1" applyFill="1" applyBorder="1" applyAlignment="1">
      <alignment horizontal="right"/>
      <protection locked="0"/>
    </xf>
    <xf numFmtId="4" fontId="8" fillId="13" borderId="30" xfId="23" applyNumberFormat="1" applyFont="1" applyFill="1" applyBorder="1" applyAlignment="1">
      <alignment horizontal="right"/>
      <protection locked="0"/>
    </xf>
    <xf numFmtId="0" fontId="45" fillId="13" borderId="32" xfId="52" applyFont="1" applyFill="1" applyBorder="1" applyAlignment="1">
      <alignment horizontal="center" vertical="center" wrapText="1"/>
    </xf>
    <xf numFmtId="4" fontId="37" fillId="13" borderId="0" xfId="52" applyNumberFormat="1" applyFont="1" applyFill="1" applyAlignment="1">
      <alignment horizontal="right"/>
    </xf>
    <xf numFmtId="4" fontId="8" fillId="13" borderId="30" xfId="24" applyNumberFormat="1" applyFont="1" applyFill="1" applyBorder="1" applyAlignment="1" applyProtection="1">
      <alignment horizontal="right"/>
      <protection locked="0"/>
    </xf>
    <xf numFmtId="4" fontId="28" fillId="13" borderId="30" xfId="57" applyNumberFormat="1" applyFont="1" applyFill="1" applyBorder="1" applyAlignment="1" applyProtection="1">
      <alignment horizontal="right"/>
      <protection locked="0"/>
    </xf>
    <xf numFmtId="4" fontId="28" fillId="13" borderId="30" xfId="24" applyNumberFormat="1" applyFont="1" applyFill="1" applyBorder="1" applyAlignment="1" applyProtection="1">
      <alignment horizontal="right"/>
      <protection locked="0"/>
    </xf>
    <xf numFmtId="4" fontId="28" fillId="13" borderId="30" xfId="38" applyNumberFormat="1" applyFont="1" applyFill="1" applyBorder="1" applyAlignment="1" applyProtection="1">
      <alignment horizontal="right"/>
      <protection locked="0"/>
    </xf>
    <xf numFmtId="39" fontId="37" fillId="13" borderId="30" xfId="52" applyNumberFormat="1" applyFont="1" applyFill="1" applyBorder="1" applyAlignment="1" applyProtection="1">
      <alignment horizontal="right"/>
      <protection locked="0"/>
    </xf>
    <xf numFmtId="39" fontId="8" fillId="13" borderId="30" xfId="52" applyNumberFormat="1" applyFont="1" applyFill="1" applyBorder="1" applyAlignment="1">
      <alignment horizontal="right"/>
    </xf>
    <xf numFmtId="39" fontId="28" fillId="13" borderId="30" xfId="49" applyNumberFormat="1" applyFont="1" applyFill="1" applyBorder="1" applyAlignment="1" applyProtection="1">
      <alignment horizontal="right"/>
      <protection locked="0"/>
    </xf>
    <xf numFmtId="39" fontId="8" fillId="13" borderId="30" xfId="27" applyNumberFormat="1" applyFont="1" applyFill="1" applyBorder="1" applyAlignment="1">
      <alignment horizontal="right"/>
      <protection locked="0"/>
    </xf>
    <xf numFmtId="39" fontId="48" fillId="13" borderId="30" xfId="52" applyNumberFormat="1" applyFont="1" applyFill="1" applyBorder="1" applyAlignment="1" applyProtection="1">
      <alignment horizontal="right"/>
      <protection locked="0"/>
    </xf>
    <xf numFmtId="39" fontId="37" fillId="13" borderId="31" xfId="52" applyNumberFormat="1" applyFont="1" applyFill="1" applyBorder="1" applyAlignment="1">
      <alignment horizontal="right"/>
    </xf>
    <xf numFmtId="167" fontId="8" fillId="0" borderId="127" xfId="0" applyNumberFormat="1" applyFont="1" applyBorder="1" applyAlignment="1">
      <alignment horizontal="right"/>
      <protection locked="0"/>
    </xf>
    <xf numFmtId="4" fontId="8" fillId="12" borderId="129" xfId="30" applyNumberFormat="1" applyFont="1" applyFill="1" applyBorder="1" applyAlignment="1" applyProtection="1">
      <alignment horizontal="right"/>
      <protection locked="0"/>
    </xf>
    <xf numFmtId="39" fontId="8" fillId="0" borderId="123" xfId="0" applyNumberFormat="1" applyFont="1" applyBorder="1" applyAlignment="1">
      <alignment horizontal="center"/>
      <protection locked="0"/>
    </xf>
    <xf numFmtId="4" fontId="8" fillId="12" borderId="129" xfId="31" applyNumberFormat="1" applyFont="1" applyFill="1" applyBorder="1" applyAlignment="1" applyProtection="1">
      <alignment horizontal="right"/>
      <protection locked="0"/>
    </xf>
    <xf numFmtId="39" fontId="8" fillId="0" borderId="129" xfId="0" applyNumberFormat="1" applyFont="1" applyBorder="1" applyAlignment="1">
      <alignment horizontal="center" wrapText="1"/>
      <protection locked="0"/>
    </xf>
    <xf numFmtId="0" fontId="8" fillId="0" borderId="0" xfId="100" applyFont="1" applyAlignment="1">
      <alignment vertical="center"/>
    </xf>
    <xf numFmtId="0" fontId="27" fillId="0" borderId="0" xfId="100" applyFont="1" applyAlignment="1">
      <alignment horizontal="centerContinuous" vertical="center"/>
    </xf>
    <xf numFmtId="0" fontId="310" fillId="0" borderId="0" xfId="100" applyFont="1" applyAlignment="1">
      <alignment horizontal="centerContinuous" vertical="center"/>
    </xf>
    <xf numFmtId="0" fontId="310" fillId="0" borderId="0" xfId="100" applyFont="1" applyAlignment="1">
      <alignment horizontal="right" vertical="center"/>
    </xf>
    <xf numFmtId="0" fontId="10" fillId="0" borderId="0" xfId="100" applyAlignment="1">
      <alignment vertical="center"/>
    </xf>
    <xf numFmtId="0" fontId="12" fillId="0" borderId="0" xfId="20" applyFont="1"/>
    <xf numFmtId="4" fontId="18" fillId="0" borderId="0" xfId="20" applyNumberFormat="1" applyFont="1"/>
    <xf numFmtId="4" fontId="12" fillId="0" borderId="0" xfId="20" applyNumberFormat="1" applyFont="1"/>
    <xf numFmtId="0" fontId="16" fillId="0" borderId="12" xfId="100" applyFont="1" applyBorder="1" applyAlignment="1">
      <alignment horizontal="center" vertical="justify"/>
    </xf>
    <xf numFmtId="49" fontId="16" fillId="0" borderId="12" xfId="100" applyNumberFormat="1" applyFont="1" applyBorder="1" applyAlignment="1">
      <alignment horizontal="left" vertical="justify"/>
    </xf>
    <xf numFmtId="0" fontId="16" fillId="0" borderId="12" xfId="100" applyFont="1" applyBorder="1" applyAlignment="1">
      <alignment vertical="justify"/>
    </xf>
    <xf numFmtId="0" fontId="8" fillId="0" borderId="12" xfId="100" applyFont="1" applyBorder="1" applyAlignment="1">
      <alignment horizontal="center" vertical="center" wrapText="1"/>
    </xf>
    <xf numFmtId="0" fontId="16" fillId="0" borderId="12" xfId="100" applyFont="1" applyBorder="1" applyAlignment="1">
      <alignment horizontal="center" vertical="center" wrapText="1"/>
    </xf>
    <xf numFmtId="49" fontId="8" fillId="0" borderId="12" xfId="100" applyNumberFormat="1" applyFont="1" applyBorder="1" applyAlignment="1">
      <alignment vertical="center" wrapText="1"/>
    </xf>
    <xf numFmtId="0" fontId="8" fillId="0" borderId="12" xfId="100" applyFont="1" applyBorder="1" applyAlignment="1">
      <alignment vertical="center" wrapText="1"/>
    </xf>
    <xf numFmtId="49" fontId="8" fillId="0" borderId="12" xfId="100" applyNumberFormat="1" applyFont="1" applyBorder="1" applyAlignment="1">
      <alignment horizontal="center" vertical="center" wrapText="1" shrinkToFit="1"/>
    </xf>
    <xf numFmtId="4" fontId="8" fillId="0" borderId="12" xfId="100" applyNumberFormat="1" applyFont="1" applyBorder="1" applyAlignment="1">
      <alignment vertical="center" wrapText="1"/>
    </xf>
    <xf numFmtId="39" fontId="8" fillId="0" borderId="12" xfId="3" applyNumberFormat="1" applyFont="1" applyBorder="1" applyAlignment="1" applyProtection="1">
      <alignment horizontal="center" vertical="center"/>
      <protection locked="0"/>
    </xf>
    <xf numFmtId="39" fontId="8" fillId="0" borderId="12" xfId="3" applyNumberFormat="1" applyFont="1" applyBorder="1" applyAlignment="1" applyProtection="1">
      <alignment horizontal="center"/>
      <protection locked="0"/>
    </xf>
    <xf numFmtId="0" fontId="10" fillId="14" borderId="12" xfId="100" applyFill="1" applyBorder="1" applyAlignment="1">
      <alignment horizontal="center" vertical="justify"/>
    </xf>
    <xf numFmtId="49" fontId="311" fillId="2" borderId="12" xfId="100" applyNumberFormat="1" applyFont="1" applyFill="1" applyBorder="1" applyAlignment="1">
      <alignment horizontal="left" vertical="justify"/>
    </xf>
    <xf numFmtId="0" fontId="311" fillId="2" borderId="1" xfId="100" applyFont="1" applyFill="1" applyBorder="1" applyAlignment="1">
      <alignment vertical="justify"/>
    </xf>
    <xf numFmtId="0" fontId="10" fillId="2" borderId="2" xfId="100" applyFill="1" applyBorder="1" applyAlignment="1">
      <alignment horizontal="center" vertical="justify"/>
    </xf>
    <xf numFmtId="4" fontId="10" fillId="2" borderId="2" xfId="100" applyNumberFormat="1" applyFill="1" applyBorder="1" applyAlignment="1">
      <alignment horizontal="right" vertical="justify"/>
    </xf>
    <xf numFmtId="4" fontId="10" fillId="2" borderId="3" xfId="100" applyNumberFormat="1" applyFill="1" applyBorder="1" applyAlignment="1">
      <alignment horizontal="right" vertical="justify"/>
    </xf>
    <xf numFmtId="4" fontId="16" fillId="2" borderId="12" xfId="100" applyNumberFormat="1" applyFont="1" applyFill="1" applyBorder="1" applyAlignment="1">
      <alignment vertical="justify"/>
    </xf>
    <xf numFmtId="4" fontId="8" fillId="13" borderId="12" xfId="100" applyNumberFormat="1" applyFont="1" applyFill="1" applyBorder="1" applyAlignment="1">
      <alignment vertical="center" wrapText="1"/>
    </xf>
    <xf numFmtId="166" fontId="8" fillId="12" borderId="135" xfId="28" applyNumberFormat="1" applyFont="1" applyFill="1" applyBorder="1" applyAlignment="1" applyProtection="1">
      <alignment horizontal="center" vertical="center"/>
    </xf>
    <xf numFmtId="4" fontId="40" fillId="12" borderId="125" xfId="28" applyNumberFormat="1" applyFont="1" applyFill="1" applyBorder="1" applyAlignment="1" applyProtection="1">
      <alignment horizontal="right" vertical="center"/>
    </xf>
    <xf numFmtId="4" fontId="42" fillId="12" borderId="125" xfId="28" applyNumberFormat="1" applyFont="1" applyFill="1" applyBorder="1" applyAlignment="1" applyProtection="1">
      <alignment horizontal="right" vertical="center"/>
    </xf>
    <xf numFmtId="1" fontId="8" fillId="0" borderId="15" xfId="30" applyNumberFormat="1" applyFont="1" applyBorder="1" applyAlignment="1" applyProtection="1">
      <alignment horizontal="right"/>
      <protection locked="0"/>
    </xf>
    <xf numFmtId="0" fontId="8" fillId="0" borderId="15" xfId="30" applyFont="1" applyBorder="1" applyAlignment="1" applyProtection="1">
      <alignment horizontal="left" wrapText="1"/>
      <protection locked="0"/>
    </xf>
    <xf numFmtId="0" fontId="74" fillId="0" borderId="15" xfId="30" applyFont="1" applyBorder="1" applyAlignment="1">
      <alignment vertical="center" wrapText="1"/>
    </xf>
    <xf numFmtId="4" fontId="72" fillId="0" borderId="15" xfId="30" applyNumberFormat="1" applyFont="1" applyBorder="1" applyAlignment="1" applyProtection="1">
      <alignment horizontal="right" wrapText="1"/>
      <protection locked="0"/>
    </xf>
    <xf numFmtId="0" fontId="8" fillId="0" borderId="141" xfId="0" applyFont="1" applyBorder="1" applyAlignment="1">
      <alignment horizontal="left" wrapText="1"/>
      <protection locked="0"/>
    </xf>
    <xf numFmtId="0" fontId="8" fillId="0" borderId="41" xfId="0" applyFont="1" applyBorder="1" applyAlignment="1">
      <alignment horizontal="left" wrapText="1"/>
      <protection locked="0"/>
    </xf>
    <xf numFmtId="0" fontId="74" fillId="0" borderId="15" xfId="0" applyFont="1" applyBorder="1" applyAlignment="1" applyProtection="1"/>
    <xf numFmtId="1" fontId="8" fillId="0" borderId="15" xfId="80" applyNumberFormat="1" applyFont="1" applyBorder="1" applyAlignment="1">
      <alignment horizontal="right"/>
      <protection locked="0"/>
    </xf>
    <xf numFmtId="0" fontId="74" fillId="0" borderId="15" xfId="80" applyFont="1" applyBorder="1" applyAlignment="1" applyProtection="1">
      <alignment wrapText="1"/>
    </xf>
    <xf numFmtId="0" fontId="49" fillId="0" borderId="125" xfId="0" applyFont="1" applyBorder="1" applyAlignment="1" applyProtection="1">
      <alignment horizontal="left"/>
    </xf>
    <xf numFmtId="0" fontId="28" fillId="0" borderId="137" xfId="0" applyFont="1" applyBorder="1" applyAlignment="1">
      <alignment horizontal="left" wrapText="1"/>
      <protection locked="0"/>
    </xf>
    <xf numFmtId="39" fontId="37" fillId="0" borderId="129" xfId="80" applyNumberFormat="1" applyFont="1" applyBorder="1" applyAlignment="1">
      <alignment horizontal="right"/>
      <protection locked="0"/>
    </xf>
    <xf numFmtId="4" fontId="8" fillId="12" borderId="129" xfId="71" applyNumberFormat="1" applyFont="1" applyFill="1" applyBorder="1" applyAlignment="1" applyProtection="1">
      <alignment horizontal="right" vertical="center"/>
      <protection locked="0"/>
    </xf>
    <xf numFmtId="0" fontId="53"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8" fillId="0" borderId="129" xfId="71" applyNumberFormat="1" applyFont="1" applyBorder="1" applyAlignment="1" applyProtection="1">
      <alignment horizontal="right" vertical="center"/>
      <protection locked="0"/>
    </xf>
    <xf numFmtId="4" fontId="8" fillId="12" borderId="125" xfId="71" applyNumberFormat="1" applyFont="1" applyFill="1" applyBorder="1" applyAlignment="1" applyProtection="1">
      <alignment horizontal="right" vertical="center"/>
      <protection locked="0"/>
    </xf>
    <xf numFmtId="0" fontId="49" fillId="0" borderId="125" xfId="71" applyFont="1" applyBorder="1"/>
    <xf numFmtId="1" fontId="8" fillId="0" borderId="125" xfId="71" applyNumberFormat="1" applyFont="1" applyBorder="1" applyAlignment="1" applyProtection="1">
      <alignment horizontal="right" vertical="center"/>
      <protection locked="0"/>
    </xf>
    <xf numFmtId="0" fontId="8" fillId="0" borderId="125" xfId="71" applyFont="1" applyBorder="1" applyAlignment="1" applyProtection="1">
      <alignment horizontal="left" vertical="center" wrapText="1"/>
      <protection locked="0"/>
    </xf>
    <xf numFmtId="0" fontId="312" fillId="0" borderId="125" xfId="71" applyFont="1" applyBorder="1" applyAlignment="1" applyProtection="1">
      <alignment horizontal="left" vertical="center" wrapText="1"/>
      <protection locked="0"/>
    </xf>
    <xf numFmtId="4" fontId="72" fillId="0" borderId="125" xfId="71" applyNumberFormat="1" applyFont="1" applyBorder="1" applyAlignment="1" applyProtection="1">
      <alignment horizontal="right" vertical="center" wrapText="1"/>
      <protection locked="0"/>
    </xf>
    <xf numFmtId="4" fontId="8" fillId="0" borderId="125" xfId="71" applyNumberFormat="1" applyFont="1" applyBorder="1" applyAlignment="1" applyProtection="1">
      <alignment horizontal="right" vertical="center"/>
      <protection locked="0"/>
    </xf>
    <xf numFmtId="4" fontId="8" fillId="13" borderId="125" xfId="25" applyNumberFormat="1" applyFont="1" applyFill="1" applyBorder="1" applyAlignment="1" applyProtection="1">
      <alignment horizontal="right"/>
      <protection locked="0"/>
    </xf>
    <xf numFmtId="4" fontId="8" fillId="12" borderId="125" xfId="25" applyNumberFormat="1" applyFont="1" applyFill="1" applyBorder="1" applyAlignment="1" applyProtection="1">
      <alignment horizontal="right"/>
      <protection locked="0"/>
    </xf>
    <xf numFmtId="1" fontId="8" fillId="0" borderId="129" xfId="71" applyNumberFormat="1" applyFont="1" applyBorder="1" applyAlignment="1" applyProtection="1">
      <alignment horizontal="right" vertical="center"/>
      <protection locked="0"/>
    </xf>
    <xf numFmtId="0" fontId="8" fillId="0" borderId="129" xfId="71" applyFont="1" applyBorder="1" applyAlignment="1" applyProtection="1">
      <alignment horizontal="left" vertical="center" wrapText="1"/>
      <protection locked="0"/>
    </xf>
    <xf numFmtId="0" fontId="312" fillId="0" borderId="129" xfId="71" applyFont="1" applyBorder="1" applyAlignment="1" applyProtection="1">
      <alignment horizontal="left" vertical="center" wrapText="1"/>
      <protection locked="0"/>
    </xf>
    <xf numFmtId="4" fontId="72" fillId="0" borderId="129" xfId="71" applyNumberFormat="1" applyFont="1" applyBorder="1" applyAlignment="1" applyProtection="1">
      <alignment horizontal="right" vertical="center" wrapText="1"/>
      <protection locked="0"/>
    </xf>
    <xf numFmtId="39" fontId="8" fillId="12" borderId="125" xfId="25" applyNumberFormat="1" applyFont="1" applyFill="1" applyBorder="1" applyAlignment="1" applyProtection="1">
      <alignment horizontal="right"/>
      <protection locked="0"/>
    </xf>
    <xf numFmtId="39" fontId="8" fillId="13" borderId="125" xfId="25" applyNumberFormat="1" applyFont="1" applyFill="1" applyBorder="1" applyAlignment="1" applyProtection="1">
      <alignment horizontal="right"/>
      <protection locked="0"/>
    </xf>
    <xf numFmtId="37" fontId="96" fillId="0" borderId="125" xfId="25" applyNumberFormat="1" applyFont="1" applyBorder="1" applyAlignment="1" applyProtection="1">
      <alignment horizontal="right"/>
      <protection locked="0"/>
    </xf>
    <xf numFmtId="0" fontId="96" fillId="0" borderId="125" xfId="25" applyFont="1" applyBorder="1" applyAlignment="1" applyProtection="1">
      <alignment horizontal="left" wrapText="1"/>
      <protection locked="0"/>
    </xf>
    <xf numFmtId="167" fontId="28" fillId="0" borderId="125" xfId="25" applyNumberFormat="1" applyFont="1" applyBorder="1" applyAlignment="1" applyProtection="1">
      <alignment horizontal="right"/>
      <protection locked="0"/>
    </xf>
    <xf numFmtId="39" fontId="96" fillId="0" borderId="125" xfId="25" applyNumberFormat="1" applyFont="1" applyBorder="1" applyAlignment="1" applyProtection="1">
      <alignment horizontal="right"/>
      <protection locked="0"/>
    </xf>
    <xf numFmtId="39" fontId="96" fillId="12" borderId="125" xfId="25" applyNumberFormat="1" applyFont="1" applyFill="1" applyBorder="1" applyAlignment="1" applyProtection="1">
      <alignment horizontal="right"/>
      <protection locked="0"/>
    </xf>
    <xf numFmtId="39" fontId="96" fillId="13" borderId="125" xfId="25" applyNumberFormat="1" applyFont="1" applyFill="1" applyBorder="1" applyAlignment="1" applyProtection="1">
      <alignment horizontal="right"/>
      <protection locked="0"/>
    </xf>
    <xf numFmtId="0" fontId="11" fillId="0" borderId="125" xfId="25" applyFont="1" applyBorder="1" applyAlignment="1" applyProtection="1">
      <alignment horizontal="center" vertical="top"/>
      <protection locked="0"/>
    </xf>
    <xf numFmtId="49" fontId="8" fillId="0" borderId="125" xfId="25" applyNumberFormat="1" applyFont="1" applyBorder="1" applyAlignment="1" applyProtection="1">
      <alignment horizontal="left" wrapText="1"/>
      <protection locked="0"/>
    </xf>
    <xf numFmtId="167" fontId="8" fillId="0" borderId="125" xfId="25" applyNumberFormat="1" applyFont="1" applyBorder="1" applyAlignment="1" applyProtection="1">
      <alignment horizontal="right"/>
      <protection locked="0"/>
    </xf>
    <xf numFmtId="4" fontId="8" fillId="0" borderId="125" xfId="25" applyNumberFormat="1" applyFont="1" applyBorder="1" applyAlignment="1" applyProtection="1">
      <alignment horizontal="right"/>
      <protection locked="0"/>
    </xf>
    <xf numFmtId="167" fontId="7" fillId="0" borderId="125" xfId="25" applyNumberFormat="1" applyBorder="1" applyAlignment="1" applyProtection="1">
      <alignment vertical="top"/>
      <protection locked="0"/>
    </xf>
    <xf numFmtId="37" fontId="72" fillId="0" borderId="125" xfId="25" applyNumberFormat="1" applyFont="1" applyBorder="1" applyAlignment="1" applyProtection="1">
      <alignment horizontal="right"/>
      <protection locked="0"/>
    </xf>
    <xf numFmtId="0" fontId="66" fillId="0" borderId="125" xfId="25" applyFont="1" applyBorder="1" applyAlignment="1" applyProtection="1">
      <alignment horizontal="left" wrapText="1"/>
      <protection locked="0"/>
    </xf>
    <xf numFmtId="0" fontId="72" fillId="0" borderId="125" xfId="25" applyFont="1" applyBorder="1" applyAlignment="1" applyProtection="1">
      <alignment horizontal="left" wrapText="1"/>
      <protection locked="0"/>
    </xf>
    <xf numFmtId="4" fontId="72" fillId="5" borderId="125" xfId="25" applyNumberFormat="1" applyFont="1" applyFill="1" applyBorder="1" applyAlignment="1" applyProtection="1">
      <alignment horizontal="right"/>
      <protection locked="0"/>
    </xf>
    <xf numFmtId="37" fontId="137" fillId="0" borderId="125" xfId="25" applyNumberFormat="1" applyFont="1" applyBorder="1" applyAlignment="1" applyProtection="1">
      <alignment horizontal="right"/>
      <protection locked="0"/>
    </xf>
    <xf numFmtId="0" fontId="228" fillId="0" borderId="125" xfId="25" applyFont="1" applyBorder="1" applyAlignment="1" applyProtection="1">
      <alignment horizontal="left" wrapText="1"/>
      <protection locked="0"/>
    </xf>
    <xf numFmtId="0" fontId="137" fillId="0" borderId="125" xfId="25" applyFont="1" applyBorder="1" applyAlignment="1" applyProtection="1">
      <alignment horizontal="left" wrapText="1"/>
      <protection locked="0"/>
    </xf>
    <xf numFmtId="167" fontId="57" fillId="0" borderId="125" xfId="25" applyNumberFormat="1" applyFont="1" applyBorder="1" applyAlignment="1" applyProtection="1">
      <alignment horizontal="right"/>
      <protection locked="0"/>
    </xf>
    <xf numFmtId="4" fontId="137" fillId="5" borderId="125" xfId="25" applyNumberFormat="1" applyFont="1" applyFill="1" applyBorder="1" applyAlignment="1" applyProtection="1">
      <alignment horizontal="right"/>
      <protection locked="0"/>
    </xf>
    <xf numFmtId="2" fontId="96" fillId="0" borderId="125" xfId="25" applyNumberFormat="1" applyFont="1" applyBorder="1" applyAlignment="1" applyProtection="1">
      <alignment horizontal="left" wrapText="1"/>
      <protection locked="0"/>
    </xf>
    <xf numFmtId="39" fontId="8" fillId="0" borderId="125" xfId="25" applyNumberFormat="1" applyFont="1" applyBorder="1" applyAlignment="1" applyProtection="1">
      <alignment horizontal="right"/>
      <protection locked="0"/>
    </xf>
    <xf numFmtId="1" fontId="8" fillId="0" borderId="125" xfId="25" applyNumberFormat="1" applyFont="1" applyBorder="1" applyAlignment="1" applyProtection="1">
      <alignment horizontal="right"/>
      <protection locked="0"/>
    </xf>
    <xf numFmtId="0" fontId="28" fillId="0" borderId="125" xfId="25" applyFont="1" applyBorder="1" applyAlignment="1" applyProtection="1">
      <alignment horizontal="left" vertical="center" wrapText="1"/>
      <protection locked="0"/>
    </xf>
    <xf numFmtId="39" fontId="8" fillId="12" borderId="125" xfId="40" applyNumberFormat="1" applyFont="1" applyFill="1" applyBorder="1" applyAlignment="1">
      <alignment horizontal="right"/>
      <protection locked="0"/>
    </xf>
    <xf numFmtId="39" fontId="96" fillId="12" borderId="125" xfId="40" applyNumberFormat="1" applyFont="1" applyFill="1" applyBorder="1" applyAlignment="1">
      <alignment horizontal="right"/>
      <protection locked="0"/>
    </xf>
    <xf numFmtId="39" fontId="96" fillId="13" borderId="125" xfId="40" applyNumberFormat="1" applyFont="1" applyFill="1" applyBorder="1" applyAlignment="1">
      <alignment horizontal="right"/>
      <protection locked="0"/>
    </xf>
    <xf numFmtId="0" fontId="11" fillId="0" borderId="125" xfId="40" applyFont="1" applyBorder="1" applyAlignment="1">
      <alignment horizontal="center" vertical="top"/>
      <protection locked="0"/>
    </xf>
    <xf numFmtId="37" fontId="66" fillId="0" borderId="125" xfId="25" applyNumberFormat="1" applyFont="1" applyBorder="1" applyAlignment="1" applyProtection="1">
      <alignment horizontal="right"/>
      <protection locked="0"/>
    </xf>
    <xf numFmtId="0" fontId="49" fillId="0" borderId="125" xfId="25" applyFont="1" applyBorder="1"/>
    <xf numFmtId="0" fontId="7" fillId="12" borderId="125" xfId="25" applyFill="1" applyBorder="1" applyAlignment="1" applyProtection="1">
      <alignment horizontal="left" vertical="top"/>
      <protection locked="0"/>
    </xf>
    <xf numFmtId="0" fontId="7" fillId="13" borderId="125" xfId="25" applyFill="1" applyBorder="1" applyAlignment="1" applyProtection="1">
      <alignment horizontal="left" vertical="top"/>
      <protection locked="0"/>
    </xf>
    <xf numFmtId="0" fontId="8" fillId="0" borderId="125" xfId="75" applyFont="1" applyBorder="1" applyAlignment="1" applyProtection="1">
      <alignment horizontal="left" wrapText="1"/>
      <protection locked="0"/>
    </xf>
    <xf numFmtId="39" fontId="8" fillId="0" borderId="125" xfId="75" applyNumberFormat="1" applyFont="1" applyBorder="1" applyAlignment="1" applyProtection="1">
      <alignment horizontal="right"/>
      <protection locked="0"/>
    </xf>
    <xf numFmtId="0" fontId="28" fillId="0" borderId="125" xfId="75" applyFont="1" applyBorder="1" applyAlignment="1" applyProtection="1">
      <alignment horizontal="left" wrapText="1"/>
      <protection locked="0"/>
    </xf>
    <xf numFmtId="167" fontId="28" fillId="0" borderId="125" xfId="75" applyNumberFormat="1" applyFont="1" applyBorder="1" applyAlignment="1" applyProtection="1">
      <alignment horizontal="right"/>
      <protection locked="0"/>
    </xf>
    <xf numFmtId="39" fontId="8" fillId="12" borderId="125" xfId="75" applyNumberFormat="1" applyFont="1" applyFill="1" applyBorder="1" applyAlignment="1" applyProtection="1">
      <alignment horizontal="right"/>
      <protection locked="0"/>
    </xf>
    <xf numFmtId="39" fontId="8" fillId="13" borderId="125" xfId="75" applyNumberFormat="1" applyFont="1" applyFill="1" applyBorder="1" applyAlignment="1" applyProtection="1">
      <alignment horizontal="right"/>
      <protection locked="0"/>
    </xf>
    <xf numFmtId="1" fontId="8" fillId="0" borderId="125" xfId="25" applyNumberFormat="1" applyFont="1" applyBorder="1" applyAlignment="1">
      <alignment horizontal="right"/>
    </xf>
    <xf numFmtId="4" fontId="8" fillId="0" borderId="125" xfId="25" applyNumberFormat="1" applyFont="1" applyBorder="1" applyAlignment="1">
      <alignment horizontal="right"/>
    </xf>
    <xf numFmtId="39" fontId="66" fillId="0" borderId="125" xfId="25" applyNumberFormat="1" applyFont="1" applyBorder="1" applyAlignment="1" applyProtection="1">
      <alignment horizontal="right"/>
      <protection locked="0"/>
    </xf>
    <xf numFmtId="39" fontId="122" fillId="0" borderId="125" xfId="25" applyNumberFormat="1" applyFont="1" applyBorder="1" applyAlignment="1" applyProtection="1">
      <alignment horizontal="right"/>
      <protection locked="0"/>
    </xf>
    <xf numFmtId="39" fontId="37" fillId="13" borderId="125" xfId="25" applyNumberFormat="1" applyFont="1" applyFill="1" applyBorder="1" applyAlignment="1" applyProtection="1">
      <alignment horizontal="right"/>
      <protection locked="0"/>
    </xf>
    <xf numFmtId="167" fontId="96" fillId="0" borderId="125" xfId="25" applyNumberFormat="1" applyFont="1" applyBorder="1" applyAlignment="1" applyProtection="1">
      <alignment horizontal="right"/>
      <protection locked="0"/>
    </xf>
    <xf numFmtId="39" fontId="8" fillId="0" borderId="125" xfId="53" applyNumberFormat="1" applyFont="1" applyBorder="1" applyAlignment="1" applyProtection="1">
      <alignment horizontal="right"/>
      <protection locked="0"/>
    </xf>
    <xf numFmtId="39" fontId="43" fillId="12" borderId="125" xfId="25" applyNumberFormat="1" applyFont="1" applyFill="1" applyBorder="1" applyAlignment="1" applyProtection="1">
      <alignment horizontal="right"/>
      <protection locked="0"/>
    </xf>
    <xf numFmtId="39" fontId="43"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1" fillId="12" borderId="125" xfId="25" applyFont="1" applyFill="1" applyBorder="1" applyAlignment="1" applyProtection="1">
      <alignment horizontal="center" vertical="top"/>
      <protection locked="0"/>
    </xf>
    <xf numFmtId="0" fontId="11" fillId="13" borderId="125" xfId="25" applyFont="1" applyFill="1" applyBorder="1" applyAlignment="1" applyProtection="1">
      <alignment horizontal="center" vertical="top"/>
      <protection locked="0"/>
    </xf>
    <xf numFmtId="39" fontId="37" fillId="12" borderId="125" xfId="37" applyNumberFormat="1" applyFont="1" applyFill="1" applyBorder="1" applyAlignment="1">
      <alignment horizontal="right"/>
    </xf>
    <xf numFmtId="39" fontId="37" fillId="13" borderId="125" xfId="37" applyNumberFormat="1" applyFont="1" applyFill="1" applyBorder="1" applyAlignment="1">
      <alignment horizontal="right"/>
    </xf>
    <xf numFmtId="4" fontId="28" fillId="12" borderId="125" xfId="8" applyNumberFormat="1" applyFont="1" applyFill="1" applyBorder="1" applyAlignment="1" applyProtection="1">
      <alignment horizontal="right"/>
      <protection locked="0"/>
    </xf>
    <xf numFmtId="4" fontId="28" fillId="12" borderId="125" xfId="37" applyNumberFormat="1" applyFont="1" applyFill="1" applyBorder="1" applyAlignment="1">
      <alignment horizontal="right"/>
    </xf>
    <xf numFmtId="4" fontId="28" fillId="13" borderId="125" xfId="37" applyNumberFormat="1" applyFont="1" applyFill="1" applyBorder="1" applyAlignment="1">
      <alignment horizontal="right"/>
    </xf>
    <xf numFmtId="39" fontId="8" fillId="0" borderId="129" xfId="30" applyNumberFormat="1" applyFont="1" applyBorder="1" applyAlignment="1" applyProtection="1">
      <alignment horizontal="center"/>
      <protection locked="0"/>
    </xf>
    <xf numFmtId="167" fontId="28" fillId="0" borderId="127" xfId="0" applyNumberFormat="1" applyFont="1" applyBorder="1" applyAlignment="1">
      <alignment horizontal="right" wrapText="1"/>
      <protection locked="0"/>
    </xf>
    <xf numFmtId="167" fontId="49" fillId="0" borderId="127" xfId="99" applyNumberFormat="1" applyFont="1" applyBorder="1"/>
    <xf numFmtId="167" fontId="28" fillId="0" borderId="127" xfId="99" applyNumberFormat="1" applyFont="1" applyBorder="1" applyAlignment="1" applyProtection="1">
      <alignment horizontal="right"/>
      <protection locked="0"/>
    </xf>
    <xf numFmtId="167" fontId="8" fillId="0" borderId="143" xfId="0" applyNumberFormat="1" applyFont="1" applyBorder="1" applyAlignment="1">
      <alignment horizontal="right"/>
      <protection locked="0"/>
    </xf>
    <xf numFmtId="4" fontId="72" fillId="0" borderId="127" xfId="30" applyNumberFormat="1" applyFont="1" applyBorder="1" applyAlignment="1" applyProtection="1">
      <alignment horizontal="right" wrapText="1"/>
      <protection locked="0"/>
    </xf>
    <xf numFmtId="4" fontId="8" fillId="0" borderId="129" xfId="30" applyNumberFormat="1" applyFont="1" applyBorder="1" applyAlignment="1" applyProtection="1">
      <alignment horizontal="right"/>
      <protection locked="0"/>
    </xf>
    <xf numFmtId="167" fontId="28" fillId="0" borderId="130" xfId="0" applyNumberFormat="1" applyFont="1" applyBorder="1" applyAlignment="1">
      <alignment horizontal="right"/>
      <protection locked="0"/>
    </xf>
    <xf numFmtId="39" fontId="66" fillId="0" borderId="129" xfId="0" applyNumberFormat="1" applyFont="1" applyBorder="1" applyAlignment="1">
      <alignment horizontal="right"/>
      <protection locked="0"/>
    </xf>
    <xf numFmtId="167" fontId="9" fillId="0" borderId="127" xfId="99" applyNumberFormat="1" applyFont="1" applyBorder="1"/>
    <xf numFmtId="167" fontId="8" fillId="0" borderId="127" xfId="99" applyNumberFormat="1" applyFont="1" applyBorder="1" applyAlignment="1" applyProtection="1">
      <alignment horizontal="right"/>
      <protection locked="0"/>
    </xf>
    <xf numFmtId="0" fontId="67" fillId="0" borderId="125" xfId="40" applyBorder="1" applyAlignment="1">
      <alignment horizontal="right" vertical="center"/>
      <protection locked="0"/>
    </xf>
    <xf numFmtId="0" fontId="11" fillId="0" borderId="125" xfId="28" applyBorder="1" applyAlignment="1">
      <alignment horizontal="left" vertical="top"/>
      <protection locked="0"/>
    </xf>
    <xf numFmtId="0" fontId="70" fillId="0" borderId="125" xfId="26" applyFont="1" applyBorder="1" applyAlignment="1" applyProtection="1">
      <alignment horizontal="right" vertical="center"/>
      <protection locked="0"/>
    </xf>
    <xf numFmtId="39" fontId="8" fillId="0" borderId="142" xfId="0" applyNumberFormat="1" applyFont="1" applyBorder="1" applyAlignment="1">
      <alignment horizontal="center"/>
      <protection locked="0"/>
    </xf>
    <xf numFmtId="39" fontId="8" fillId="0" borderId="15" xfId="30" applyNumberFormat="1" applyFont="1" applyBorder="1" applyAlignment="1" applyProtection="1">
      <alignment horizontal="center"/>
      <protection locked="0"/>
    </xf>
    <xf numFmtId="0" fontId="8" fillId="0" borderId="137" xfId="0" applyFont="1" applyBorder="1" applyAlignment="1">
      <alignment horizontal="left" wrapText="1"/>
      <protection locked="0"/>
    </xf>
    <xf numFmtId="2" fontId="66" fillId="0" borderId="125" xfId="0" applyNumberFormat="1" applyFont="1" applyBorder="1" applyAlignment="1">
      <alignment horizontal="right"/>
      <protection locked="0"/>
    </xf>
    <xf numFmtId="0" fontId="63" fillId="0" borderId="0" xfId="33" applyFill="1" applyAlignment="1" applyProtection="1"/>
    <xf numFmtId="4" fontId="8" fillId="0" borderId="15" xfId="82" applyNumberFormat="1" applyFont="1" applyBorder="1" applyAlignment="1">
      <alignment horizontal="right"/>
      <protection locked="0"/>
    </xf>
    <xf numFmtId="0" fontId="70" fillId="0" borderId="30" xfId="6" applyFont="1" applyBorder="1" applyAlignment="1" applyProtection="1">
      <alignment horizontal="right" vertical="center"/>
      <protection locked="0"/>
    </xf>
    <xf numFmtId="39" fontId="8" fillId="0" borderId="15" xfId="71" applyNumberFormat="1" applyFont="1" applyBorder="1" applyAlignment="1" applyProtection="1">
      <alignment horizontal="center"/>
      <protection locked="0"/>
    </xf>
    <xf numFmtId="1" fontId="9" fillId="0" borderId="15" xfId="21" applyNumberFormat="1" applyFont="1" applyBorder="1"/>
    <xf numFmtId="0" fontId="74" fillId="0" borderId="15" xfId="80" applyFont="1" applyBorder="1" applyAlignment="1" applyProtection="1"/>
    <xf numFmtId="167" fontId="28" fillId="0" borderId="15" xfId="80" applyNumberFormat="1" applyFont="1" applyBorder="1" applyAlignment="1">
      <alignment horizontal="right"/>
      <protection locked="0"/>
    </xf>
    <xf numFmtId="171" fontId="8" fillId="0" borderId="30" xfId="0" applyNumberFormat="1" applyFont="1" applyBorder="1" applyAlignment="1">
      <alignment horizontal="right"/>
      <protection locked="0"/>
    </xf>
    <xf numFmtId="0" fontId="28" fillId="0" borderId="30" xfId="59" applyFont="1" applyBorder="1" applyAlignment="1" applyProtection="1">
      <alignment horizontal="left" vertical="center" wrapText="1"/>
      <protection locked="0"/>
    </xf>
    <xf numFmtId="0" fontId="70" fillId="0" borderId="30" xfId="0" applyFont="1" applyBorder="1" applyAlignment="1">
      <alignment horizontal="right" vertical="center"/>
      <protection locked="0"/>
    </xf>
    <xf numFmtId="39" fontId="8" fillId="0" borderId="30" xfId="0" applyNumberFormat="1" applyFont="1" applyBorder="1" applyAlignment="1">
      <alignment horizontal="center" wrapText="1"/>
      <protection locked="0"/>
    </xf>
    <xf numFmtId="39" fontId="8" fillId="0" borderId="30" xfId="0" applyNumberFormat="1" applyFont="1" applyBorder="1" applyAlignment="1">
      <alignment horizontal="right" vertical="center"/>
      <protection locked="0"/>
    </xf>
    <xf numFmtId="0" fontId="67" fillId="0" borderId="30" xfId="0" applyFont="1" applyBorder="1" applyAlignment="1">
      <alignment vertical="center"/>
      <protection locked="0"/>
    </xf>
    <xf numFmtId="0" fontId="67" fillId="0" borderId="30" xfId="0" applyFont="1" applyBorder="1" applyAlignment="1">
      <alignment vertical="top"/>
      <protection locked="0"/>
    </xf>
    <xf numFmtId="0" fontId="67" fillId="0" borderId="30" xfId="0" applyFont="1" applyBorder="1" applyAlignment="1">
      <alignment horizontal="right" vertical="center"/>
      <protection locked="0"/>
    </xf>
    <xf numFmtId="0" fontId="11" fillId="0" borderId="30" xfId="0" applyFont="1" applyBorder="1" applyAlignment="1">
      <alignment horizontal="center" vertical="top"/>
      <protection locked="0"/>
    </xf>
    <xf numFmtId="0" fontId="11" fillId="0" borderId="125" xfId="0" applyFont="1" applyBorder="1" applyAlignment="1">
      <alignment horizontal="center" vertical="top"/>
      <protection locked="0"/>
    </xf>
    <xf numFmtId="39" fontId="8" fillId="0" borderId="15" xfId="71" applyNumberFormat="1" applyFont="1" applyBorder="1" applyAlignment="1" applyProtection="1">
      <alignment horizontal="right"/>
      <protection locked="0"/>
    </xf>
    <xf numFmtId="0" fontId="70" fillId="0" borderId="30" xfId="26" applyFont="1" applyBorder="1" applyAlignment="1" applyProtection="1">
      <alignment horizontal="right" vertical="center"/>
      <protection locked="0"/>
    </xf>
    <xf numFmtId="39" fontId="8" fillId="0" borderId="30" xfId="75" applyNumberFormat="1" applyFont="1" applyBorder="1" applyAlignment="1" applyProtection="1">
      <alignment horizontal="center"/>
      <protection locked="0"/>
    </xf>
    <xf numFmtId="39" fontId="8" fillId="0" borderId="15" xfId="68" applyNumberFormat="1" applyFont="1" applyBorder="1" applyAlignment="1">
      <alignment horizontal="right" vertical="center"/>
      <protection locked="0"/>
    </xf>
    <xf numFmtId="179" fontId="285" fillId="0" borderId="30" xfId="12" applyNumberFormat="1" applyFont="1" applyBorder="1" applyAlignment="1">
      <alignment horizontal="right" vertical="center"/>
      <protection locked="0"/>
    </xf>
    <xf numFmtId="179" fontId="285" fillId="0" borderId="30" xfId="12" applyNumberFormat="1" applyFont="1" applyBorder="1" applyAlignment="1">
      <alignment vertical="center"/>
      <protection locked="0"/>
    </xf>
    <xf numFmtId="0" fontId="72" fillId="0" borderId="30" xfId="0" quotePrefix="1" applyFont="1" applyBorder="1" applyAlignment="1" applyProtection="1">
      <alignment horizontal="left" wrapText="1"/>
    </xf>
    <xf numFmtId="0" fontId="8" fillId="0" borderId="15" xfId="28" applyFont="1" applyBorder="1" applyAlignment="1">
      <alignment horizontal="left" wrapText="1"/>
      <protection locked="0"/>
    </xf>
    <xf numFmtId="0" fontId="74" fillId="0" borderId="125" xfId="71" applyFont="1" applyBorder="1" applyAlignment="1">
      <alignment vertical="center" wrapText="1"/>
    </xf>
    <xf numFmtId="4" fontId="72" fillId="0" borderId="125" xfId="71" applyNumberFormat="1" applyFont="1" applyBorder="1" applyAlignment="1" applyProtection="1">
      <alignment horizontal="right" wrapText="1"/>
      <protection locked="0"/>
    </xf>
    <xf numFmtId="37" fontId="96" fillId="0" borderId="30" xfId="28" applyNumberFormat="1" applyFont="1" applyBorder="1" applyAlignment="1">
      <alignment horizontal="right"/>
      <protection locked="0"/>
    </xf>
    <xf numFmtId="0" fontId="96" fillId="0" borderId="30" xfId="28" applyFont="1" applyBorder="1" applyAlignment="1">
      <alignment horizontal="left" wrapText="1"/>
      <protection locked="0"/>
    </xf>
    <xf numFmtId="167" fontId="94" fillId="0" borderId="0" xfId="28" applyNumberFormat="1" applyFont="1" applyAlignment="1">
      <alignment horizontal="left" vertical="top"/>
      <protection locked="0"/>
    </xf>
    <xf numFmtId="39" fontId="96" fillId="0" borderId="30" xfId="28" applyNumberFormat="1" applyFont="1" applyBorder="1" applyAlignment="1">
      <alignment horizontal="right"/>
      <protection locked="0"/>
    </xf>
    <xf numFmtId="0" fontId="28" fillId="0" borderId="0" xfId="28" applyFont="1" applyAlignment="1">
      <alignment horizontal="left" wrapText="1"/>
      <protection locked="0"/>
    </xf>
    <xf numFmtId="0" fontId="49" fillId="0" borderId="30" xfId="0" applyFont="1" applyBorder="1" applyAlignment="1" applyProtection="1"/>
    <xf numFmtId="49" fontId="8" fillId="0" borderId="15" xfId="0" applyNumberFormat="1" applyFont="1" applyBorder="1" applyAlignment="1">
      <alignment horizontal="left" wrapText="1"/>
      <protection locked="0"/>
    </xf>
    <xf numFmtId="37" fontId="8" fillId="0" borderId="15" xfId="75" applyNumberFormat="1" applyFont="1" applyBorder="1" applyAlignment="1" applyProtection="1">
      <alignment horizontal="right"/>
      <protection locked="0"/>
    </xf>
    <xf numFmtId="49" fontId="8" fillId="0" borderId="15" xfId="44" applyNumberFormat="1" applyFont="1" applyBorder="1" applyAlignment="1">
      <alignment horizontal="left" wrapText="1"/>
      <protection locked="0"/>
    </xf>
    <xf numFmtId="0" fontId="8" fillId="0" borderId="15" xfId="59" applyFont="1" applyBorder="1" applyAlignment="1" applyProtection="1">
      <alignment horizontal="left" wrapText="1"/>
      <protection locked="0"/>
    </xf>
    <xf numFmtId="0" fontId="8" fillId="0" borderId="15" xfId="75" applyFont="1" applyBorder="1" applyAlignment="1" applyProtection="1">
      <alignment horizontal="left" wrapText="1"/>
      <protection locked="0"/>
    </xf>
    <xf numFmtId="39" fontId="8" fillId="0" borderId="15" xfId="75" applyNumberFormat="1" applyFont="1" applyBorder="1" applyAlignment="1" applyProtection="1">
      <alignment horizontal="right"/>
      <protection locked="0"/>
    </xf>
    <xf numFmtId="37" fontId="8" fillId="0" borderId="30" xfId="75" applyNumberFormat="1" applyFont="1" applyBorder="1" applyAlignment="1" applyProtection="1">
      <alignment horizontal="right"/>
      <protection locked="0"/>
    </xf>
    <xf numFmtId="49" fontId="8" fillId="0" borderId="30" xfId="75" applyNumberFormat="1" applyFont="1" applyBorder="1" applyAlignment="1" applyProtection="1">
      <alignment horizontal="left" wrapText="1"/>
      <protection locked="0"/>
    </xf>
    <xf numFmtId="0" fontId="8" fillId="0" borderId="30" xfId="75" applyFont="1" applyBorder="1" applyAlignment="1" applyProtection="1">
      <alignment horizontal="left" wrapText="1"/>
      <protection locked="0"/>
    </xf>
    <xf numFmtId="0" fontId="28" fillId="0" borderId="30" xfId="75" applyFont="1" applyBorder="1" applyAlignment="1" applyProtection="1">
      <alignment horizontal="left" wrapText="1"/>
      <protection locked="0"/>
    </xf>
    <xf numFmtId="167" fontId="28" fillId="0" borderId="30" xfId="75" applyNumberFormat="1" applyFont="1" applyBorder="1" applyAlignment="1" applyProtection="1">
      <alignment horizontal="right"/>
      <protection locked="0"/>
    </xf>
    <xf numFmtId="39" fontId="8" fillId="0" borderId="30" xfId="75" applyNumberFormat="1" applyFont="1" applyBorder="1" applyAlignment="1" applyProtection="1">
      <alignment horizontal="right"/>
      <protection locked="0"/>
    </xf>
    <xf numFmtId="39" fontId="96" fillId="0" borderId="125" xfId="71" applyNumberFormat="1" applyFont="1" applyBorder="1" applyAlignment="1" applyProtection="1">
      <alignment horizontal="right"/>
      <protection locked="0"/>
    </xf>
    <xf numFmtId="167" fontId="96" fillId="0" borderId="125" xfId="71" applyNumberFormat="1" applyFont="1" applyBorder="1" applyAlignment="1" applyProtection="1">
      <alignment horizontal="right"/>
      <protection locked="0"/>
    </xf>
    <xf numFmtId="39" fontId="16" fillId="0" borderId="125" xfId="71" applyNumberFormat="1" applyFont="1" applyBorder="1" applyAlignment="1" applyProtection="1">
      <alignment horizontal="right" vertical="center"/>
      <protection locked="0"/>
    </xf>
    <xf numFmtId="39" fontId="8" fillId="0" borderId="125" xfId="68" applyNumberFormat="1" applyFont="1" applyBorder="1" applyAlignment="1">
      <alignment horizontal="right" vertical="center"/>
      <protection locked="0"/>
    </xf>
    <xf numFmtId="39" fontId="8" fillId="0" borderId="125" xfId="68" applyNumberFormat="1" applyFont="1" applyBorder="1" applyAlignment="1">
      <alignment horizontal="center"/>
      <protection locked="0"/>
    </xf>
    <xf numFmtId="39" fontId="37" fillId="0" borderId="125" xfId="68" applyNumberFormat="1" applyFont="1" applyBorder="1" applyAlignment="1">
      <alignment horizontal="right" vertical="center"/>
      <protection locked="0"/>
    </xf>
    <xf numFmtId="179" fontId="285" fillId="0" borderId="125" xfId="12" applyNumberFormat="1" applyFont="1" applyBorder="1" applyAlignment="1">
      <alignment vertical="center"/>
      <protection locked="0"/>
    </xf>
    <xf numFmtId="179" fontId="285" fillId="0" borderId="125" xfId="12" applyNumberFormat="1" applyFont="1" applyBorder="1" applyAlignment="1">
      <alignment horizontal="right" vertical="center"/>
      <protection locked="0"/>
    </xf>
    <xf numFmtId="39" fontId="8" fillId="0" borderId="125" xfId="97" applyNumberFormat="1" applyFont="1" applyBorder="1" applyAlignment="1" applyProtection="1">
      <alignment horizontal="center"/>
      <protection locked="0"/>
    </xf>
    <xf numFmtId="0" fontId="94" fillId="0" borderId="125" xfId="0" applyFont="1" applyBorder="1" applyAlignment="1">
      <alignment horizontal="right" vertical="center"/>
      <protection locked="0"/>
    </xf>
    <xf numFmtId="0" fontId="113" fillId="0" borderId="125" xfId="0" applyFont="1" applyBorder="1" applyAlignment="1">
      <alignment horizontal="center" vertical="center"/>
      <protection locked="0"/>
    </xf>
    <xf numFmtId="39" fontId="8" fillId="0" borderId="125" xfId="0" applyNumberFormat="1" applyFont="1" applyBorder="1" applyAlignment="1">
      <alignment horizontal="center" vertical="top"/>
      <protection locked="0"/>
    </xf>
    <xf numFmtId="39" fontId="122" fillId="0" borderId="125" xfId="0" applyNumberFormat="1" applyFont="1" applyBorder="1" applyAlignment="1">
      <alignment horizontal="center"/>
      <protection locked="0"/>
    </xf>
    <xf numFmtId="39" fontId="16" fillId="0" borderId="125" xfId="0" applyNumberFormat="1" applyFont="1" applyBorder="1" applyAlignment="1">
      <alignment horizontal="center"/>
      <protection locked="0"/>
    </xf>
    <xf numFmtId="39" fontId="8" fillId="0" borderId="125" xfId="63" applyNumberFormat="1" applyFont="1" applyBorder="1" applyAlignment="1">
      <alignment horizontal="center"/>
    </xf>
    <xf numFmtId="0" fontId="38" fillId="0" borderId="125" xfId="63" applyBorder="1" applyAlignment="1">
      <alignment horizontal="left" vertical="top"/>
    </xf>
    <xf numFmtId="39" fontId="134" fillId="0" borderId="125" xfId="68" applyNumberFormat="1" applyFont="1" applyBorder="1" applyAlignment="1">
      <alignment horizontal="right" vertical="center"/>
      <protection locked="0"/>
    </xf>
    <xf numFmtId="172" fontId="8" fillId="0" borderId="125" xfId="68" applyNumberFormat="1" applyFont="1" applyBorder="1" applyAlignment="1">
      <alignment horizontal="center"/>
      <protection locked="0"/>
    </xf>
    <xf numFmtId="39" fontId="8" fillId="0" borderId="125" xfId="28" applyNumberFormat="1" applyFont="1" applyBorder="1" applyAlignment="1">
      <alignment horizontal="right"/>
      <protection locked="0"/>
    </xf>
    <xf numFmtId="49" fontId="66" fillId="0" borderId="125" xfId="0" applyNumberFormat="1" applyFont="1" applyBorder="1" applyAlignment="1">
      <alignment horizontal="right"/>
      <protection locked="0"/>
    </xf>
    <xf numFmtId="0" fontId="8" fillId="0" borderId="125" xfId="35" applyFont="1" applyBorder="1" applyAlignment="1">
      <alignment horizontal="left" wrapText="1"/>
      <protection locked="0"/>
    </xf>
    <xf numFmtId="1" fontId="8" fillId="0" borderId="125" xfId="35" applyNumberFormat="1" applyFont="1" applyBorder="1" applyAlignment="1">
      <alignment horizontal="right"/>
      <protection locked="0"/>
    </xf>
    <xf numFmtId="1" fontId="8" fillId="0" borderId="125" xfId="97" applyNumberFormat="1" applyFont="1" applyBorder="1" applyAlignment="1" applyProtection="1">
      <alignment horizontal="right"/>
      <protection locked="0"/>
    </xf>
    <xf numFmtId="0" fontId="8" fillId="0" borderId="125" xfId="97" applyFont="1" applyBorder="1" applyAlignment="1" applyProtection="1">
      <alignment horizontal="left" wrapText="1"/>
      <protection locked="0"/>
    </xf>
    <xf numFmtId="0" fontId="74" fillId="0" borderId="125" xfId="97" applyFont="1" applyBorder="1" applyAlignment="1">
      <alignment vertical="center" wrapText="1"/>
    </xf>
    <xf numFmtId="4" fontId="72" fillId="0" borderId="125" xfId="97" applyNumberFormat="1" applyFont="1" applyBorder="1" applyAlignment="1" applyProtection="1">
      <alignment horizontal="right" wrapText="1"/>
      <protection locked="0"/>
    </xf>
    <xf numFmtId="4" fontId="8" fillId="0" borderId="125" xfId="97" applyNumberFormat="1" applyFont="1" applyBorder="1" applyAlignment="1" applyProtection="1">
      <alignment horizontal="right"/>
      <protection locked="0"/>
    </xf>
    <xf numFmtId="39" fontId="54" fillId="0" borderId="125" xfId="3" applyNumberFormat="1" applyFont="1" applyBorder="1" applyAlignment="1" applyProtection="1">
      <alignment horizontal="center"/>
      <protection locked="0"/>
    </xf>
    <xf numFmtId="39" fontId="8" fillId="0" borderId="125" xfId="69" applyNumberFormat="1" applyFont="1" applyBorder="1" applyAlignment="1" applyProtection="1">
      <alignment horizontal="center"/>
      <protection locked="0"/>
    </xf>
    <xf numFmtId="39" fontId="8" fillId="0" borderId="125" xfId="34" applyNumberFormat="1" applyFont="1" applyBorder="1" applyAlignment="1" applyProtection="1">
      <alignment horizontal="center"/>
      <protection locked="0"/>
    </xf>
    <xf numFmtId="0" fontId="68" fillId="0" borderId="125" xfId="34" applyFont="1" applyBorder="1" applyAlignment="1" applyProtection="1">
      <alignment horizontal="right" vertical="center"/>
      <protection locked="0"/>
    </xf>
    <xf numFmtId="0" fontId="53" fillId="0" borderId="125" xfId="3" applyFont="1" applyBorder="1" applyAlignment="1" applyProtection="1">
      <alignment horizontal="left" vertical="top"/>
      <protection locked="0"/>
    </xf>
    <xf numFmtId="39" fontId="48" fillId="0" borderId="125" xfId="3" applyNumberFormat="1" applyFont="1" applyBorder="1" applyAlignment="1" applyProtection="1">
      <alignment horizontal="center"/>
      <protection locked="0"/>
    </xf>
    <xf numFmtId="0" fontId="7" fillId="0" borderId="125" xfId="71" applyBorder="1" applyAlignment="1">
      <alignment horizontal="left" vertical="top"/>
    </xf>
    <xf numFmtId="0" fontId="94" fillId="0" borderId="125" xfId="49" applyFont="1" applyBorder="1" applyAlignment="1" applyProtection="1">
      <alignment horizontal="right" vertical="center"/>
      <protection locked="0"/>
    </xf>
    <xf numFmtId="0" fontId="12" fillId="0" borderId="125" xfId="59" applyBorder="1" applyAlignment="1" applyProtection="1">
      <alignment horizontal="left" vertical="top"/>
      <protection locked="0"/>
    </xf>
    <xf numFmtId="0" fontId="2" fillId="0" borderId="125" xfId="71" applyFont="1" applyBorder="1" applyAlignment="1" applyProtection="1">
      <alignment horizontal="left" vertical="top"/>
      <protection locked="0"/>
    </xf>
    <xf numFmtId="0" fontId="3" fillId="0" borderId="125" xfId="71" applyFont="1" applyBorder="1" applyAlignment="1" applyProtection="1">
      <alignment horizontal="left" vertical="top"/>
      <protection locked="0"/>
    </xf>
    <xf numFmtId="0" fontId="7" fillId="0" borderId="125" xfId="25" applyBorder="1" applyAlignment="1" applyProtection="1">
      <alignment horizontal="left" vertical="top"/>
      <protection locked="0"/>
    </xf>
    <xf numFmtId="39" fontId="8" fillId="0" borderId="125" xfId="75" applyNumberFormat="1" applyFont="1" applyBorder="1" applyAlignment="1" applyProtection="1">
      <alignment horizontal="center"/>
      <protection locked="0"/>
    </xf>
    <xf numFmtId="0" fontId="7" fillId="0" borderId="125" xfId="25" applyBorder="1" applyAlignment="1" applyProtection="1">
      <alignment vertical="top"/>
      <protection locked="0"/>
    </xf>
    <xf numFmtId="0" fontId="11" fillId="0" borderId="125" xfId="25" applyFont="1" applyBorder="1" applyAlignment="1" applyProtection="1">
      <alignment horizontal="right" vertical="center"/>
      <protection locked="0"/>
    </xf>
    <xf numFmtId="39" fontId="11" fillId="0" borderId="125" xfId="25" applyNumberFormat="1" applyFont="1" applyBorder="1" applyAlignment="1" applyProtection="1">
      <alignment horizontal="center" vertical="top"/>
      <protection locked="0"/>
    </xf>
    <xf numFmtId="0" fontId="11" fillId="0" borderId="125" xfId="25" applyFont="1" applyBorder="1" applyAlignment="1" applyProtection="1">
      <alignment horizontal="left" vertical="top"/>
      <protection locked="0"/>
    </xf>
    <xf numFmtId="0" fontId="94" fillId="0" borderId="125" xfId="37" applyFont="1" applyBorder="1" applyAlignment="1">
      <alignment horizontal="left" vertical="top"/>
    </xf>
    <xf numFmtId="0" fontId="53" fillId="0" borderId="125" xfId="63" applyFont="1" applyBorder="1" applyAlignment="1">
      <alignment horizontal="right" vertical="center"/>
    </xf>
    <xf numFmtId="0" fontId="67" fillId="0" borderId="125" xfId="8" applyFont="1" applyBorder="1" applyAlignment="1" applyProtection="1">
      <alignment horizontal="left" vertical="center"/>
      <protection locked="0"/>
    </xf>
    <xf numFmtId="39" fontId="43" fillId="0" borderId="125" xfId="25" applyNumberFormat="1" applyFont="1" applyBorder="1" applyAlignment="1" applyProtection="1">
      <alignment horizontal="center"/>
      <protection locked="0"/>
    </xf>
    <xf numFmtId="0" fontId="53" fillId="0" borderId="30" xfId="63" applyFont="1" applyBorder="1" applyAlignment="1">
      <alignment horizontal="right" vertical="center"/>
    </xf>
    <xf numFmtId="39" fontId="43" fillId="0" borderId="30" xfId="25" applyNumberFormat="1" applyFont="1" applyBorder="1" applyAlignment="1" applyProtection="1">
      <alignment horizontal="center"/>
      <protection locked="0"/>
    </xf>
    <xf numFmtId="0" fontId="53" fillId="0" borderId="30" xfId="63" applyFont="1" applyBorder="1" applyAlignment="1" applyProtection="1">
      <alignment horizontal="right" vertical="center"/>
      <protection locked="0"/>
    </xf>
    <xf numFmtId="0" fontId="53" fillId="0" borderId="30" xfId="37" applyFont="1" applyBorder="1" applyAlignment="1" applyProtection="1">
      <alignment horizontal="right" vertical="top"/>
      <protection locked="0"/>
    </xf>
    <xf numFmtId="0" fontId="53" fillId="0" borderId="30" xfId="37" applyFont="1" applyBorder="1" applyAlignment="1" applyProtection="1">
      <alignment horizontal="left" vertical="top"/>
      <protection locked="0"/>
    </xf>
    <xf numFmtId="39" fontId="8" fillId="0" borderId="30" xfId="37" applyNumberFormat="1" applyFont="1" applyBorder="1" applyAlignment="1">
      <alignment horizontal="center"/>
    </xf>
    <xf numFmtId="0" fontId="38" fillId="0" borderId="30" xfId="37" applyBorder="1" applyAlignment="1">
      <alignment horizontal="left" vertical="top"/>
    </xf>
    <xf numFmtId="0" fontId="25" fillId="0" borderId="12" xfId="100" applyFont="1" applyBorder="1" applyAlignment="1">
      <alignment vertical="center" wrapText="1"/>
    </xf>
    <xf numFmtId="0" fontId="28" fillId="0" borderId="12" xfId="100" applyFont="1" applyBorder="1" applyAlignment="1">
      <alignment vertical="center" wrapText="1"/>
    </xf>
    <xf numFmtId="0" fontId="8" fillId="0" borderId="12" xfId="21" applyFont="1" applyBorder="1" applyAlignment="1">
      <alignment horizontal="center" vertical="center" wrapText="1"/>
    </xf>
    <xf numFmtId="4" fontId="8" fillId="0" borderId="12" xfId="21" applyNumberFormat="1" applyFont="1" applyBorder="1" applyAlignment="1">
      <alignment vertical="center" wrapText="1"/>
    </xf>
    <xf numFmtId="0" fontId="25" fillId="0" borderId="12" xfId="100" applyFont="1" applyBorder="1" applyAlignment="1">
      <alignment horizontal="center" vertical="center" wrapText="1"/>
    </xf>
    <xf numFmtId="4" fontId="8" fillId="12" borderId="129" xfId="28" applyNumberFormat="1" applyFont="1" applyFill="1" applyBorder="1" applyAlignment="1">
      <alignment horizontal="right"/>
      <protection locked="0"/>
    </xf>
    <xf numFmtId="0" fontId="11" fillId="0" borderId="129" xfId="28" applyBorder="1" applyAlignment="1">
      <alignment horizontal="left" vertical="top"/>
      <protection locked="0"/>
    </xf>
    <xf numFmtId="4" fontId="8" fillId="0" borderId="129" xfId="71" applyNumberFormat="1" applyFont="1" applyBorder="1" applyAlignment="1" applyProtection="1">
      <alignment horizontal="right"/>
      <protection locked="0"/>
    </xf>
    <xf numFmtId="4" fontId="8" fillId="12" borderId="129" xfId="71" applyNumberFormat="1" applyFont="1" applyFill="1" applyBorder="1" applyAlignment="1" applyProtection="1">
      <alignment horizontal="right"/>
      <protection locked="0"/>
    </xf>
    <xf numFmtId="39" fontId="8" fillId="0" borderId="129" xfId="75" applyNumberFormat="1" applyFont="1" applyBorder="1" applyAlignment="1" applyProtection="1">
      <alignment horizontal="center"/>
      <protection locked="0"/>
    </xf>
    <xf numFmtId="39" fontId="8" fillId="12" borderId="129" xfId="75" applyNumberFormat="1" applyFont="1" applyFill="1" applyBorder="1" applyAlignment="1" applyProtection="1">
      <alignment horizontal="right"/>
      <protection locked="0"/>
    </xf>
    <xf numFmtId="4" fontId="37" fillId="12" borderId="129" xfId="99" applyNumberFormat="1" applyFont="1" applyFill="1" applyBorder="1" applyAlignment="1" applyProtection="1">
      <alignment horizontal="right"/>
      <protection locked="0"/>
    </xf>
    <xf numFmtId="4" fontId="37" fillId="13" borderId="129" xfId="99" applyNumberFormat="1" applyFont="1" applyFill="1" applyBorder="1" applyAlignment="1" applyProtection="1">
      <alignment horizontal="right"/>
      <protection locked="0"/>
    </xf>
    <xf numFmtId="49" fontId="8" fillId="0" borderId="125" xfId="75" applyNumberFormat="1" applyFont="1" applyBorder="1" applyAlignment="1" applyProtection="1">
      <alignment horizontal="right"/>
      <protection locked="0"/>
    </xf>
    <xf numFmtId="49" fontId="8" fillId="0" borderId="125" xfId="75" applyNumberFormat="1" applyFont="1" applyBorder="1" applyAlignment="1" applyProtection="1">
      <alignment horizontal="left" wrapText="1"/>
      <protection locked="0"/>
    </xf>
    <xf numFmtId="37" fontId="37" fillId="0" borderId="125" xfId="25" applyNumberFormat="1" applyFont="1" applyBorder="1" applyAlignment="1" applyProtection="1">
      <alignment horizontal="right"/>
      <protection locked="0"/>
    </xf>
    <xf numFmtId="49" fontId="96" fillId="0" borderId="125" xfId="25" applyNumberFormat="1" applyFont="1" applyBorder="1" applyAlignment="1" applyProtection="1">
      <alignment horizontal="right"/>
      <protection locked="0"/>
    </xf>
    <xf numFmtId="49" fontId="8" fillId="0" borderId="125" xfId="25" applyNumberFormat="1" applyFont="1" applyBorder="1" applyAlignment="1" applyProtection="1">
      <alignment horizontal="right"/>
      <protection locked="0"/>
    </xf>
    <xf numFmtId="49" fontId="66" fillId="0" borderId="125" xfId="25" applyNumberFormat="1" applyFont="1" applyBorder="1" applyAlignment="1" applyProtection="1">
      <alignment horizontal="right"/>
      <protection locked="0"/>
    </xf>
    <xf numFmtId="3" fontId="19" fillId="0" borderId="13" xfId="8" applyNumberFormat="1" applyFont="1" applyBorder="1" applyAlignment="1">
      <alignment horizontal="right"/>
    </xf>
    <xf numFmtId="3" fontId="18" fillId="0" borderId="13" xfId="8" applyNumberFormat="1" applyFont="1" applyBorder="1" applyAlignment="1">
      <alignment horizontal="right"/>
    </xf>
    <xf numFmtId="3" fontId="18" fillId="0" borderId="16" xfId="8" applyNumberFormat="1" applyFont="1" applyBorder="1" applyAlignment="1">
      <alignment horizontal="right"/>
    </xf>
    <xf numFmtId="3" fontId="19" fillId="0" borderId="15" xfId="8" applyNumberFormat="1" applyFont="1" applyBorder="1" applyAlignment="1">
      <alignment horizontal="right"/>
    </xf>
    <xf numFmtId="3" fontId="19" fillId="0" borderId="132" xfId="8" applyNumberFormat="1" applyFont="1" applyBorder="1" applyAlignment="1">
      <alignment horizontal="right"/>
    </xf>
    <xf numFmtId="4" fontId="17" fillId="0" borderId="0" xfId="20" applyNumberFormat="1" applyFont="1" applyAlignment="1">
      <alignment horizontal="center"/>
    </xf>
    <xf numFmtId="0" fontId="17" fillId="0" borderId="0" xfId="20" applyFont="1"/>
    <xf numFmtId="4" fontId="12" fillId="0" borderId="0" xfId="20" applyNumberFormat="1" applyFont="1" applyAlignment="1">
      <alignment horizontal="center" vertical="center"/>
    </xf>
    <xf numFmtId="0" fontId="12" fillId="0" borderId="0" xfId="20" applyFont="1" applyAlignment="1">
      <alignment horizontal="center" vertical="center"/>
    </xf>
    <xf numFmtId="167" fontId="12" fillId="0" borderId="0" xfId="20" applyNumberFormat="1" applyFont="1" applyAlignment="1">
      <alignment horizontal="center" vertical="center"/>
    </xf>
    <xf numFmtId="3" fontId="12" fillId="0" borderId="0" xfId="20" applyNumberFormat="1" applyFont="1" applyAlignment="1">
      <alignment horizontal="center" vertical="center"/>
    </xf>
    <xf numFmtId="0" fontId="29" fillId="0" borderId="0" xfId="20" applyFont="1" applyAlignment="1">
      <alignment vertical="center"/>
    </xf>
    <xf numFmtId="0" fontId="17" fillId="0" borderId="0" xfId="20" applyFont="1" applyAlignment="1">
      <alignment vertical="center"/>
    </xf>
    <xf numFmtId="0" fontId="12" fillId="0" borderId="0" xfId="20" applyFont="1" applyAlignment="1">
      <alignment horizontal="left" vertical="center"/>
    </xf>
    <xf numFmtId="39" fontId="11" fillId="0" borderId="125" xfId="40" applyNumberFormat="1" applyFont="1" applyBorder="1" applyAlignment="1">
      <alignment horizontal="center" vertical="top"/>
      <protection locked="0"/>
    </xf>
    <xf numFmtId="37" fontId="28" fillId="0" borderId="125" xfId="40" applyNumberFormat="1" applyFont="1" applyBorder="1" applyAlignment="1">
      <alignment horizontal="right"/>
      <protection locked="0"/>
    </xf>
    <xf numFmtId="167" fontId="28" fillId="0" borderId="125" xfId="40" applyNumberFormat="1" applyFont="1" applyBorder="1" applyAlignment="1">
      <alignment horizontal="right" wrapText="1"/>
      <protection locked="0"/>
    </xf>
    <xf numFmtId="39" fontId="28" fillId="0" borderId="125" xfId="40" applyNumberFormat="1" applyFont="1" applyBorder="1" applyAlignment="1">
      <alignment horizontal="right"/>
      <protection locked="0"/>
    </xf>
    <xf numFmtId="167" fontId="53" fillId="0" borderId="125" xfId="40" applyNumberFormat="1" applyFont="1" applyBorder="1" applyAlignment="1">
      <alignment horizontal="left" vertical="top"/>
      <protection locked="0"/>
    </xf>
    <xf numFmtId="0" fontId="230" fillId="0" borderId="0" xfId="71" applyFont="1" applyAlignment="1" applyProtection="1">
      <alignment horizontal="left" vertical="center"/>
      <protection locked="0"/>
    </xf>
    <xf numFmtId="4" fontId="11" fillId="0" borderId="0" xfId="63" applyNumberFormat="1" applyFont="1" applyAlignment="1" applyProtection="1">
      <alignment horizontal="left" vertical="top"/>
      <protection locked="0"/>
    </xf>
    <xf numFmtId="0" fontId="52" fillId="0" borderId="0" xfId="0" applyFont="1" applyAlignment="1" applyProtection="1"/>
    <xf numFmtId="0" fontId="70" fillId="0" borderId="0" xfId="0" applyFont="1" applyAlignment="1">
      <alignment horizontal="left" vertical="center"/>
      <protection locked="0"/>
    </xf>
    <xf numFmtId="0" fontId="230" fillId="0" borderId="0" xfId="30" applyFont="1" applyAlignment="1" applyProtection="1">
      <alignment horizontal="left" vertical="center"/>
      <protection locked="0"/>
    </xf>
    <xf numFmtId="0" fontId="95" fillId="0" borderId="0" xfId="0" applyFont="1" applyAlignment="1">
      <alignment horizontal="right" vertical="top"/>
      <protection locked="0"/>
    </xf>
    <xf numFmtId="0" fontId="28" fillId="0" borderId="0" xfId="0" applyFont="1" applyAlignment="1">
      <alignment horizontal="left" vertical="top"/>
      <protection locked="0"/>
    </xf>
    <xf numFmtId="0" fontId="257" fillId="0" borderId="0" xfId="0" applyFont="1" applyAlignment="1">
      <alignment horizontal="left" vertical="top"/>
      <protection locked="0"/>
    </xf>
    <xf numFmtId="3" fontId="19" fillId="0" borderId="129" xfId="8" applyNumberFormat="1" applyFont="1" applyBorder="1" applyAlignment="1">
      <alignment horizontal="right"/>
    </xf>
    <xf numFmtId="4" fontId="164" fillId="0" borderId="0" xfId="70" applyNumberFormat="1" applyFont="1" applyAlignment="1">
      <alignment vertical="center"/>
    </xf>
    <xf numFmtId="0" fontId="215" fillId="0" borderId="0" xfId="70" applyFont="1" applyAlignment="1" applyProtection="1">
      <alignment horizontal="left" vertical="center"/>
      <protection locked="0"/>
    </xf>
    <xf numFmtId="4" fontId="215" fillId="0" borderId="0" xfId="70" applyNumberFormat="1" applyFont="1" applyAlignment="1" applyProtection="1">
      <alignment vertical="center"/>
      <protection locked="0"/>
    </xf>
    <xf numFmtId="0" fontId="59" fillId="0" borderId="64" xfId="70" applyFont="1" applyBorder="1" applyAlignment="1" applyProtection="1">
      <alignment horizontal="center" vertical="center"/>
      <protection locked="0"/>
    </xf>
    <xf numFmtId="49" fontId="59" fillId="0" borderId="64" xfId="70" applyNumberFormat="1" applyFont="1" applyBorder="1" applyAlignment="1" applyProtection="1">
      <alignment horizontal="left" vertical="center" wrapText="1"/>
      <protection locked="0"/>
    </xf>
    <xf numFmtId="0" fontId="59" fillId="0" borderId="64" xfId="70" applyFont="1" applyBorder="1" applyAlignment="1" applyProtection="1">
      <alignment horizontal="left" vertical="center" wrapText="1"/>
      <protection locked="0"/>
    </xf>
    <xf numFmtId="0" fontId="59" fillId="0" borderId="64" xfId="70" applyFont="1" applyBorder="1" applyAlignment="1" applyProtection="1">
      <alignment horizontal="center" vertical="center" wrapText="1"/>
      <protection locked="0"/>
    </xf>
    <xf numFmtId="167" fontId="59" fillId="0" borderId="64" xfId="70" applyNumberFormat="1" applyFont="1" applyBorder="1" applyAlignment="1" applyProtection="1">
      <alignment vertical="center"/>
      <protection locked="0"/>
    </xf>
    <xf numFmtId="4" fontId="59" fillId="0" borderId="64" xfId="70" applyNumberFormat="1" applyFont="1" applyBorder="1" applyAlignment="1" applyProtection="1">
      <alignment vertical="center"/>
      <protection locked="0"/>
    </xf>
    <xf numFmtId="0" fontId="222" fillId="0" borderId="64" xfId="70" applyFont="1" applyBorder="1" applyAlignment="1" applyProtection="1">
      <alignment horizontal="center" vertical="center"/>
      <protection locked="0"/>
    </xf>
    <xf numFmtId="49" fontId="222" fillId="0" borderId="64" xfId="70" applyNumberFormat="1" applyFont="1" applyBorder="1" applyAlignment="1" applyProtection="1">
      <alignment horizontal="left" vertical="center" wrapText="1"/>
      <protection locked="0"/>
    </xf>
    <xf numFmtId="0" fontId="222" fillId="0" borderId="64" xfId="70" applyFont="1" applyBorder="1" applyAlignment="1" applyProtection="1">
      <alignment horizontal="left" vertical="center" wrapText="1"/>
      <protection locked="0"/>
    </xf>
    <xf numFmtId="0" fontId="222" fillId="0" borderId="64" xfId="70" applyFont="1" applyBorder="1" applyAlignment="1" applyProtection="1">
      <alignment horizontal="center" vertical="center" wrapText="1"/>
      <protection locked="0"/>
    </xf>
    <xf numFmtId="167" fontId="222" fillId="0" borderId="64" xfId="70" applyNumberFormat="1" applyFont="1" applyBorder="1" applyAlignment="1" applyProtection="1">
      <alignment vertical="center"/>
      <protection locked="0"/>
    </xf>
    <xf numFmtId="4" fontId="222" fillId="0" borderId="64" xfId="70" applyNumberFormat="1" applyFont="1" applyBorder="1" applyAlignment="1" applyProtection="1">
      <alignment vertical="center"/>
      <protection locked="0"/>
    </xf>
    <xf numFmtId="4" fontId="17" fillId="0" borderId="4" xfId="8" applyNumberFormat="1" applyFont="1" applyBorder="1" applyAlignment="1">
      <alignment horizontal="right" vertical="center"/>
    </xf>
    <xf numFmtId="4" fontId="17" fillId="0" borderId="0" xfId="8" applyNumberFormat="1" applyFont="1" applyAlignment="1">
      <alignment horizontal="right" vertical="center"/>
    </xf>
    <xf numFmtId="4" fontId="17" fillId="12" borderId="5" xfId="8" applyNumberFormat="1" applyFont="1" applyFill="1" applyBorder="1" applyAlignment="1">
      <alignment horizontal="right" vertical="center"/>
    </xf>
    <xf numFmtId="0" fontId="17" fillId="13" borderId="6" xfId="8" applyFont="1" applyFill="1" applyBorder="1" applyAlignment="1">
      <alignment vertical="center"/>
    </xf>
    <xf numFmtId="0" fontId="17" fillId="13" borderId="7" xfId="8" applyFont="1" applyFill="1" applyBorder="1" applyAlignment="1">
      <alignment vertical="center"/>
    </xf>
    <xf numFmtId="1" fontId="17" fillId="13" borderId="7" xfId="8" applyNumberFormat="1" applyFont="1" applyFill="1" applyBorder="1" applyAlignment="1">
      <alignment horizontal="right" vertical="center"/>
    </xf>
    <xf numFmtId="0" fontId="17" fillId="13" borderId="8" xfId="8" applyFont="1" applyFill="1" applyBorder="1" applyAlignment="1">
      <alignment vertical="center"/>
    </xf>
    <xf numFmtId="4" fontId="12" fillId="13" borderId="6" xfId="8" applyNumberFormat="1" applyFont="1" applyFill="1" applyBorder="1" applyAlignment="1">
      <alignment horizontal="right" vertical="center"/>
    </xf>
    <xf numFmtId="4" fontId="12" fillId="13" borderId="7" xfId="8" applyNumberFormat="1" applyFont="1" applyFill="1" applyBorder="1" applyAlignment="1">
      <alignment horizontal="right" vertical="center"/>
    </xf>
    <xf numFmtId="4" fontId="17" fillId="13" borderId="8" xfId="8" applyNumberFormat="1" applyFont="1" applyFill="1" applyBorder="1" applyAlignment="1">
      <alignment horizontal="right" vertical="center"/>
    </xf>
    <xf numFmtId="3" fontId="18" fillId="0" borderId="15" xfId="8" applyNumberFormat="1" applyFont="1" applyBorder="1" applyAlignment="1">
      <alignment horizontal="right"/>
    </xf>
    <xf numFmtId="3" fontId="18" fillId="0" borderId="129" xfId="8" applyNumberFormat="1" applyFont="1" applyBorder="1" applyAlignment="1">
      <alignment horizontal="right"/>
    </xf>
    <xf numFmtId="3" fontId="18" fillId="0" borderId="132" xfId="8" applyNumberFormat="1" applyFont="1" applyBorder="1" applyAlignment="1">
      <alignment horizontal="right"/>
    </xf>
    <xf numFmtId="3" fontId="12" fillId="0" borderId="0" xfId="22" applyNumberFormat="1" applyAlignment="1">
      <alignment horizontal="left" vertical="center"/>
    </xf>
    <xf numFmtId="0" fontId="17" fillId="0" borderId="0" xfId="22" applyFont="1" applyAlignment="1">
      <alignment horizontal="left" vertical="center"/>
    </xf>
    <xf numFmtId="0" fontId="34" fillId="0" borderId="0" xfId="3" applyFont="1" applyAlignment="1">
      <alignment vertical="center"/>
    </xf>
    <xf numFmtId="4" fontId="34" fillId="0" borderId="0" xfId="3" applyNumberFormat="1" applyFont="1" applyAlignment="1">
      <alignment vertical="center"/>
    </xf>
    <xf numFmtId="3" fontId="34" fillId="0" borderId="0" xfId="3" applyNumberFormat="1" applyFont="1" applyAlignment="1">
      <alignment vertical="center"/>
    </xf>
    <xf numFmtId="0" fontId="260" fillId="0" borderId="0" xfId="49" applyFont="1" applyAlignment="1" applyProtection="1">
      <alignment horizontal="left" vertical="center"/>
      <protection locked="0"/>
    </xf>
    <xf numFmtId="0" fontId="106" fillId="0" borderId="0" xfId="40" applyFont="1" applyAlignment="1">
      <alignment horizontal="left" vertical="top"/>
      <protection locked="0"/>
    </xf>
    <xf numFmtId="0" fontId="261" fillId="0" borderId="0" xfId="32" applyFont="1" applyAlignment="1" applyProtection="1">
      <alignment horizontal="right" vertical="center"/>
      <protection locked="0"/>
    </xf>
    <xf numFmtId="0" fontId="262" fillId="0" borderId="0" xfId="94" applyFont="1" applyAlignment="1" applyProtection="1">
      <alignment horizontal="left" vertical="top"/>
      <protection locked="0"/>
    </xf>
    <xf numFmtId="0" fontId="148" fillId="0" borderId="0" xfId="40" applyFont="1" applyAlignment="1">
      <alignment horizontal="left" vertical="center"/>
      <protection locked="0"/>
    </xf>
    <xf numFmtId="0" fontId="95" fillId="0" borderId="0" xfId="40" applyFont="1" applyAlignment="1">
      <alignment horizontal="left" vertical="center"/>
      <protection locked="0"/>
    </xf>
    <xf numFmtId="167" fontId="83" fillId="0" borderId="0" xfId="3" applyNumberFormat="1" applyFont="1" applyAlignment="1">
      <alignment vertical="center"/>
    </xf>
    <xf numFmtId="0" fontId="67" fillId="0" borderId="0" xfId="40" applyAlignment="1">
      <alignment horizontal="left" vertical="center"/>
      <protection locked="0"/>
    </xf>
    <xf numFmtId="0" fontId="95" fillId="0" borderId="0" xfId="40" applyFont="1" applyAlignment="1">
      <alignment horizontal="left" vertical="top"/>
      <protection locked="0"/>
    </xf>
    <xf numFmtId="39" fontId="81" fillId="0" borderId="0" xfId="40" applyNumberFormat="1" applyFont="1" applyAlignment="1" applyProtection="1"/>
    <xf numFmtId="39" fontId="67" fillId="0" borderId="0" xfId="40" applyNumberFormat="1" applyAlignment="1">
      <alignment horizontal="left" vertical="top"/>
      <protection locked="0"/>
    </xf>
    <xf numFmtId="0" fontId="39" fillId="0" borderId="0" xfId="96" applyFont="1" applyAlignment="1" applyProtection="1">
      <alignment horizontal="left" vertical="center"/>
      <protection locked="0"/>
    </xf>
    <xf numFmtId="0" fontId="233" fillId="0" borderId="0" xfId="96" applyFont="1" applyAlignment="1" applyProtection="1">
      <alignment horizontal="right" vertical="center"/>
      <protection locked="0"/>
    </xf>
    <xf numFmtId="0" fontId="6" fillId="0" borderId="0" xfId="96" applyAlignment="1" applyProtection="1">
      <alignment horizontal="left" vertical="center"/>
      <protection locked="0"/>
    </xf>
    <xf numFmtId="0" fontId="94" fillId="0" borderId="0" xfId="96" applyFont="1" applyAlignment="1" applyProtection="1">
      <alignment horizontal="left" vertical="top"/>
      <protection locked="0"/>
    </xf>
    <xf numFmtId="0" fontId="103" fillId="0" borderId="0" xfId="96" applyFont="1" applyAlignment="1" applyProtection="1">
      <alignment horizontal="right" vertical="center"/>
      <protection locked="0"/>
    </xf>
    <xf numFmtId="39" fontId="66" fillId="0" borderId="0" xfId="96" applyNumberFormat="1" applyFont="1" applyAlignment="1" applyProtection="1">
      <alignment horizontal="right" vertical="center"/>
      <protection locked="0"/>
    </xf>
    <xf numFmtId="39" fontId="8" fillId="0" borderId="0" xfId="96" applyNumberFormat="1" applyFont="1" applyAlignment="1" applyProtection="1">
      <alignment horizontal="right" vertical="center"/>
      <protection locked="0"/>
    </xf>
    <xf numFmtId="39" fontId="28" fillId="0" borderId="0" xfId="96" applyNumberFormat="1" applyFont="1" applyAlignment="1" applyProtection="1">
      <alignment horizontal="right" vertical="center"/>
      <protection locked="0"/>
    </xf>
    <xf numFmtId="0" fontId="232" fillId="0" borderId="0" xfId="96" applyFont="1" applyAlignment="1" applyProtection="1">
      <alignment horizontal="right" vertical="center"/>
      <protection locked="0"/>
    </xf>
    <xf numFmtId="0" fontId="105" fillId="0" borderId="0" xfId="96" applyFont="1" applyAlignment="1" applyProtection="1">
      <alignment horizontal="left" vertical="center"/>
      <protection locked="0"/>
    </xf>
    <xf numFmtId="0" fontId="264" fillId="0" borderId="0" xfId="96" applyFont="1" applyAlignment="1" applyProtection="1">
      <alignment horizontal="left" vertical="center"/>
      <protection locked="0"/>
    </xf>
    <xf numFmtId="2" fontId="102" fillId="0" borderId="0" xfId="96" applyNumberFormat="1" applyFont="1" applyAlignment="1" applyProtection="1">
      <alignment horizontal="left" vertical="center"/>
      <protection locked="0"/>
    </xf>
    <xf numFmtId="0" fontId="245" fillId="0" borderId="0" xfId="96" applyFont="1" applyAlignment="1" applyProtection="1">
      <alignment horizontal="left" vertical="center"/>
      <protection locked="0"/>
    </xf>
    <xf numFmtId="0" fontId="11" fillId="0" borderId="0" xfId="94" applyFont="1" applyAlignment="1" applyProtection="1">
      <alignment horizontal="left" vertical="center"/>
      <protection locked="0"/>
    </xf>
    <xf numFmtId="0" fontId="32" fillId="0" borderId="0" xfId="94" applyFont="1" applyAlignment="1" applyProtection="1">
      <alignment vertical="center"/>
      <protection locked="0"/>
    </xf>
    <xf numFmtId="0" fontId="11" fillId="0" borderId="0" xfId="94" applyFont="1" applyAlignment="1" applyProtection="1">
      <alignment horizontal="right" vertical="center"/>
      <protection locked="0"/>
    </xf>
    <xf numFmtId="39" fontId="71" fillId="0" borderId="0" xfId="96" applyNumberFormat="1" applyFont="1"/>
    <xf numFmtId="39" fontId="6" fillId="0" borderId="0" xfId="96" applyNumberFormat="1" applyAlignment="1" applyProtection="1">
      <alignment horizontal="left" vertical="top"/>
      <protection locked="0"/>
    </xf>
    <xf numFmtId="0" fontId="171" fillId="0" borderId="0" xfId="94" applyFont="1" applyAlignment="1" applyProtection="1">
      <alignment horizontal="left" vertical="center"/>
      <protection locked="0"/>
    </xf>
    <xf numFmtId="0" fontId="133" fillId="0" borderId="0" xfId="63" applyFont="1" applyAlignment="1" applyProtection="1">
      <alignment horizontal="left" vertical="center"/>
      <protection locked="0"/>
    </xf>
    <xf numFmtId="0" fontId="6" fillId="0" borderId="0" xfId="94" applyAlignment="1">
      <alignment vertical="center"/>
    </xf>
    <xf numFmtId="0" fontId="231" fillId="0" borderId="0" xfId="94" applyFont="1" applyAlignment="1">
      <alignment vertical="center"/>
    </xf>
    <xf numFmtId="0" fontId="103" fillId="0" borderId="0" xfId="94" applyFont="1" applyAlignment="1">
      <alignment horizontal="right" vertical="center"/>
    </xf>
    <xf numFmtId="0" fontId="246" fillId="0" borderId="0" xfId="94" applyFont="1" applyAlignment="1" applyProtection="1">
      <alignment horizontal="left" vertical="center"/>
      <protection locked="0"/>
    </xf>
    <xf numFmtId="0" fontId="247" fillId="0" borderId="0" xfId="94" applyFont="1" applyAlignment="1" applyProtection="1">
      <alignment horizontal="left" vertical="center"/>
      <protection locked="0"/>
    </xf>
    <xf numFmtId="39" fontId="103" fillId="0" borderId="0" xfId="83" applyNumberFormat="1" applyFont="1" applyAlignment="1" applyProtection="1">
      <alignment horizontal="right" vertical="center"/>
      <protection locked="0"/>
    </xf>
    <xf numFmtId="39" fontId="244" fillId="0" borderId="0" xfId="83" applyNumberFormat="1" applyFont="1" applyAlignment="1" applyProtection="1">
      <alignment horizontal="left" vertical="center"/>
      <protection locked="0"/>
    </xf>
    <xf numFmtId="39" fontId="103" fillId="0" borderId="0" xfId="83" applyNumberFormat="1" applyFont="1" applyAlignment="1" applyProtection="1">
      <alignment horizontal="left" vertical="top"/>
      <protection locked="0"/>
    </xf>
    <xf numFmtId="0" fontId="32" fillId="0" borderId="0" xfId="94" applyFont="1" applyAlignment="1" applyProtection="1">
      <alignment horizontal="left" vertical="top"/>
      <protection locked="0"/>
    </xf>
    <xf numFmtId="39" fontId="230" fillId="0" borderId="0" xfId="80" applyNumberFormat="1" applyFont="1" applyAlignment="1">
      <alignment horizontal="left" vertical="center"/>
      <protection locked="0"/>
    </xf>
    <xf numFmtId="0" fontId="71" fillId="0" borderId="0" xfId="94" applyFont="1" applyAlignment="1" applyProtection="1">
      <alignment vertical="top"/>
      <protection locked="0"/>
    </xf>
    <xf numFmtId="0" fontId="53" fillId="0" borderId="0" xfId="94" applyFont="1" applyAlignment="1" applyProtection="1">
      <alignment horizontal="right" vertical="top"/>
      <protection locked="0"/>
    </xf>
    <xf numFmtId="169" fontId="6" fillId="0" borderId="0" xfId="94" applyNumberFormat="1" applyAlignment="1" applyProtection="1">
      <alignment horizontal="left" vertical="top"/>
      <protection locked="0"/>
    </xf>
    <xf numFmtId="0" fontId="29" fillId="0" borderId="0" xfId="40" applyFont="1" applyAlignment="1">
      <alignment vertical="center"/>
      <protection locked="0"/>
    </xf>
    <xf numFmtId="0" fontId="92" fillId="0" borderId="0" xfId="40" applyFont="1" applyAlignment="1">
      <alignment vertical="top"/>
      <protection locked="0"/>
    </xf>
    <xf numFmtId="0" fontId="11" fillId="0" borderId="0" xfId="40" applyFont="1" applyAlignment="1">
      <alignment horizontal="right" vertical="center"/>
      <protection locked="0"/>
    </xf>
    <xf numFmtId="2" fontId="54" fillId="0" borderId="0" xfId="40" applyNumberFormat="1" applyFont="1" applyAlignment="1">
      <alignment horizontal="right" vertical="center"/>
      <protection locked="0"/>
    </xf>
    <xf numFmtId="39" fontId="8" fillId="0" borderId="0" xfId="40" applyNumberFormat="1" applyFont="1" applyAlignment="1">
      <alignment horizontal="left" vertical="center"/>
      <protection locked="0"/>
    </xf>
    <xf numFmtId="0" fontId="11" fillId="0" borderId="0" xfId="40" applyFont="1" applyAlignment="1">
      <alignment horizontal="left" vertical="center"/>
      <protection locked="0"/>
    </xf>
    <xf numFmtId="37" fontId="8" fillId="0" borderId="0" xfId="40" applyNumberFormat="1" applyFont="1" applyAlignment="1">
      <alignment horizontal="right" vertical="center"/>
      <protection locked="0"/>
    </xf>
    <xf numFmtId="0" fontId="8" fillId="0" borderId="0" xfId="40" applyFont="1" applyAlignment="1">
      <alignment horizontal="left" vertical="center" wrapText="1"/>
      <protection locked="0"/>
    </xf>
    <xf numFmtId="0" fontId="28" fillId="0" borderId="0" xfId="40" applyFont="1" applyAlignment="1">
      <alignment horizontal="left" vertical="center" wrapText="1"/>
      <protection locked="0"/>
    </xf>
    <xf numFmtId="2" fontId="8" fillId="0" borderId="0" xfId="40" applyNumberFormat="1" applyFont="1" applyAlignment="1">
      <alignment horizontal="right" vertical="center"/>
      <protection locked="0"/>
    </xf>
    <xf numFmtId="0" fontId="154" fillId="0" borderId="0" xfId="40" applyFont="1" applyAlignment="1">
      <alignment vertical="top"/>
      <protection locked="0"/>
    </xf>
    <xf numFmtId="0" fontId="155" fillId="0" borderId="0" xfId="40" applyFont="1" applyAlignment="1">
      <alignment horizontal="left" wrapText="1"/>
      <protection locked="0"/>
    </xf>
    <xf numFmtId="0" fontId="60" fillId="0" borderId="0" xfId="40" applyFont="1" applyAlignment="1">
      <alignment horizontal="right" vertical="top"/>
      <protection locked="0"/>
    </xf>
    <xf numFmtId="4" fontId="38" fillId="0" borderId="0" xfId="49" applyNumberFormat="1" applyAlignment="1" applyProtection="1">
      <alignment horizontal="left" vertical="center"/>
      <protection locked="0"/>
    </xf>
    <xf numFmtId="0" fontId="181" fillId="0" borderId="0" xfId="65" applyFont="1"/>
    <xf numFmtId="0" fontId="10" fillId="0" borderId="0" xfId="46" applyFont="1" applyAlignment="1">
      <alignment vertical="top"/>
      <protection locked="0"/>
    </xf>
    <xf numFmtId="0" fontId="181" fillId="0" borderId="0" xfId="25" applyFont="1" applyAlignment="1" applyProtection="1">
      <alignment horizontal="left" vertical="top"/>
      <protection locked="0"/>
    </xf>
    <xf numFmtId="0" fontId="16" fillId="0" borderId="0" xfId="25" applyFont="1" applyAlignment="1" applyProtection="1">
      <alignment horizontal="left" vertical="top"/>
      <protection locked="0"/>
    </xf>
    <xf numFmtId="0" fontId="10" fillId="0" borderId="0" xfId="47" applyFont="1" applyAlignment="1">
      <alignment horizontal="left" vertical="center"/>
      <protection locked="0"/>
    </xf>
    <xf numFmtId="0" fontId="10" fillId="0" borderId="0" xfId="47" applyFont="1" applyAlignment="1">
      <alignment horizontal="center" vertical="center"/>
      <protection locked="0"/>
    </xf>
    <xf numFmtId="0" fontId="83" fillId="0" borderId="0" xfId="47" applyFont="1" applyAlignment="1">
      <alignment horizontal="center" vertical="center"/>
      <protection locked="0"/>
    </xf>
    <xf numFmtId="0" fontId="10" fillId="0" borderId="0" xfId="47" applyFont="1" applyAlignment="1">
      <alignment horizontal="left" vertical="top"/>
      <protection locked="0"/>
    </xf>
    <xf numFmtId="0" fontId="16" fillId="0" borderId="0" xfId="47" applyFont="1" applyAlignment="1">
      <alignment horizontal="right"/>
      <protection locked="0"/>
    </xf>
    <xf numFmtId="175" fontId="83" fillId="0" borderId="0" xfId="47" applyNumberFormat="1" applyFont="1" applyAlignment="1">
      <alignment horizontal="center" vertical="center"/>
      <protection locked="0"/>
    </xf>
    <xf numFmtId="0" fontId="67" fillId="0" borderId="0" xfId="25" applyFont="1" applyAlignment="1" applyProtection="1">
      <alignment horizontal="left"/>
      <protection locked="0"/>
    </xf>
    <xf numFmtId="0" fontId="95" fillId="0" borderId="0" xfId="25" applyFont="1" applyAlignment="1" applyProtection="1">
      <alignment horizontal="right" vertical="center"/>
      <protection locked="0"/>
    </xf>
    <xf numFmtId="0" fontId="183" fillId="0" borderId="0" xfId="25" applyFont="1" applyAlignment="1" applyProtection="1">
      <alignment horizontal="left" vertical="center"/>
      <protection locked="0"/>
    </xf>
    <xf numFmtId="0" fontId="157" fillId="0" borderId="0" xfId="25" applyFont="1" applyAlignment="1" applyProtection="1">
      <alignment horizontal="left" vertical="center"/>
      <protection locked="0"/>
    </xf>
    <xf numFmtId="0" fontId="184" fillId="0" borderId="0" xfId="25" applyFont="1" applyAlignment="1" applyProtection="1">
      <alignment horizontal="left" vertical="center"/>
      <protection locked="0"/>
    </xf>
    <xf numFmtId="0" fontId="1" fillId="0" borderId="0" xfId="25" applyFont="1" applyAlignment="1" applyProtection="1">
      <alignment horizontal="left" vertical="center"/>
      <protection locked="0"/>
    </xf>
    <xf numFmtId="0" fontId="83" fillId="0" borderId="0" xfId="47" applyFont="1" applyAlignment="1">
      <alignment horizontal="left" vertical="center"/>
      <protection locked="0"/>
    </xf>
    <xf numFmtId="0" fontId="16" fillId="0" borderId="0" xfId="47" applyFont="1" applyAlignment="1">
      <alignment horizontal="right" vertical="top"/>
      <protection locked="0"/>
    </xf>
    <xf numFmtId="0" fontId="83" fillId="0" borderId="0" xfId="47" applyFont="1" applyAlignment="1">
      <alignment horizontal="left" vertical="top"/>
      <protection locked="0"/>
    </xf>
    <xf numFmtId="0" fontId="52" fillId="0" borderId="0" xfId="47" applyFont="1" applyAlignment="1">
      <alignment horizontal="left" vertical="center"/>
      <protection locked="0"/>
    </xf>
    <xf numFmtId="0" fontId="83" fillId="0" borderId="0" xfId="25" applyFont="1" applyAlignment="1" applyProtection="1">
      <alignment horizontal="left" vertical="center"/>
      <protection locked="0"/>
    </xf>
    <xf numFmtId="0" fontId="181" fillId="0" borderId="0" xfId="25" applyFont="1" applyAlignment="1" applyProtection="1">
      <alignment horizontal="left" vertical="center"/>
      <protection locked="0"/>
    </xf>
    <xf numFmtId="0" fontId="10" fillId="0" borderId="0" xfId="47" applyFont="1" applyAlignment="1">
      <alignment horizontal="right" vertical="top"/>
      <protection locked="0"/>
    </xf>
    <xf numFmtId="0" fontId="185" fillId="0" borderId="0" xfId="25" applyFont="1" applyAlignment="1" applyProtection="1">
      <alignment horizontal="left" vertical="top"/>
      <protection locked="0"/>
    </xf>
    <xf numFmtId="175" fontId="83" fillId="0" borderId="0" xfId="47" applyNumberFormat="1" applyFont="1" applyAlignment="1">
      <alignment horizontal="center" vertical="top"/>
      <protection locked="0"/>
    </xf>
    <xf numFmtId="6" fontId="10" fillId="0" borderId="0" xfId="47" applyNumberFormat="1" applyFont="1" applyAlignment="1">
      <alignment horizontal="left" vertical="top"/>
      <protection locked="0"/>
    </xf>
    <xf numFmtId="0" fontId="114" fillId="0" borderId="0" xfId="0" applyFont="1" applyAlignment="1" applyProtection="1">
      <alignment vertical="center"/>
    </xf>
    <xf numFmtId="0" fontId="270" fillId="0" borderId="0" xfId="0" applyFont="1" applyAlignment="1" applyProtection="1">
      <alignment horizontal="right"/>
    </xf>
    <xf numFmtId="0" fontId="26" fillId="0" borderId="0" xfId="0" applyFont="1" applyAlignment="1" applyProtection="1"/>
    <xf numFmtId="0" fontId="273" fillId="0" borderId="0" xfId="0" applyFont="1" applyAlignment="1" applyProtection="1"/>
    <xf numFmtId="4" fontId="39" fillId="0" borderId="0" xfId="99" applyNumberFormat="1" applyFont="1" applyAlignment="1" applyProtection="1">
      <alignment horizontal="right" vertical="center"/>
      <protection locked="0"/>
    </xf>
    <xf numFmtId="4" fontId="233" fillId="0" borderId="0" xfId="99" applyNumberFormat="1" applyFont="1" applyAlignment="1" applyProtection="1">
      <alignment horizontal="left" vertical="center"/>
      <protection locked="0"/>
    </xf>
    <xf numFmtId="0" fontId="267" fillId="0" borderId="0" xfId="99" applyFont="1"/>
    <xf numFmtId="0" fontId="94" fillId="0" borderId="0" xfId="99" applyFont="1" applyAlignment="1" applyProtection="1">
      <alignment horizontal="left"/>
      <protection locked="0"/>
    </xf>
    <xf numFmtId="0" fontId="70" fillId="0" borderId="0" xfId="99" applyFont="1" applyAlignment="1" applyProtection="1">
      <alignment horizontal="left" vertical="center"/>
      <protection locked="0"/>
    </xf>
    <xf numFmtId="0" fontId="62" fillId="0" borderId="0" xfId="99" applyFont="1" applyAlignment="1" applyProtection="1">
      <alignment horizontal="left" vertical="center"/>
      <protection locked="0"/>
    </xf>
    <xf numFmtId="0" fontId="19" fillId="0" borderId="0" xfId="0" applyFont="1" applyAlignment="1" applyProtection="1">
      <alignment horizontal="right"/>
    </xf>
    <xf numFmtId="0" fontId="19" fillId="0" borderId="0" xfId="0" applyFont="1" applyAlignment="1" applyProtection="1"/>
    <xf numFmtId="0" fontId="18" fillId="0" borderId="0" xfId="0" applyFont="1" applyAlignment="1" applyProtection="1"/>
    <xf numFmtId="0" fontId="193" fillId="0" borderId="0" xfId="99" applyFont="1" applyAlignment="1" applyProtection="1">
      <alignment horizontal="left" vertical="center"/>
      <protection locked="0"/>
    </xf>
    <xf numFmtId="0" fontId="52" fillId="0" borderId="0" xfId="99" applyFont="1" applyAlignment="1" applyProtection="1">
      <alignment horizontal="left" vertical="top"/>
      <protection locked="0"/>
    </xf>
    <xf numFmtId="0" fontId="11" fillId="0" borderId="0" xfId="99" applyFont="1" applyAlignment="1" applyProtection="1">
      <alignment horizontal="left" vertical="top"/>
      <protection locked="0"/>
    </xf>
    <xf numFmtId="0" fontId="39" fillId="0" borderId="0" xfId="99" applyFont="1" applyAlignment="1" applyProtection="1">
      <alignment horizontal="left" vertical="center"/>
      <protection locked="0"/>
    </xf>
    <xf numFmtId="0" fontId="82" fillId="0" borderId="0" xfId="99" applyFont="1" applyAlignment="1" applyProtection="1">
      <alignment horizontal="left" vertical="top"/>
      <protection locked="0"/>
    </xf>
    <xf numFmtId="0" fontId="103" fillId="0" borderId="0" xfId="0" applyFont="1" applyAlignment="1" applyProtection="1">
      <alignment vertical="center"/>
    </xf>
    <xf numFmtId="0" fontId="268" fillId="0" borderId="0" xfId="0" applyFont="1" applyAlignment="1" applyProtection="1">
      <alignment horizontal="left" vertical="center"/>
    </xf>
    <xf numFmtId="0" fontId="268" fillId="0" borderId="0" xfId="0" applyFont="1" applyAlignment="1" applyProtection="1">
      <alignment horizontal="center" vertical="center"/>
    </xf>
    <xf numFmtId="39" fontId="8" fillId="0" borderId="0" xfId="30" applyNumberFormat="1" applyFont="1" applyAlignment="1" applyProtection="1">
      <alignment horizontal="center"/>
      <protection locked="0"/>
    </xf>
    <xf numFmtId="4" fontId="114" fillId="0" borderId="0" xfId="0" applyNumberFormat="1" applyFont="1" applyAlignment="1" applyProtection="1">
      <alignment vertical="center"/>
    </xf>
    <xf numFmtId="167" fontId="99" fillId="0" borderId="125" xfId="25" applyNumberFormat="1" applyFont="1" applyBorder="1" applyAlignment="1" applyProtection="1">
      <alignment horizontal="right"/>
      <protection locked="0"/>
    </xf>
    <xf numFmtId="167" fontId="7" fillId="0" borderId="125" xfId="25" applyNumberFormat="1" applyBorder="1"/>
    <xf numFmtId="167" fontId="11" fillId="0" borderId="125" xfId="28" applyNumberFormat="1" applyBorder="1" applyAlignment="1">
      <alignment horizontal="left" vertical="top"/>
      <protection locked="0"/>
    </xf>
    <xf numFmtId="39" fontId="8" fillId="0" borderId="125" xfId="0" applyNumberFormat="1" applyFont="1" applyBorder="1" applyAlignment="1">
      <alignment horizontal="right" vertical="center"/>
      <protection locked="0"/>
    </xf>
    <xf numFmtId="39" fontId="69" fillId="0" borderId="0" xfId="88" applyNumberFormat="1" applyFont="1" applyFill="1" applyBorder="1" applyAlignment="1" applyProtection="1">
      <alignment vertical="center"/>
    </xf>
    <xf numFmtId="0" fontId="28" fillId="0" borderId="125" xfId="35" applyFont="1" applyBorder="1" applyAlignment="1">
      <alignment horizontal="left" vertical="center" wrapText="1"/>
      <protection locked="0"/>
    </xf>
    <xf numFmtId="39" fontId="37" fillId="0" borderId="125" xfId="25" applyNumberFormat="1" applyFont="1" applyBorder="1" applyAlignment="1" applyProtection="1">
      <alignment horizontal="right"/>
      <protection locked="0"/>
    </xf>
    <xf numFmtId="173" fontId="8" fillId="0" borderId="125" xfId="37" applyNumberFormat="1" applyFont="1" applyBorder="1" applyAlignment="1">
      <alignment horizontal="right"/>
    </xf>
    <xf numFmtId="37" fontId="8" fillId="0" borderId="125" xfId="37" applyNumberFormat="1" applyFont="1" applyBorder="1" applyAlignment="1">
      <alignment horizontal="right"/>
    </xf>
    <xf numFmtId="0" fontId="37" fillId="0" borderId="125" xfId="37" applyFont="1" applyBorder="1" applyAlignment="1">
      <alignment horizontal="left" wrapText="1"/>
    </xf>
    <xf numFmtId="0" fontId="8" fillId="0" borderId="125" xfId="37" applyFont="1" applyBorder="1" applyAlignment="1">
      <alignment horizontal="left" wrapText="1"/>
    </xf>
    <xf numFmtId="167" fontId="66" fillId="0" borderId="125" xfId="37" applyNumberFormat="1" applyFont="1" applyBorder="1" applyAlignment="1">
      <alignment horizontal="right" wrapText="1"/>
    </xf>
    <xf numFmtId="39" fontId="96" fillId="0" borderId="125" xfId="37" applyNumberFormat="1" applyFont="1" applyBorder="1" applyAlignment="1">
      <alignment horizontal="right"/>
    </xf>
    <xf numFmtId="1" fontId="8" fillId="0" borderId="125" xfId="37" applyNumberFormat="1" applyFont="1" applyBorder="1" applyAlignment="1">
      <alignment horizontal="right"/>
    </xf>
    <xf numFmtId="49" fontId="8" fillId="0" borderId="125" xfId="37" applyNumberFormat="1" applyFont="1" applyBorder="1" applyAlignment="1">
      <alignment horizontal="left" wrapText="1"/>
    </xf>
    <xf numFmtId="4" fontId="8" fillId="0" borderId="125" xfId="37" applyNumberFormat="1" applyFont="1" applyBorder="1" applyAlignment="1">
      <alignment horizontal="right"/>
    </xf>
    <xf numFmtId="1" fontId="28" fillId="0" borderId="125" xfId="37" applyNumberFormat="1" applyFont="1" applyBorder="1" applyAlignment="1">
      <alignment horizontal="right"/>
    </xf>
    <xf numFmtId="37" fontId="28" fillId="0" borderId="125" xfId="37" applyNumberFormat="1" applyFont="1" applyBorder="1" applyAlignment="1">
      <alignment horizontal="right"/>
    </xf>
    <xf numFmtId="167" fontId="28" fillId="0" borderId="125" xfId="37" applyNumberFormat="1" applyFont="1" applyBorder="1" applyAlignment="1">
      <alignment horizontal="right"/>
    </xf>
    <xf numFmtId="4" fontId="28" fillId="0" borderId="125" xfId="37" applyNumberFormat="1" applyFont="1" applyBorder="1" applyAlignment="1">
      <alignment horizontal="right"/>
    </xf>
    <xf numFmtId="49" fontId="8" fillId="0" borderId="30" xfId="63" applyNumberFormat="1" applyFont="1" applyBorder="1" applyAlignment="1">
      <alignment horizontal="left" wrapText="1"/>
    </xf>
    <xf numFmtId="49" fontId="9" fillId="0" borderId="30" xfId="21" applyNumberFormat="1" applyFont="1" applyBorder="1" applyAlignment="1">
      <alignment horizontal="left"/>
    </xf>
    <xf numFmtId="4" fontId="8" fillId="0" borderId="30" xfId="37" applyNumberFormat="1" applyFont="1" applyBorder="1" applyAlignment="1">
      <alignment horizontal="right"/>
    </xf>
    <xf numFmtId="1" fontId="8" fillId="0" borderId="30" xfId="63" applyNumberFormat="1" applyFont="1" applyBorder="1" applyAlignment="1">
      <alignment horizontal="right"/>
    </xf>
    <xf numFmtId="0" fontId="8" fillId="0" borderId="30" xfId="63" applyFont="1" applyBorder="1" applyAlignment="1">
      <alignment horizontal="left" wrapText="1"/>
    </xf>
    <xf numFmtId="1" fontId="8" fillId="0" borderId="30" xfId="37" applyNumberFormat="1" applyFont="1" applyBorder="1" applyAlignment="1">
      <alignment horizontal="right"/>
    </xf>
    <xf numFmtId="0" fontId="8" fillId="0" borderId="30" xfId="37" applyFont="1" applyBorder="1" applyAlignment="1">
      <alignment horizontal="left" wrapText="1"/>
    </xf>
    <xf numFmtId="49" fontId="8" fillId="0" borderId="30" xfId="37" applyNumberFormat="1" applyFont="1" applyBorder="1" applyAlignment="1">
      <alignment horizontal="left" wrapText="1"/>
    </xf>
    <xf numFmtId="0" fontId="8" fillId="0" borderId="30" xfId="37" applyFont="1" applyBorder="1" applyAlignment="1" applyProtection="1">
      <alignment horizontal="left" wrapText="1"/>
      <protection locked="0"/>
    </xf>
    <xf numFmtId="4" fontId="8" fillId="0" borderId="30" xfId="37" applyNumberFormat="1" applyFont="1" applyBorder="1" applyAlignment="1" applyProtection="1">
      <alignment horizontal="right"/>
      <protection locked="0"/>
    </xf>
    <xf numFmtId="1" fontId="28" fillId="0" borderId="30" xfId="37" applyNumberFormat="1" applyFont="1" applyBorder="1" applyAlignment="1" applyProtection="1">
      <alignment horizontal="right"/>
      <protection locked="0"/>
    </xf>
    <xf numFmtId="37" fontId="28" fillId="0" borderId="30" xfId="37" applyNumberFormat="1" applyFont="1" applyBorder="1" applyAlignment="1" applyProtection="1">
      <alignment horizontal="right"/>
      <protection locked="0"/>
    </xf>
    <xf numFmtId="0" fontId="28" fillId="0" borderId="30" xfId="37" applyFont="1" applyBorder="1" applyAlignment="1" applyProtection="1">
      <alignment horizontal="left" wrapText="1"/>
      <protection locked="0"/>
    </xf>
    <xf numFmtId="167" fontId="28" fillId="0" borderId="30" xfId="37" applyNumberFormat="1" applyFont="1" applyBorder="1" applyAlignment="1" applyProtection="1">
      <alignment horizontal="right" wrapText="1"/>
      <protection locked="0"/>
    </xf>
    <xf numFmtId="4" fontId="28" fillId="0" borderId="30" xfId="37" applyNumberFormat="1" applyFont="1" applyBorder="1" applyAlignment="1" applyProtection="1">
      <alignment horizontal="right"/>
      <protection locked="0"/>
    </xf>
    <xf numFmtId="37" fontId="8" fillId="0" borderId="15" xfId="25" applyNumberFormat="1" applyFont="1" applyBorder="1" applyAlignment="1" applyProtection="1">
      <alignment horizontal="right"/>
      <protection locked="0"/>
    </xf>
    <xf numFmtId="0" fontId="8" fillId="0" borderId="15" xfId="25" applyFont="1" applyBorder="1" applyAlignment="1" applyProtection="1">
      <alignment horizontal="left" wrapText="1"/>
      <protection locked="0"/>
    </xf>
    <xf numFmtId="39" fontId="8" fillId="0" borderId="15" xfId="25" applyNumberFormat="1" applyFont="1" applyBorder="1" applyAlignment="1" applyProtection="1">
      <alignment horizontal="right"/>
      <protection locked="0"/>
    </xf>
    <xf numFmtId="167" fontId="94" fillId="0" borderId="0" xfId="25" applyNumberFormat="1" applyFont="1" applyAlignment="1" applyProtection="1">
      <alignment horizontal="left"/>
      <protection locked="0"/>
    </xf>
    <xf numFmtId="37" fontId="8" fillId="0" borderId="30" xfId="37" applyNumberFormat="1" applyFont="1" applyBorder="1" applyAlignment="1">
      <alignment horizontal="right"/>
    </xf>
    <xf numFmtId="167" fontId="8" fillId="0" borderId="30" xfId="37" applyNumberFormat="1" applyFont="1" applyBorder="1" applyAlignment="1">
      <alignment horizontal="right"/>
    </xf>
    <xf numFmtId="37" fontId="66" fillId="0" borderId="30" xfId="37" applyNumberFormat="1" applyFont="1" applyBorder="1" applyAlignment="1">
      <alignment horizontal="right"/>
    </xf>
    <xf numFmtId="0" fontId="66" fillId="0" borderId="30" xfId="37" applyFont="1" applyBorder="1" applyAlignment="1">
      <alignment horizontal="left" wrapText="1"/>
    </xf>
    <xf numFmtId="39" fontId="66" fillId="0" borderId="30" xfId="37" applyNumberFormat="1" applyFont="1" applyBorder="1" applyAlignment="1">
      <alignment horizontal="right"/>
    </xf>
    <xf numFmtId="2" fontId="28" fillId="0" borderId="30" xfId="37" applyNumberFormat="1" applyFont="1" applyBorder="1" applyAlignment="1">
      <alignment horizontal="right"/>
    </xf>
    <xf numFmtId="2" fontId="8" fillId="0" borderId="125" xfId="40" applyNumberFormat="1" applyFont="1" applyBorder="1" applyAlignment="1">
      <alignment horizontal="right"/>
      <protection locked="0"/>
    </xf>
    <xf numFmtId="37" fontId="96" fillId="0" borderId="125" xfId="40" applyNumberFormat="1" applyFont="1" applyBorder="1" applyAlignment="1">
      <alignment horizontal="right"/>
      <protection locked="0"/>
    </xf>
    <xf numFmtId="2" fontId="28" fillId="0" borderId="125" xfId="40" applyNumberFormat="1" applyFont="1" applyBorder="1" applyAlignment="1">
      <alignment horizontal="right"/>
      <protection locked="0"/>
    </xf>
    <xf numFmtId="39" fontId="96" fillId="0" borderId="125" xfId="40" applyNumberFormat="1" applyFont="1" applyBorder="1" applyAlignment="1">
      <alignment horizontal="right"/>
      <protection locked="0"/>
    </xf>
    <xf numFmtId="2" fontId="28" fillId="0" borderId="125" xfId="25" applyNumberFormat="1" applyFont="1" applyBorder="1" applyAlignment="1" applyProtection="1">
      <alignment horizontal="right"/>
      <protection locked="0"/>
    </xf>
    <xf numFmtId="0" fontId="39" fillId="0" borderId="0" xfId="25" applyFont="1"/>
    <xf numFmtId="0" fontId="45" fillId="0" borderId="0" xfId="49" applyFont="1" applyAlignment="1">
      <alignment horizontal="center" vertical="center" wrapText="1"/>
    </xf>
    <xf numFmtId="0" fontId="47" fillId="0" borderId="0" xfId="49" applyFont="1"/>
    <xf numFmtId="39" fontId="81" fillId="0" borderId="0" xfId="25" applyNumberFormat="1" applyFont="1"/>
    <xf numFmtId="0" fontId="64" fillId="0" borderId="0" xfId="25" applyFont="1" applyAlignment="1" applyProtection="1">
      <alignment horizontal="right" vertical="top"/>
      <protection locked="0"/>
    </xf>
    <xf numFmtId="172" fontId="81" fillId="0" borderId="0" xfId="25" applyNumberFormat="1" applyFont="1"/>
    <xf numFmtId="39" fontId="7" fillId="0" borderId="0" xfId="25" applyNumberFormat="1" applyAlignment="1" applyProtection="1">
      <alignment horizontal="left" vertical="top"/>
      <protection locked="0"/>
    </xf>
    <xf numFmtId="2" fontId="115" fillId="0" borderId="0" xfId="32" applyNumberFormat="1" applyFont="1" applyAlignment="1" applyProtection="1">
      <alignment horizontal="center" vertical="center"/>
      <protection locked="0"/>
    </xf>
    <xf numFmtId="0" fontId="121" fillId="0" borderId="0" xfId="3" applyFont="1"/>
    <xf numFmtId="39" fontId="83" fillId="0" borderId="0" xfId="25" applyNumberFormat="1" applyFont="1" applyAlignment="1" applyProtection="1">
      <alignment horizontal="left" vertical="center"/>
      <protection locked="0"/>
    </xf>
    <xf numFmtId="0" fontId="71" fillId="0" borderId="0" xfId="25" applyFont="1" applyAlignment="1" applyProtection="1">
      <alignment vertical="center"/>
      <protection locked="0"/>
    </xf>
    <xf numFmtId="0" fontId="7" fillId="0" borderId="0" xfId="25" applyAlignment="1" applyProtection="1">
      <alignment horizontal="right" vertical="center"/>
      <protection locked="0"/>
    </xf>
    <xf numFmtId="2" fontId="78" fillId="0" borderId="0" xfId="69" applyNumberFormat="1" applyFont="1" applyAlignment="1" applyProtection="1">
      <alignment vertical="center"/>
      <protection locked="0"/>
    </xf>
    <xf numFmtId="2" fontId="10" fillId="0" borderId="0" xfId="69" applyNumberFormat="1" applyAlignment="1" applyProtection="1">
      <alignment horizontal="left" vertical="center"/>
      <protection locked="0"/>
    </xf>
    <xf numFmtId="2" fontId="10" fillId="0" borderId="0" xfId="69" applyNumberFormat="1" applyAlignment="1" applyProtection="1">
      <alignment horizontal="left" vertical="top"/>
      <protection locked="0"/>
    </xf>
    <xf numFmtId="0" fontId="113" fillId="0" borderId="0" xfId="69" applyFont="1" applyAlignment="1" applyProtection="1">
      <alignment horizontal="left" vertical="center"/>
      <protection locked="0"/>
    </xf>
    <xf numFmtId="0" fontId="32" fillId="0" borderId="0" xfId="25" applyFont="1"/>
    <xf numFmtId="0" fontId="148" fillId="0" borderId="0" xfId="25" applyFont="1" applyAlignment="1" applyProtection="1">
      <alignment horizontal="left" vertical="center"/>
      <protection locked="0"/>
    </xf>
    <xf numFmtId="0" fontId="95" fillId="0" borderId="0" xfId="25" applyFont="1" applyAlignment="1" applyProtection="1">
      <alignment horizontal="left" vertical="center"/>
      <protection locked="0"/>
    </xf>
    <xf numFmtId="0" fontId="81" fillId="0" borderId="0" xfId="25" applyFont="1" applyAlignment="1" applyProtection="1">
      <alignment horizontal="left" vertical="center"/>
      <protection locked="0"/>
    </xf>
    <xf numFmtId="0" fontId="225" fillId="0" borderId="0" xfId="25" applyFont="1" applyAlignment="1" applyProtection="1">
      <alignment horizontal="left" vertical="center"/>
      <protection locked="0"/>
    </xf>
    <xf numFmtId="0" fontId="226" fillId="0" borderId="0" xfId="25" applyFont="1" applyAlignment="1" applyProtection="1">
      <alignment horizontal="right" vertical="center"/>
      <protection locked="0"/>
    </xf>
    <xf numFmtId="0" fontId="95" fillId="0" borderId="0" xfId="25" applyFont="1" applyAlignment="1" applyProtection="1">
      <alignment horizontal="left" vertical="top"/>
      <protection locked="0"/>
    </xf>
    <xf numFmtId="0" fontId="38" fillId="0" borderId="0" xfId="48" applyFont="1" applyAlignment="1">
      <alignment horizontal="right" vertical="center"/>
      <protection locked="0"/>
    </xf>
    <xf numFmtId="0" fontId="53" fillId="0" borderId="0" xfId="37" applyFont="1" applyAlignment="1" applyProtection="1">
      <alignment horizontal="left" vertical="top"/>
      <protection locked="0"/>
    </xf>
    <xf numFmtId="0" fontId="133" fillId="0" borderId="0" xfId="48" applyFont="1" applyAlignment="1">
      <alignment horizontal="left" vertical="center"/>
      <protection locked="0"/>
    </xf>
    <xf numFmtId="0" fontId="103" fillId="0" borderId="0" xfId="25" applyFont="1" applyAlignment="1" applyProtection="1">
      <alignment horizontal="right" vertical="center"/>
      <protection locked="0"/>
    </xf>
    <xf numFmtId="39" fontId="66" fillId="0" borderId="0" xfId="25" applyNumberFormat="1" applyFont="1" applyAlignment="1" applyProtection="1">
      <alignment horizontal="right" vertical="center"/>
      <protection locked="0"/>
    </xf>
    <xf numFmtId="39" fontId="8" fillId="0" borderId="0" xfId="25" applyNumberFormat="1" applyFont="1" applyAlignment="1" applyProtection="1">
      <alignment horizontal="right" vertical="center"/>
      <protection locked="0"/>
    </xf>
    <xf numFmtId="39" fontId="28" fillId="0" borderId="0" xfId="25" applyNumberFormat="1" applyFont="1" applyAlignment="1" applyProtection="1">
      <alignment horizontal="right" vertical="center"/>
      <protection locked="0"/>
    </xf>
    <xf numFmtId="0" fontId="95" fillId="0" borderId="0" xfId="25" applyFont="1" applyAlignment="1">
      <alignment horizontal="left" vertical="center"/>
    </xf>
    <xf numFmtId="0" fontId="148" fillId="0" borderId="0" xfId="40" applyFont="1" applyAlignment="1">
      <alignment horizontal="right" vertical="center"/>
      <protection locked="0"/>
    </xf>
    <xf numFmtId="0" fontId="229" fillId="0" borderId="0" xfId="40" applyFont="1" applyAlignment="1">
      <alignment horizontal="left" vertical="center"/>
      <protection locked="0"/>
    </xf>
    <xf numFmtId="0" fontId="133" fillId="0" borderId="0" xfId="25" applyFont="1" applyAlignment="1" applyProtection="1">
      <alignment horizontal="left" vertical="center"/>
      <protection locked="0"/>
    </xf>
    <xf numFmtId="171" fontId="94" fillId="0" borderId="0" xfId="25" applyNumberFormat="1" applyFont="1" applyAlignment="1" applyProtection="1">
      <alignment horizontal="left" vertical="top"/>
      <protection locked="0"/>
    </xf>
    <xf numFmtId="0" fontId="133" fillId="0" borderId="0" xfId="37" applyFont="1" applyAlignment="1" applyProtection="1">
      <alignment horizontal="left" vertical="center"/>
      <protection locked="0"/>
    </xf>
    <xf numFmtId="0" fontId="7" fillId="0" borderId="0" xfId="25" applyAlignment="1" applyProtection="1">
      <alignment vertical="center"/>
      <protection locked="0"/>
    </xf>
    <xf numFmtId="0" fontId="120" fillId="0" borderId="0" xfId="25" applyFont="1" applyAlignment="1">
      <alignment vertical="center"/>
    </xf>
    <xf numFmtId="0" fontId="58" fillId="0" borderId="0" xfId="25" applyFont="1" applyAlignment="1">
      <alignment horizontal="right" vertical="center"/>
    </xf>
    <xf numFmtId="0" fontId="231" fillId="0" borderId="0" xfId="25" applyFont="1" applyAlignment="1" applyProtection="1">
      <alignment horizontal="right" vertical="center"/>
      <protection locked="0"/>
    </xf>
    <xf numFmtId="0" fontId="52" fillId="0" borderId="0" xfId="25" applyFont="1" applyAlignment="1" applyProtection="1">
      <alignment horizontal="left" vertical="center"/>
      <protection locked="0"/>
    </xf>
    <xf numFmtId="0" fontId="232" fillId="0" borderId="0" xfId="25" applyFont="1" applyAlignment="1" applyProtection="1">
      <alignment horizontal="right" vertical="center"/>
      <protection locked="0"/>
    </xf>
    <xf numFmtId="0" fontId="103" fillId="0" borderId="0" xfId="37" applyFont="1" applyAlignment="1">
      <alignment vertical="center"/>
    </xf>
    <xf numFmtId="0" fontId="38" fillId="0" borderId="0" xfId="37" applyAlignment="1">
      <alignment vertical="center"/>
    </xf>
    <xf numFmtId="0" fontId="32" fillId="0" borderId="0" xfId="37" applyFont="1" applyAlignment="1">
      <alignment vertical="center"/>
    </xf>
    <xf numFmtId="0" fontId="233" fillId="0" borderId="0" xfId="25" applyFont="1" applyAlignment="1" applyProtection="1">
      <alignment horizontal="left" vertical="center"/>
      <protection locked="0"/>
    </xf>
    <xf numFmtId="0" fontId="233" fillId="0" borderId="0" xfId="25" applyFont="1" applyAlignment="1" applyProtection="1">
      <alignment horizontal="right" vertical="center"/>
      <protection locked="0"/>
    </xf>
    <xf numFmtId="0" fontId="231" fillId="0" borderId="0" xfId="25" applyFont="1" applyAlignment="1" applyProtection="1">
      <alignment horizontal="left" vertical="center"/>
      <protection locked="0"/>
    </xf>
    <xf numFmtId="0" fontId="10" fillId="0" borderId="0" xfId="8" applyAlignment="1">
      <alignment vertical="center"/>
    </xf>
    <xf numFmtId="0" fontId="133" fillId="0" borderId="0" xfId="25" applyFont="1" applyAlignment="1" applyProtection="1">
      <alignment horizontal="left" vertical="top"/>
      <protection locked="0"/>
    </xf>
    <xf numFmtId="0" fontId="234" fillId="0" borderId="0" xfId="37" applyFont="1" applyAlignment="1" applyProtection="1">
      <alignment horizontal="left" vertical="center"/>
      <protection locked="0"/>
    </xf>
    <xf numFmtId="4" fontId="7" fillId="0" borderId="0" xfId="25" applyNumberFormat="1" applyAlignment="1" applyProtection="1">
      <alignment horizontal="left" vertical="center"/>
      <protection locked="0"/>
    </xf>
    <xf numFmtId="6" fontId="7" fillId="0" borderId="0" xfId="25" applyNumberFormat="1" applyAlignment="1" applyProtection="1">
      <alignment vertical="top"/>
      <protection locked="0"/>
    </xf>
    <xf numFmtId="0" fontId="235" fillId="0" borderId="0" xfId="25" applyFont="1" applyAlignment="1" applyProtection="1">
      <alignment horizontal="left" vertical="center"/>
      <protection locked="0"/>
    </xf>
    <xf numFmtId="0" fontId="231" fillId="0" borderId="0" xfId="40" applyFont="1" applyAlignment="1">
      <alignment horizontal="left" vertical="center"/>
      <protection locked="0"/>
    </xf>
    <xf numFmtId="0" fontId="232" fillId="0" borderId="0" xfId="40" applyFont="1" applyAlignment="1">
      <alignment horizontal="right" vertical="center"/>
      <protection locked="0"/>
    </xf>
    <xf numFmtId="0" fontId="231" fillId="0" borderId="0" xfId="40" applyFont="1" applyAlignment="1">
      <alignment horizontal="right" vertical="center"/>
      <protection locked="0"/>
    </xf>
    <xf numFmtId="0" fontId="133" fillId="0" borderId="0" xfId="40" applyFont="1" applyAlignment="1">
      <alignment horizontal="left" vertical="top"/>
      <protection locked="0"/>
    </xf>
    <xf numFmtId="0" fontId="95" fillId="0" borderId="0" xfId="0" applyFont="1" applyAlignment="1" applyProtection="1">
      <alignment horizontal="left" vertical="center"/>
    </xf>
    <xf numFmtId="0" fontId="0" fillId="0" borderId="0" xfId="0" applyAlignment="1" applyProtection="1">
      <alignment vertical="center"/>
    </xf>
    <xf numFmtId="0" fontId="95" fillId="0" borderId="0" xfId="0" applyFont="1" applyAlignment="1">
      <alignment horizontal="left" vertical="center"/>
      <protection locked="0"/>
    </xf>
    <xf numFmtId="0" fontId="133" fillId="0" borderId="0" xfId="0" applyFont="1" applyAlignment="1">
      <alignment horizontal="left" vertical="top"/>
      <protection locked="0"/>
    </xf>
    <xf numFmtId="0" fontId="3" fillId="0" borderId="0" xfId="71" applyFont="1" applyAlignment="1" applyProtection="1">
      <alignment horizontal="left" vertical="top"/>
      <protection locked="0"/>
    </xf>
    <xf numFmtId="0" fontId="95" fillId="0" borderId="0" xfId="71" applyFont="1" applyAlignment="1" applyProtection="1">
      <alignment horizontal="left" vertical="center"/>
      <protection locked="0"/>
    </xf>
    <xf numFmtId="0" fontId="7" fillId="0" borderId="0" xfId="71" applyAlignment="1" applyProtection="1">
      <alignment horizontal="left" vertical="center"/>
      <protection locked="0"/>
    </xf>
    <xf numFmtId="0" fontId="3" fillId="0" borderId="0" xfId="71" applyFont="1" applyAlignment="1" applyProtection="1">
      <alignment horizontal="left" vertical="center"/>
      <protection locked="0"/>
    </xf>
    <xf numFmtId="39" fontId="7" fillId="0" borderId="0" xfId="75" applyNumberFormat="1" applyAlignment="1" applyProtection="1">
      <alignment horizontal="left" vertical="top"/>
      <protection locked="0"/>
    </xf>
    <xf numFmtId="0" fontId="95" fillId="0" borderId="0" xfId="75" applyFont="1" applyAlignment="1" applyProtection="1">
      <alignment horizontal="left" vertical="center"/>
      <protection locked="0"/>
    </xf>
    <xf numFmtId="0" fontId="95" fillId="0" borderId="0" xfId="75" applyFont="1" applyAlignment="1" applyProtection="1">
      <alignment horizontal="left" vertical="top"/>
      <protection locked="0"/>
    </xf>
    <xf numFmtId="0" fontId="241" fillId="0" borderId="0" xfId="25" applyFont="1" applyAlignment="1" applyProtection="1">
      <alignment horizontal="left" vertical="center"/>
      <protection locked="0"/>
    </xf>
    <xf numFmtId="171" fontId="233" fillId="0" borderId="0" xfId="25" applyNumberFormat="1" applyFont="1" applyAlignment="1" applyProtection="1">
      <alignment horizontal="right" vertical="center"/>
      <protection locked="0"/>
    </xf>
    <xf numFmtId="0" fontId="82" fillId="0" borderId="0" xfId="25" applyFont="1" applyAlignment="1">
      <alignment horizontal="right"/>
    </xf>
    <xf numFmtId="0" fontId="11" fillId="0" borderId="0" xfId="25" applyFont="1" applyAlignment="1" applyProtection="1">
      <alignment horizontal="right" vertical="top"/>
      <protection locked="0"/>
    </xf>
    <xf numFmtId="0" fontId="171" fillId="0" borderId="0" xfId="25" applyFont="1" applyAlignment="1" applyProtection="1">
      <alignment horizontal="left" vertical="center"/>
      <protection locked="0"/>
    </xf>
    <xf numFmtId="0" fontId="7" fillId="0" borderId="0" xfId="25" applyAlignment="1">
      <alignment vertical="top"/>
    </xf>
    <xf numFmtId="0" fontId="231" fillId="0" borderId="0" xfId="25" applyFont="1" applyAlignment="1">
      <alignment vertical="top"/>
    </xf>
    <xf numFmtId="0" fontId="242" fillId="0" borderId="0" xfId="25" applyFont="1" applyAlignment="1">
      <alignment vertical="center"/>
    </xf>
    <xf numFmtId="0" fontId="231" fillId="0" borderId="0" xfId="25" applyFont="1"/>
    <xf numFmtId="0" fontId="7" fillId="0" borderId="0" xfId="25" applyAlignment="1">
      <alignment horizontal="right"/>
    </xf>
    <xf numFmtId="0" fontId="32" fillId="0" borderId="0" xfId="25" applyFont="1" applyAlignment="1" applyProtection="1">
      <alignment vertical="top"/>
      <protection locked="0"/>
    </xf>
    <xf numFmtId="0" fontId="32" fillId="0" borderId="0" xfId="25" applyFont="1" applyAlignment="1" applyProtection="1">
      <alignment vertical="center"/>
      <protection locked="0"/>
    </xf>
    <xf numFmtId="0" fontId="236" fillId="0" borderId="0" xfId="25" applyFont="1" applyAlignment="1" applyProtection="1">
      <alignment horizontal="left" vertical="top"/>
      <protection locked="0"/>
    </xf>
    <xf numFmtId="0" fontId="243" fillId="0" borderId="0" xfId="25" applyFont="1" applyAlignment="1" applyProtection="1">
      <alignment horizontal="left" vertical="center"/>
      <protection locked="0"/>
    </xf>
    <xf numFmtId="0" fontId="82" fillId="0" borderId="0" xfId="25" applyFont="1" applyAlignment="1" applyProtection="1">
      <alignment horizontal="left" vertical="center"/>
      <protection locked="0"/>
    </xf>
    <xf numFmtId="0" fontId="244" fillId="0" borderId="0" xfId="25" applyFont="1" applyAlignment="1" applyProtection="1">
      <alignment horizontal="left" vertical="center"/>
      <protection locked="0"/>
    </xf>
    <xf numFmtId="2" fontId="52" fillId="0" borderId="0" xfId="25" applyNumberFormat="1" applyFont="1" applyAlignment="1" applyProtection="1">
      <alignment horizontal="left" vertical="center"/>
      <protection locked="0"/>
    </xf>
    <xf numFmtId="167" fontId="133" fillId="0" borderId="0" xfId="25" applyNumberFormat="1" applyFont="1" applyAlignment="1" applyProtection="1">
      <alignment horizontal="left" vertical="center"/>
      <protection locked="0"/>
    </xf>
    <xf numFmtId="2" fontId="98" fillId="0" borderId="0" xfId="25" applyNumberFormat="1" applyFont="1" applyAlignment="1" applyProtection="1">
      <alignment horizontal="center" vertical="center"/>
      <protection locked="0"/>
    </xf>
    <xf numFmtId="0" fontId="4" fillId="0" borderId="0" xfId="25" applyFont="1" applyAlignment="1" applyProtection="1">
      <alignment horizontal="left" vertical="top"/>
      <protection locked="0"/>
    </xf>
    <xf numFmtId="0" fontId="95" fillId="0" borderId="0" xfId="71" applyFont="1" applyAlignment="1" applyProtection="1">
      <alignment horizontal="left" vertical="top"/>
      <protection locked="0"/>
    </xf>
    <xf numFmtId="0" fontId="94" fillId="0" borderId="0" xfId="37" applyFont="1" applyAlignment="1" applyProtection="1">
      <alignment horizontal="left" vertical="center"/>
      <protection locked="0"/>
    </xf>
    <xf numFmtId="6" fontId="7" fillId="0" borderId="0" xfId="25" applyNumberFormat="1" applyAlignment="1" applyProtection="1">
      <alignment horizontal="left" vertical="top"/>
      <protection locked="0"/>
    </xf>
    <xf numFmtId="0" fontId="171" fillId="0" borderId="0" xfId="25" applyFont="1" applyAlignment="1" applyProtection="1">
      <alignment horizontal="right" vertical="center"/>
      <protection locked="0"/>
    </xf>
    <xf numFmtId="0" fontId="94" fillId="0" borderId="0" xfId="63" applyFont="1" applyAlignment="1" applyProtection="1">
      <alignment horizontal="left" vertical="center"/>
      <protection locked="0"/>
    </xf>
    <xf numFmtId="0" fontId="245" fillId="0" borderId="0" xfId="63" applyFont="1" applyAlignment="1" applyProtection="1">
      <alignment horizontal="left" vertical="center"/>
      <protection locked="0"/>
    </xf>
    <xf numFmtId="0" fontId="245" fillId="0" borderId="0" xfId="63" applyFont="1" applyAlignment="1" applyProtection="1">
      <alignment horizontal="left" vertical="top"/>
      <protection locked="0"/>
    </xf>
    <xf numFmtId="0" fontId="16" fillId="0" borderId="0" xfId="8" applyFont="1"/>
    <xf numFmtId="0" fontId="246" fillId="0" borderId="0" xfId="25" applyFont="1" applyAlignment="1" applyProtection="1">
      <alignment horizontal="left" vertical="center"/>
      <protection locked="0"/>
    </xf>
    <xf numFmtId="0" fontId="247" fillId="0" borderId="0" xfId="25" applyFont="1" applyAlignment="1" applyProtection="1">
      <alignment horizontal="left" vertical="center"/>
      <protection locked="0"/>
    </xf>
    <xf numFmtId="0" fontId="81" fillId="0" borderId="0" xfId="28" applyFont="1" applyAlignment="1">
      <alignment horizontal="left" vertical="top"/>
      <protection locked="0"/>
    </xf>
    <xf numFmtId="0" fontId="10" fillId="0" borderId="0" xfId="8" applyAlignment="1">
      <alignment horizontal="right" vertical="center"/>
    </xf>
    <xf numFmtId="0" fontId="10" fillId="0" borderId="0" xfId="8" applyAlignment="1">
      <alignment horizontal="left" vertical="center"/>
    </xf>
    <xf numFmtId="0" fontId="144" fillId="0" borderId="0" xfId="8" applyFont="1" applyAlignment="1">
      <alignment horizontal="left" vertical="center"/>
    </xf>
    <xf numFmtId="0" fontId="247" fillId="0" borderId="0" xfId="37" applyFont="1" applyAlignment="1" applyProtection="1">
      <alignment horizontal="left" vertical="center"/>
      <protection locked="0"/>
    </xf>
    <xf numFmtId="0" fontId="52" fillId="0" borderId="0" xfId="37" applyFont="1" applyAlignment="1" applyProtection="1">
      <alignment horizontal="left" vertical="center"/>
      <protection locked="0"/>
    </xf>
    <xf numFmtId="0" fontId="231" fillId="0" borderId="0" xfId="25" applyFont="1" applyAlignment="1">
      <alignment vertical="center"/>
    </xf>
    <xf numFmtId="0" fontId="103" fillId="0" borderId="0" xfId="25" applyFont="1" applyAlignment="1">
      <alignment horizontal="right" vertical="center"/>
    </xf>
    <xf numFmtId="0" fontId="148" fillId="0" borderId="0" xfId="25" applyFont="1" applyAlignment="1" applyProtection="1">
      <alignment horizontal="right" vertical="center"/>
      <protection locked="0"/>
    </xf>
    <xf numFmtId="0" fontId="148" fillId="0" borderId="0" xfId="25" applyFont="1" applyAlignment="1" applyProtection="1">
      <alignment horizontal="left" vertical="top"/>
      <protection locked="0"/>
    </xf>
    <xf numFmtId="39" fontId="103" fillId="0" borderId="0" xfId="37" applyNumberFormat="1" applyFont="1" applyAlignment="1" applyProtection="1">
      <alignment horizontal="right" vertical="center"/>
      <protection locked="0"/>
    </xf>
    <xf numFmtId="39" fontId="244" fillId="0" borderId="0" xfId="37" applyNumberFormat="1" applyFont="1" applyAlignment="1" applyProtection="1">
      <alignment horizontal="left" vertical="center"/>
      <protection locked="0"/>
    </xf>
    <xf numFmtId="39" fontId="103" fillId="0" borderId="0" xfId="37" applyNumberFormat="1" applyFont="1" applyAlignment="1" applyProtection="1">
      <alignment horizontal="left" vertical="top"/>
      <protection locked="0"/>
    </xf>
    <xf numFmtId="37" fontId="66" fillId="0" borderId="125" xfId="34" applyNumberFormat="1" applyFont="1" applyBorder="1" applyAlignment="1" applyProtection="1">
      <alignment horizontal="right"/>
      <protection locked="0"/>
    </xf>
    <xf numFmtId="49" fontId="66" fillId="0" borderId="125" xfId="34" applyNumberFormat="1" applyFont="1" applyBorder="1" applyAlignment="1" applyProtection="1">
      <alignment horizontal="left" wrapText="1"/>
      <protection locked="0"/>
    </xf>
    <xf numFmtId="0" fontId="66" fillId="0" borderId="125" xfId="34" applyFont="1" applyBorder="1" applyAlignment="1" applyProtection="1">
      <alignment horizontal="left" wrapText="1"/>
      <protection locked="0"/>
    </xf>
    <xf numFmtId="167" fontId="28" fillId="0" borderId="125" xfId="34" applyNumberFormat="1" applyFont="1" applyBorder="1" applyAlignment="1" applyProtection="1">
      <alignment horizontal="right"/>
      <protection locked="0"/>
    </xf>
    <xf numFmtId="4" fontId="8" fillId="0" borderId="125" xfId="34" applyNumberFormat="1" applyFont="1" applyBorder="1" applyAlignment="1" applyProtection="1">
      <alignment horizontal="right"/>
      <protection locked="0"/>
    </xf>
    <xf numFmtId="0" fontId="37" fillId="0" borderId="125" xfId="71" applyFont="1" applyBorder="1" applyAlignment="1" applyProtection="1">
      <alignment horizontal="left" wrapText="1"/>
      <protection locked="0"/>
    </xf>
    <xf numFmtId="167" fontId="37" fillId="0" borderId="125" xfId="71" applyNumberFormat="1" applyFont="1" applyBorder="1" applyAlignment="1" applyProtection="1">
      <alignment horizontal="right"/>
      <protection locked="0"/>
    </xf>
    <xf numFmtId="39" fontId="37" fillId="0" borderId="125" xfId="71" applyNumberFormat="1" applyFont="1" applyBorder="1" applyAlignment="1" applyProtection="1">
      <alignment horizontal="right"/>
      <protection locked="0"/>
    </xf>
    <xf numFmtId="49" fontId="8" fillId="0" borderId="125" xfId="3" applyNumberFormat="1" applyFont="1" applyBorder="1" applyAlignment="1" applyProtection="1">
      <alignment horizontal="right" wrapText="1"/>
      <protection locked="0"/>
    </xf>
    <xf numFmtId="49" fontId="8" fillId="0" borderId="125" xfId="3" applyNumberFormat="1" applyFont="1" applyBorder="1" applyAlignment="1" applyProtection="1">
      <alignment horizontal="left" wrapText="1"/>
      <protection locked="0"/>
    </xf>
    <xf numFmtId="37" fontId="37" fillId="0" borderId="125" xfId="71" applyNumberFormat="1" applyFont="1" applyBorder="1" applyAlignment="1">
      <alignment horizontal="right"/>
    </xf>
    <xf numFmtId="0" fontId="37" fillId="0" borderId="125" xfId="71" applyFont="1" applyBorder="1" applyAlignment="1">
      <alignment horizontal="left" wrapText="1"/>
    </xf>
    <xf numFmtId="170" fontId="37" fillId="0" borderId="125" xfId="71" applyNumberFormat="1" applyFont="1" applyBorder="1" applyAlignment="1">
      <alignment horizontal="right"/>
    </xf>
    <xf numFmtId="39" fontId="37" fillId="0" borderId="125" xfId="71" applyNumberFormat="1" applyFont="1" applyBorder="1" applyAlignment="1">
      <alignment horizontal="right"/>
    </xf>
    <xf numFmtId="49" fontId="37" fillId="0" borderId="125" xfId="49" applyNumberFormat="1" applyFont="1" applyBorder="1" applyAlignment="1" applyProtection="1">
      <alignment horizontal="left" wrapText="1"/>
      <protection locked="0"/>
    </xf>
    <xf numFmtId="2" fontId="37" fillId="0" borderId="125" xfId="49" applyNumberFormat="1" applyFont="1" applyBorder="1" applyAlignment="1" applyProtection="1">
      <alignment horizontal="right"/>
      <protection locked="0"/>
    </xf>
    <xf numFmtId="0" fontId="73" fillId="0" borderId="125" xfId="32" applyFont="1" applyBorder="1" applyAlignment="1" applyProtection="1">
      <alignment horizontal="left" wrapText="1"/>
      <protection locked="0"/>
    </xf>
    <xf numFmtId="0" fontId="51" fillId="0" borderId="125" xfId="32" applyBorder="1" applyAlignment="1" applyProtection="1">
      <alignment horizontal="left" vertical="top"/>
      <protection locked="0"/>
    </xf>
    <xf numFmtId="0" fontId="8" fillId="0" borderId="125" xfId="32" applyFont="1" applyBorder="1" applyAlignment="1" applyProtection="1">
      <alignment horizontal="left" wrapText="1"/>
      <protection locked="0"/>
    </xf>
    <xf numFmtId="37" fontId="8" fillId="0" borderId="125" xfId="59" applyNumberFormat="1" applyFont="1" applyBorder="1" applyAlignment="1" applyProtection="1">
      <alignment horizontal="right"/>
      <protection locked="0"/>
    </xf>
    <xf numFmtId="0" fontId="8" fillId="0" borderId="125" xfId="59" applyFont="1" applyBorder="1" applyAlignment="1" applyProtection="1">
      <alignment horizontal="left" wrapText="1"/>
      <protection locked="0"/>
    </xf>
    <xf numFmtId="39" fontId="8" fillId="0" borderId="125" xfId="59" applyNumberFormat="1" applyFont="1" applyBorder="1" applyAlignment="1" applyProtection="1">
      <alignment horizontal="right"/>
      <protection locked="0"/>
    </xf>
    <xf numFmtId="0" fontId="28" fillId="0" borderId="125" xfId="59" applyFont="1" applyBorder="1" applyAlignment="1" applyProtection="1">
      <alignment horizontal="left" wrapText="1"/>
      <protection locked="0"/>
    </xf>
    <xf numFmtId="2" fontId="28" fillId="0" borderId="125" xfId="59" applyNumberFormat="1" applyFont="1" applyBorder="1" applyAlignment="1" applyProtection="1">
      <alignment horizontal="right"/>
      <protection locked="0"/>
    </xf>
    <xf numFmtId="37" fontId="37" fillId="0" borderId="125" xfId="71" applyNumberFormat="1" applyFont="1" applyBorder="1" applyAlignment="1" applyProtection="1">
      <alignment horizontal="right"/>
      <protection locked="0"/>
    </xf>
    <xf numFmtId="4" fontId="37" fillId="0" borderId="125" xfId="71" applyNumberFormat="1" applyFont="1" applyBorder="1" applyAlignment="1" applyProtection="1">
      <alignment horizontal="right"/>
      <protection locked="0"/>
    </xf>
    <xf numFmtId="37" fontId="8" fillId="0" borderId="125" xfId="63" applyNumberFormat="1" applyFont="1" applyBorder="1" applyAlignment="1" applyProtection="1">
      <alignment horizontal="right"/>
      <protection locked="0"/>
    </xf>
    <xf numFmtId="0" fontId="8" fillId="0" borderId="125" xfId="63" applyFont="1" applyBorder="1" applyAlignment="1" applyProtection="1">
      <alignment horizontal="left" wrapText="1"/>
      <protection locked="0"/>
    </xf>
    <xf numFmtId="39" fontId="8" fillId="0" borderId="125" xfId="63" applyNumberFormat="1" applyFont="1" applyBorder="1" applyAlignment="1" applyProtection="1">
      <alignment horizontal="right"/>
      <protection locked="0"/>
    </xf>
    <xf numFmtId="0" fontId="28" fillId="0" borderId="125" xfId="63" applyFont="1" applyBorder="1" applyAlignment="1" applyProtection="1">
      <alignment horizontal="left" wrapText="1"/>
      <protection locked="0"/>
    </xf>
    <xf numFmtId="167" fontId="28" fillId="0" borderId="125" xfId="63" applyNumberFormat="1" applyFont="1" applyBorder="1" applyAlignment="1" applyProtection="1">
      <alignment horizontal="right"/>
      <protection locked="0"/>
    </xf>
    <xf numFmtId="167" fontId="11" fillId="0" borderId="125" xfId="63" applyNumberFormat="1" applyFont="1" applyBorder="1" applyAlignment="1" applyProtection="1">
      <alignment horizontal="left" vertical="top"/>
      <protection locked="0"/>
    </xf>
    <xf numFmtId="37" fontId="8" fillId="0" borderId="30" xfId="63" applyNumberFormat="1" applyFont="1" applyBorder="1" applyAlignment="1" applyProtection="1">
      <alignment horizontal="right"/>
      <protection locked="0"/>
    </xf>
    <xf numFmtId="0" fontId="8" fillId="0" borderId="30" xfId="63" applyFont="1" applyBorder="1" applyAlignment="1" applyProtection="1">
      <alignment horizontal="left" wrapText="1"/>
      <protection locked="0"/>
    </xf>
    <xf numFmtId="39" fontId="8" fillId="0" borderId="30" xfId="63" applyNumberFormat="1" applyFont="1" applyBorder="1" applyAlignment="1" applyProtection="1">
      <alignment horizontal="right"/>
      <protection locked="0"/>
    </xf>
    <xf numFmtId="167" fontId="28" fillId="0" borderId="30" xfId="63" applyNumberFormat="1" applyFont="1" applyBorder="1" applyAlignment="1" applyProtection="1">
      <alignment horizontal="right"/>
      <protection locked="0"/>
    </xf>
    <xf numFmtId="4" fontId="8" fillId="0" borderId="30" xfId="71" applyNumberFormat="1" applyFont="1" applyBorder="1" applyAlignment="1" applyProtection="1">
      <alignment horizontal="right"/>
      <protection locked="0"/>
    </xf>
    <xf numFmtId="37" fontId="66" fillId="0" borderId="30" xfId="71" applyNumberFormat="1" applyFont="1" applyBorder="1" applyAlignment="1" applyProtection="1">
      <alignment horizontal="right"/>
      <protection locked="0"/>
    </xf>
    <xf numFmtId="0" fontId="66" fillId="0" borderId="30" xfId="71" applyFont="1" applyBorder="1" applyAlignment="1" applyProtection="1">
      <alignment horizontal="left" wrapText="1"/>
      <protection locked="0"/>
    </xf>
    <xf numFmtId="4" fontId="66" fillId="0" borderId="30" xfId="71" applyNumberFormat="1" applyFont="1" applyBorder="1" applyAlignment="1" applyProtection="1">
      <alignment horizontal="right"/>
      <protection locked="0"/>
    </xf>
    <xf numFmtId="4" fontId="37" fillId="0" borderId="30" xfId="71" applyNumberFormat="1" applyFont="1" applyBorder="1" applyAlignment="1" applyProtection="1">
      <alignment horizontal="right"/>
      <protection locked="0"/>
    </xf>
    <xf numFmtId="167" fontId="8" fillId="0" borderId="30" xfId="71" applyNumberFormat="1" applyFont="1" applyBorder="1" applyProtection="1">
      <protection locked="0"/>
    </xf>
    <xf numFmtId="4" fontId="28" fillId="0" borderId="30" xfId="71" applyNumberFormat="1" applyFont="1" applyBorder="1" applyAlignment="1" applyProtection="1">
      <alignment horizontal="right"/>
      <protection locked="0"/>
    </xf>
    <xf numFmtId="167" fontId="54" fillId="0" borderId="30" xfId="3" applyNumberFormat="1" applyFont="1" applyBorder="1" applyAlignment="1" applyProtection="1">
      <alignment horizontal="right"/>
      <protection locked="0"/>
    </xf>
    <xf numFmtId="167" fontId="28" fillId="0" borderId="30" xfId="71" applyNumberFormat="1" applyFont="1" applyBorder="1" applyProtection="1">
      <protection locked="0"/>
    </xf>
    <xf numFmtId="0" fontId="48" fillId="0" borderId="30" xfId="71" applyFont="1" applyBorder="1" applyAlignment="1" applyProtection="1">
      <alignment horizontal="left" wrapText="1"/>
      <protection locked="0"/>
    </xf>
    <xf numFmtId="4" fontId="48" fillId="0" borderId="30" xfId="71" applyNumberFormat="1" applyFont="1" applyBorder="1" applyAlignment="1" applyProtection="1">
      <alignment horizontal="right"/>
      <protection locked="0"/>
    </xf>
    <xf numFmtId="0" fontId="39" fillId="0" borderId="0" xfId="71" applyFont="1"/>
    <xf numFmtId="39" fontId="81" fillId="0" borderId="0" xfId="71" applyNumberFormat="1" applyFont="1"/>
    <xf numFmtId="0" fontId="64" fillId="0" borderId="0" xfId="71" applyFont="1" applyAlignment="1" applyProtection="1">
      <alignment horizontal="right" vertical="top"/>
      <protection locked="0"/>
    </xf>
    <xf numFmtId="0" fontId="70" fillId="0" borderId="0" xfId="71" applyFont="1" applyAlignment="1" applyProtection="1">
      <alignment horizontal="left" vertical="center"/>
      <protection locked="0"/>
    </xf>
    <xf numFmtId="172" fontId="70" fillId="0" borderId="0" xfId="71" applyNumberFormat="1" applyFont="1" applyAlignment="1">
      <alignment vertical="center"/>
    </xf>
    <xf numFmtId="39" fontId="7" fillId="0" borderId="0" xfId="71" applyNumberFormat="1" applyAlignment="1" applyProtection="1">
      <alignment horizontal="left" vertical="top"/>
      <protection locked="0"/>
    </xf>
    <xf numFmtId="4" fontId="76" fillId="0" borderId="0" xfId="71" applyNumberFormat="1" applyFont="1" applyAlignment="1" applyProtection="1">
      <alignment horizontal="center" vertical="center"/>
      <protection locked="0"/>
    </xf>
    <xf numFmtId="4" fontId="77" fillId="0" borderId="0" xfId="71" applyNumberFormat="1" applyFont="1" applyAlignment="1" applyProtection="1">
      <alignment horizontal="center" vertical="center"/>
      <protection locked="0"/>
    </xf>
    <xf numFmtId="0" fontId="106" fillId="0" borderId="0" xfId="71" applyFont="1" applyAlignment="1" applyProtection="1">
      <alignment horizontal="left" vertical="top"/>
      <protection locked="0"/>
    </xf>
    <xf numFmtId="167" fontId="109" fillId="0" borderId="0" xfId="3" applyNumberFormat="1" applyFont="1" applyAlignment="1">
      <alignment vertical="center"/>
    </xf>
    <xf numFmtId="0" fontId="109" fillId="0" borderId="0" xfId="3" applyFont="1" applyAlignment="1">
      <alignment vertical="center"/>
    </xf>
    <xf numFmtId="0" fontId="32" fillId="0" borderId="0" xfId="71" applyFont="1"/>
    <xf numFmtId="171" fontId="39" fillId="0" borderId="0" xfId="49" applyNumberFormat="1" applyFont="1" applyAlignment="1" applyProtection="1">
      <alignment horizontal="left" vertical="center"/>
      <protection locked="0"/>
    </xf>
    <xf numFmtId="0" fontId="52" fillId="0" borderId="0" xfId="32" applyFont="1" applyAlignment="1" applyProtection="1">
      <alignment horizontal="left" vertical="center"/>
      <protection locked="0"/>
    </xf>
    <xf numFmtId="0" fontId="107" fillId="0" borderId="0" xfId="32" applyFont="1" applyAlignment="1" applyProtection="1">
      <alignment horizontal="left" vertical="center"/>
      <protection locked="0"/>
    </xf>
    <xf numFmtId="0" fontId="107" fillId="0" borderId="0" xfId="32" applyFont="1" applyAlignment="1" applyProtection="1">
      <alignment horizontal="right" vertical="center"/>
      <protection locked="0"/>
    </xf>
    <xf numFmtId="167" fontId="64" fillId="0" borderId="0" xfId="32" applyNumberFormat="1" applyFont="1" applyAlignment="1" applyProtection="1">
      <alignment horizontal="left" vertical="top"/>
      <protection locked="0"/>
    </xf>
    <xf numFmtId="0" fontId="83" fillId="0" borderId="0" xfId="3" applyFont="1" applyAlignment="1">
      <alignment horizontal="right"/>
    </xf>
    <xf numFmtId="0" fontId="139" fillId="0" borderId="0" xfId="32" applyFont="1" applyAlignment="1" applyProtection="1">
      <alignment horizontal="left" vertical="center"/>
      <protection locked="0"/>
    </xf>
    <xf numFmtId="0" fontId="95" fillId="0" borderId="0" xfId="0" applyFont="1" applyAlignment="1">
      <alignment horizontal="left" vertical="top"/>
      <protection locked="0"/>
    </xf>
    <xf numFmtId="0" fontId="94" fillId="0" borderId="0" xfId="59" applyFont="1" applyAlignment="1" applyProtection="1">
      <alignment horizontal="left" vertical="top"/>
      <protection locked="0"/>
    </xf>
    <xf numFmtId="0" fontId="103" fillId="0" borderId="0" xfId="59" applyFont="1" applyAlignment="1" applyProtection="1">
      <alignment horizontal="right" vertical="center"/>
      <protection locked="0"/>
    </xf>
    <xf numFmtId="0" fontId="161" fillId="0" borderId="0" xfId="0" applyFont="1" applyAlignment="1">
      <alignment horizontal="right" vertical="center"/>
      <protection locked="0"/>
    </xf>
    <xf numFmtId="37" fontId="8" fillId="0" borderId="0" xfId="0" applyNumberFormat="1" applyFont="1" applyAlignment="1">
      <alignment horizontal="left" vertical="center"/>
      <protection locked="0"/>
    </xf>
    <xf numFmtId="0" fontId="37" fillId="0" borderId="0" xfId="0" applyFont="1" applyAlignment="1">
      <alignment horizontal="left" vertical="center" wrapText="1"/>
      <protection locked="0"/>
    </xf>
    <xf numFmtId="2" fontId="37" fillId="0" borderId="0" xfId="0" applyNumberFormat="1" applyFont="1" applyAlignment="1">
      <alignment horizontal="right" vertical="center"/>
      <protection locked="0"/>
    </xf>
    <xf numFmtId="39" fontId="37" fillId="0" borderId="0" xfId="0" applyNumberFormat="1" applyFont="1" applyAlignment="1">
      <alignment horizontal="right" vertical="center"/>
      <protection locked="0"/>
    </xf>
    <xf numFmtId="0" fontId="282" fillId="0" borderId="0" xfId="0" applyFont="1" applyAlignment="1">
      <alignment horizontal="center" vertical="center"/>
      <protection locked="0"/>
    </xf>
    <xf numFmtId="0" fontId="161" fillId="0" borderId="0" xfId="0" applyFont="1" applyAlignment="1">
      <alignment horizontal="center" vertical="center"/>
      <protection locked="0"/>
    </xf>
    <xf numFmtId="0" fontId="100" fillId="0" borderId="0" xfId="0" applyFont="1" applyAlignment="1">
      <alignment horizontal="right" vertical="center"/>
      <protection locked="0"/>
    </xf>
    <xf numFmtId="0" fontId="103" fillId="0" borderId="0" xfId="71" applyFont="1" applyAlignment="1" applyProtection="1">
      <alignment horizontal="left" vertical="top"/>
      <protection locked="0"/>
    </xf>
    <xf numFmtId="0" fontId="231" fillId="0" borderId="0" xfId="0" applyFont="1" applyAlignment="1">
      <alignment horizontal="right" vertical="center"/>
      <protection locked="0"/>
    </xf>
    <xf numFmtId="0" fontId="237" fillId="0" borderId="0" xfId="25" applyFont="1" applyAlignment="1" applyProtection="1">
      <alignment horizontal="left" vertical="center"/>
      <protection locked="0"/>
    </xf>
    <xf numFmtId="0" fontId="237" fillId="0" borderId="0" xfId="25" applyFont="1" applyAlignment="1" applyProtection="1">
      <alignment horizontal="left" vertical="top"/>
      <protection locked="0"/>
    </xf>
    <xf numFmtId="0" fontId="238" fillId="0" borderId="0" xfId="25" applyFont="1" applyAlignment="1" applyProtection="1">
      <alignment horizontal="left" vertical="top"/>
      <protection locked="0"/>
    </xf>
    <xf numFmtId="0" fontId="53" fillId="0" borderId="0" xfId="71" applyFont="1" applyAlignment="1" applyProtection="1">
      <alignment horizontal="center" vertical="top"/>
      <protection locked="0"/>
    </xf>
    <xf numFmtId="167" fontId="53" fillId="0" borderId="0" xfId="71" applyNumberFormat="1" applyFont="1" applyAlignment="1" applyProtection="1">
      <alignment horizontal="center" vertical="top"/>
      <protection locked="0"/>
    </xf>
    <xf numFmtId="39" fontId="10" fillId="0" borderId="0" xfId="3" applyNumberFormat="1"/>
    <xf numFmtId="4" fontId="10" fillId="0" borderId="0" xfId="3" applyNumberFormat="1"/>
    <xf numFmtId="2" fontId="11" fillId="0" borderId="0" xfId="63" applyNumberFormat="1" applyFont="1" applyAlignment="1" applyProtection="1">
      <alignment horizontal="left" vertical="top"/>
      <protection locked="0"/>
    </xf>
    <xf numFmtId="0" fontId="95" fillId="0" borderId="0" xfId="63" applyFont="1" applyAlignment="1" applyProtection="1">
      <alignment horizontal="left" vertical="center"/>
      <protection locked="0"/>
    </xf>
    <xf numFmtId="0" fontId="52" fillId="0" borderId="0" xfId="63" applyFont="1" applyAlignment="1" applyProtection="1">
      <alignment horizontal="left" vertical="top"/>
      <protection locked="0"/>
    </xf>
    <xf numFmtId="167" fontId="47" fillId="0" borderId="0" xfId="71" applyNumberFormat="1" applyFont="1" applyAlignment="1" applyProtection="1">
      <alignment horizontal="left" vertical="center"/>
      <protection locked="0"/>
    </xf>
    <xf numFmtId="0" fontId="83" fillId="0" borderId="0" xfId="3" applyFont="1" applyAlignment="1">
      <alignment horizontal="right" vertical="center"/>
    </xf>
    <xf numFmtId="0" fontId="81" fillId="0" borderId="0" xfId="71" applyFont="1" applyAlignment="1" applyProtection="1">
      <alignment horizontal="left" vertical="center"/>
      <protection locked="0"/>
    </xf>
    <xf numFmtId="0" fontId="39" fillId="0" borderId="0" xfId="71" applyFont="1" applyAlignment="1" applyProtection="1">
      <alignment horizontal="left" vertical="center"/>
      <protection locked="0"/>
    </xf>
    <xf numFmtId="6" fontId="7" fillId="0" borderId="0" xfId="71" applyNumberFormat="1" applyAlignment="1" applyProtection="1">
      <alignment horizontal="left" vertical="center"/>
      <protection locked="0"/>
    </xf>
    <xf numFmtId="167" fontId="11" fillId="0" borderId="125" xfId="0" applyNumberFormat="1" applyFont="1" applyBorder="1" applyAlignment="1">
      <alignment horizontal="left" vertical="top"/>
      <protection locked="0"/>
    </xf>
    <xf numFmtId="0" fontId="28" fillId="0" borderId="125" xfId="59" applyFont="1" applyBorder="1" applyAlignment="1" applyProtection="1">
      <alignment horizontal="left" vertical="center" wrapText="1"/>
      <protection locked="0"/>
    </xf>
    <xf numFmtId="0" fontId="43" fillId="0" borderId="125" xfId="48" applyFont="1" applyBorder="1" applyAlignment="1">
      <alignment horizontal="left" vertical="center" wrapText="1"/>
      <protection locked="0"/>
    </xf>
    <xf numFmtId="0" fontId="37" fillId="0" borderId="125" xfId="0" applyFont="1" applyBorder="1" applyAlignment="1">
      <alignment horizontal="left" vertical="center"/>
      <protection locked="0"/>
    </xf>
    <xf numFmtId="170" fontId="16" fillId="0" borderId="125" xfId="0" applyNumberFormat="1" applyFont="1" applyBorder="1" applyAlignment="1" applyProtection="1">
      <alignment horizontal="left"/>
    </xf>
    <xf numFmtId="170" fontId="37" fillId="0" borderId="125" xfId="0" applyNumberFormat="1" applyFont="1" applyBorder="1" applyAlignment="1" applyProtection="1">
      <alignment horizontal="right"/>
    </xf>
    <xf numFmtId="0" fontId="234" fillId="0" borderId="0" xfId="0" applyFont="1" applyAlignment="1">
      <alignment horizontal="left" vertical="center"/>
      <protection locked="0"/>
    </xf>
    <xf numFmtId="0" fontId="16" fillId="0" borderId="0" xfId="0" applyFont="1" applyAlignment="1" applyProtection="1">
      <alignment horizontal="left"/>
    </xf>
    <xf numFmtId="0" fontId="278" fillId="0" borderId="0" xfId="0" applyFont="1" applyAlignment="1">
      <alignment horizontal="left" vertical="center"/>
      <protection locked="0"/>
    </xf>
    <xf numFmtId="0" fontId="76" fillId="0" borderId="0" xfId="0" applyFont="1" applyAlignment="1" applyProtection="1"/>
    <xf numFmtId="0" fontId="83" fillId="0" borderId="0" xfId="0" applyFont="1" applyAlignment="1" applyProtection="1">
      <alignment horizontal="left"/>
    </xf>
    <xf numFmtId="0" fontId="279" fillId="0" borderId="68" xfId="0" applyFont="1" applyBorder="1" applyAlignment="1" applyProtection="1">
      <alignment horizontal="left" vertical="center"/>
    </xf>
    <xf numFmtId="2" fontId="82" fillId="0" borderId="0" xfId="0" applyNumberFormat="1" applyFont="1" applyAlignment="1">
      <alignment horizontal="left" vertical="center"/>
      <protection locked="0"/>
    </xf>
    <xf numFmtId="0" fontId="16" fillId="0" borderId="0" xfId="0" applyFont="1" applyAlignment="1">
      <alignment horizontal="left" vertical="top"/>
      <protection locked="0"/>
    </xf>
    <xf numFmtId="0" fontId="52" fillId="0" borderId="0" xfId="0" applyFont="1" applyAlignment="1">
      <alignment vertical="center"/>
      <protection locked="0"/>
    </xf>
    <xf numFmtId="6" fontId="27" fillId="0" borderId="0" xfId="0" applyNumberFormat="1" applyFont="1" applyAlignment="1">
      <alignment horizontal="left" vertical="center"/>
      <protection locked="0"/>
    </xf>
    <xf numFmtId="6" fontId="144" fillId="0" borderId="0" xfId="0" applyNumberFormat="1" applyFont="1" applyAlignment="1">
      <alignment horizontal="right" vertical="top"/>
      <protection locked="0"/>
    </xf>
    <xf numFmtId="0" fontId="43" fillId="0" borderId="0" xfId="0" applyFont="1" applyAlignment="1">
      <alignment vertical="center"/>
      <protection locked="0"/>
    </xf>
    <xf numFmtId="0" fontId="232" fillId="0" borderId="0" xfId="0" applyFont="1" applyAlignment="1">
      <alignment horizontal="left" vertical="center"/>
      <protection locked="0"/>
    </xf>
    <xf numFmtId="0" fontId="83" fillId="0" borderId="0" xfId="0" applyFont="1" applyAlignment="1">
      <alignment horizontal="left" vertical="top" wrapText="1"/>
      <protection locked="0"/>
    </xf>
    <xf numFmtId="0" fontId="16" fillId="0" borderId="0" xfId="0" applyFont="1" applyAlignment="1">
      <alignment horizontal="right" vertical="top"/>
      <protection locked="0"/>
    </xf>
    <xf numFmtId="0" fontId="299" fillId="0" borderId="0" xfId="0" applyFont="1" applyAlignment="1">
      <alignment horizontal="left" vertical="top"/>
      <protection locked="0"/>
    </xf>
    <xf numFmtId="0" fontId="76" fillId="0" borderId="0" xfId="0" applyFont="1" applyAlignment="1">
      <alignment horizontal="left" vertical="top"/>
      <protection locked="0"/>
    </xf>
    <xf numFmtId="0" fontId="52" fillId="0" borderId="0" xfId="0" applyFont="1" applyAlignment="1" applyProtection="1">
      <alignment vertical="center"/>
    </xf>
    <xf numFmtId="0" fontId="148" fillId="0" borderId="0" xfId="0" applyFont="1" applyAlignment="1">
      <alignment horizontal="left" vertical="center"/>
      <protection locked="0"/>
    </xf>
    <xf numFmtId="0" fontId="231" fillId="0" borderId="0" xfId="0" applyFont="1" applyAlignment="1" applyProtection="1">
      <alignment vertical="center"/>
    </xf>
    <xf numFmtId="0" fontId="59" fillId="0" borderId="0" xfId="0" applyFont="1" applyAlignment="1">
      <alignment horizontal="left" vertical="top"/>
      <protection locked="0"/>
    </xf>
    <xf numFmtId="0" fontId="103" fillId="0" borderId="0" xfId="0" applyFont="1" applyAlignment="1">
      <alignment horizontal="right" vertical="center"/>
      <protection locked="0"/>
    </xf>
    <xf numFmtId="0" fontId="243" fillId="0" borderId="0" xfId="0" applyFont="1" applyAlignment="1">
      <alignment horizontal="left" vertical="center"/>
      <protection locked="0"/>
    </xf>
    <xf numFmtId="0" fontId="59" fillId="0" borderId="0" xfId="0" applyFont="1" applyAlignment="1" applyProtection="1">
      <alignment vertical="top"/>
    </xf>
    <xf numFmtId="0" fontId="67" fillId="0" borderId="0" xfId="0" applyFont="1" applyAlignment="1" applyProtection="1"/>
    <xf numFmtId="0" fontId="16" fillId="0" borderId="0" xfId="0" applyFont="1" applyAlignment="1">
      <alignment horizontal="right"/>
      <protection locked="0"/>
    </xf>
    <xf numFmtId="0" fontId="8" fillId="0" borderId="0" xfId="0" applyFont="1" applyAlignment="1">
      <alignment horizontal="left" vertical="top"/>
      <protection locked="0"/>
    </xf>
    <xf numFmtId="0" fontId="82" fillId="0" borderId="0" xfId="0" applyFont="1" applyAlignment="1">
      <alignment horizontal="right" vertical="center"/>
      <protection locked="0"/>
    </xf>
    <xf numFmtId="0" fontId="82" fillId="0" borderId="0" xfId="0" applyFont="1" applyAlignment="1">
      <alignment horizontal="right" vertical="top"/>
      <protection locked="0"/>
    </xf>
    <xf numFmtId="0" fontId="83" fillId="0" borderId="0" xfId="0" applyFont="1" applyAlignment="1">
      <alignment horizontal="right" vertical="top"/>
      <protection locked="0"/>
    </xf>
    <xf numFmtId="0" fontId="82" fillId="0" borderId="0" xfId="0" applyFont="1" applyAlignment="1">
      <alignment horizontal="left" vertical="top"/>
      <protection locked="0"/>
    </xf>
    <xf numFmtId="39" fontId="233" fillId="0" borderId="0" xfId="63" applyNumberFormat="1" applyFont="1" applyAlignment="1" applyProtection="1">
      <alignment horizontal="right" vertical="center"/>
      <protection locked="0"/>
    </xf>
    <xf numFmtId="4" fontId="81" fillId="0" borderId="0" xfId="0" applyNumberFormat="1" applyFont="1" applyAlignment="1">
      <alignment horizontal="left" vertical="center"/>
      <protection locked="0"/>
    </xf>
    <xf numFmtId="0" fontId="82" fillId="0" borderId="0" xfId="68" applyFont="1" applyAlignment="1">
      <alignment horizontal="left" vertical="center"/>
      <protection locked="0"/>
    </xf>
    <xf numFmtId="0" fontId="16" fillId="0" borderId="0" xfId="68" applyFont="1" applyAlignment="1">
      <alignment horizontal="left" vertical="center"/>
      <protection locked="0"/>
    </xf>
    <xf numFmtId="0" fontId="52" fillId="0" borderId="0" xfId="68" applyFont="1" applyAlignment="1">
      <alignment horizontal="left" vertical="center"/>
      <protection locked="0"/>
    </xf>
    <xf numFmtId="0" fontId="67" fillId="0" borderId="0" xfId="68" applyAlignment="1" applyProtection="1">
      <alignment vertical="center"/>
    </xf>
    <xf numFmtId="0" fontId="16" fillId="0" borderId="0" xfId="68" applyFont="1" applyAlignment="1" applyProtection="1">
      <alignment horizontal="left" vertical="center"/>
    </xf>
    <xf numFmtId="0" fontId="67" fillId="0" borderId="0" xfId="68" applyAlignment="1">
      <alignment horizontal="left" vertical="center"/>
      <protection locked="0"/>
    </xf>
    <xf numFmtId="0" fontId="253" fillId="0" borderId="0" xfId="68" applyFont="1" applyAlignment="1">
      <alignment horizontal="right" vertical="center"/>
      <protection locked="0"/>
    </xf>
    <xf numFmtId="0" fontId="82" fillId="0" borderId="0" xfId="68" applyFont="1" applyAlignment="1">
      <alignment horizontal="right" vertical="center"/>
      <protection locked="0"/>
    </xf>
    <xf numFmtId="0" fontId="121" fillId="0" borderId="0" xfId="68" applyFont="1" applyAlignment="1">
      <alignment horizontal="center" vertical="center"/>
      <protection locked="0"/>
    </xf>
    <xf numFmtId="0" fontId="83" fillId="0" borderId="0" xfId="0" applyFont="1" applyAlignment="1">
      <alignment horizontal="left" vertical="top"/>
      <protection locked="0"/>
    </xf>
    <xf numFmtId="49" fontId="161" fillId="0" borderId="69" xfId="68" applyNumberFormat="1" applyFont="1" applyBorder="1" applyAlignment="1">
      <alignment horizontal="right" vertical="center" wrapText="1"/>
      <protection locked="0"/>
    </xf>
    <xf numFmtId="0" fontId="161" fillId="0" borderId="0" xfId="68" applyFont="1" applyAlignment="1">
      <alignment vertical="center"/>
      <protection locked="0"/>
    </xf>
    <xf numFmtId="0" fontId="67" fillId="0" borderId="0" xfId="68" applyAlignment="1">
      <alignment horizontal="right" vertical="center"/>
      <protection locked="0"/>
    </xf>
    <xf numFmtId="0" fontId="67" fillId="0" borderId="0" xfId="68" applyAlignment="1">
      <alignment horizontal="center" vertical="center"/>
      <protection locked="0"/>
    </xf>
    <xf numFmtId="39" fontId="66" fillId="0" borderId="0" xfId="0" applyNumberFormat="1" applyFont="1" applyAlignment="1">
      <alignment horizontal="right" vertical="center"/>
      <protection locked="0"/>
    </xf>
    <xf numFmtId="39" fontId="28" fillId="0" borderId="0" xfId="0" applyNumberFormat="1" applyFont="1" applyAlignment="1">
      <alignment horizontal="right" vertical="center"/>
      <protection locked="0"/>
    </xf>
    <xf numFmtId="0" fontId="16" fillId="0" borderId="0" xfId="0" applyFont="1" applyAlignment="1">
      <alignment horizontal="left" vertical="center"/>
      <protection locked="0"/>
    </xf>
    <xf numFmtId="0" fontId="82" fillId="0" borderId="0" xfId="0" applyFont="1" applyAlignment="1">
      <alignment horizontal="left" vertical="center"/>
      <protection locked="0"/>
    </xf>
    <xf numFmtId="0" fontId="82" fillId="0" borderId="0" xfId="0" applyFont="1" applyAlignment="1">
      <alignment vertical="center"/>
      <protection locked="0"/>
    </xf>
    <xf numFmtId="0" fontId="245" fillId="0" borderId="0" xfId="0" applyFont="1" applyAlignment="1">
      <alignment horizontal="left" vertical="center"/>
      <protection locked="0"/>
    </xf>
    <xf numFmtId="0" fontId="16" fillId="0" borderId="0" xfId="68" applyFont="1" applyAlignment="1">
      <alignment horizontal="left" vertical="top"/>
      <protection locked="0"/>
    </xf>
    <xf numFmtId="0" fontId="231" fillId="0" borderId="0" xfId="0" applyFont="1" applyAlignment="1" applyProtection="1"/>
    <xf numFmtId="0" fontId="95" fillId="0" borderId="0" xfId="0" applyFont="1" applyAlignment="1" applyProtection="1">
      <alignment horizontal="right"/>
    </xf>
    <xf numFmtId="0" fontId="52" fillId="0" borderId="0" xfId="0" applyFont="1" applyAlignment="1" applyProtection="1">
      <alignment horizontal="left" vertical="center"/>
    </xf>
    <xf numFmtId="0" fontId="82" fillId="0" borderId="0" xfId="0" applyFont="1" applyAlignment="1" applyProtection="1">
      <alignment vertical="center"/>
    </xf>
    <xf numFmtId="49" fontId="121" fillId="0" borderId="0" xfId="68" applyNumberFormat="1" applyFont="1" applyAlignment="1">
      <alignment horizontal="center" vertical="center"/>
      <protection locked="0"/>
    </xf>
    <xf numFmtId="0" fontId="95" fillId="0" borderId="0" xfId="0" applyFont="1" applyAlignment="1" applyProtection="1">
      <alignment horizontal="right" vertical="center"/>
    </xf>
    <xf numFmtId="0" fontId="8" fillId="0" borderId="0" xfId="68" applyFont="1" applyAlignment="1" applyProtection="1">
      <alignment horizontal="center" vertical="top"/>
    </xf>
    <xf numFmtId="0" fontId="96" fillId="0" borderId="0" xfId="0" applyFont="1" applyAlignment="1">
      <alignment horizontal="center" vertical="top"/>
      <protection locked="0"/>
    </xf>
    <xf numFmtId="0" fontId="95" fillId="0" borderId="0" xfId="0" applyFont="1" applyAlignment="1" applyProtection="1">
      <alignment vertical="center"/>
    </xf>
    <xf numFmtId="0" fontId="83" fillId="0" borderId="0" xfId="68" applyFont="1" applyAlignment="1">
      <alignment horizontal="center" vertical="center"/>
      <protection locked="0"/>
    </xf>
    <xf numFmtId="169" fontId="52" fillId="0" borderId="0" xfId="0" applyNumberFormat="1" applyFont="1" applyAlignment="1">
      <alignment vertical="center"/>
      <protection locked="0"/>
    </xf>
    <xf numFmtId="0" fontId="134" fillId="0" borderId="0" xfId="68" applyFont="1" applyAlignment="1">
      <alignment horizontal="center" vertical="center"/>
      <protection locked="0"/>
    </xf>
    <xf numFmtId="0" fontId="134" fillId="0" borderId="0" xfId="68" applyFont="1" applyAlignment="1">
      <alignment horizontal="left" vertical="center"/>
      <protection locked="0"/>
    </xf>
    <xf numFmtId="49" fontId="121" fillId="0" borderId="0" xfId="68" applyNumberFormat="1" applyFont="1" applyAlignment="1">
      <alignment horizontal="right" vertical="center"/>
      <protection locked="0"/>
    </xf>
    <xf numFmtId="0" fontId="230" fillId="0" borderId="0" xfId="97" applyFont="1" applyAlignment="1" applyProtection="1">
      <alignment horizontal="left" vertical="center"/>
      <protection locked="0"/>
    </xf>
    <xf numFmtId="6" fontId="53" fillId="0" borderId="0" xfId="97" applyNumberFormat="1" applyFont="1" applyAlignment="1" applyProtection="1">
      <alignment horizontal="left" vertical="top"/>
      <protection locked="0"/>
    </xf>
    <xf numFmtId="0" fontId="52" fillId="0" borderId="0" xfId="0" applyFont="1" applyAlignment="1" applyProtection="1">
      <alignment horizontal="right"/>
    </xf>
    <xf numFmtId="0" fontId="82" fillId="0" borderId="0" xfId="0" applyFont="1" applyAlignment="1" applyProtection="1">
      <alignment horizontal="right"/>
    </xf>
    <xf numFmtId="0" fontId="67" fillId="0" borderId="0" xfId="0" applyFont="1" applyAlignment="1">
      <alignment horizontal="right" vertical="top"/>
      <protection locked="0"/>
    </xf>
    <xf numFmtId="171" fontId="52" fillId="0" borderId="0" xfId="0" applyNumberFormat="1" applyFont="1" applyAlignment="1">
      <alignment vertical="center"/>
      <protection locked="0"/>
    </xf>
    <xf numFmtId="0" fontId="67" fillId="0" borderId="0" xfId="0" applyFont="1" applyAlignment="1" applyProtection="1">
      <alignment horizontal="right"/>
    </xf>
    <xf numFmtId="2" fontId="95" fillId="0" borderId="0" xfId="0" applyNumberFormat="1" applyFont="1" applyAlignment="1" applyProtection="1">
      <alignment vertical="center"/>
    </xf>
    <xf numFmtId="0" fontId="52" fillId="0" borderId="0" xfId="0" applyFont="1" applyAlignment="1" applyProtection="1">
      <alignment horizontal="right" vertical="center"/>
    </xf>
    <xf numFmtId="0" fontId="67" fillId="0" borderId="0" xfId="0" applyFont="1" applyAlignment="1" applyProtection="1">
      <alignment vertical="center"/>
    </xf>
    <xf numFmtId="9" fontId="0" fillId="0" borderId="0" xfId="0" applyNumberFormat="1" applyAlignment="1" applyProtection="1">
      <alignment horizontal="right" vertical="center"/>
    </xf>
    <xf numFmtId="0" fontId="82" fillId="0" borderId="0" xfId="0" applyFont="1" applyAlignment="1" applyProtection="1"/>
    <xf numFmtId="0" fontId="82" fillId="0" borderId="0" xfId="0" applyFont="1" applyAlignment="1" applyProtection="1">
      <alignment horizontal="right" vertical="center"/>
    </xf>
    <xf numFmtId="0" fontId="16" fillId="0" borderId="0" xfId="28" applyFont="1" applyAlignment="1">
      <alignment horizontal="left" vertical="top"/>
      <protection locked="0"/>
    </xf>
    <xf numFmtId="39" fontId="8" fillId="0" borderId="0" xfId="0" applyNumberFormat="1" applyFont="1" applyAlignment="1">
      <alignment horizontal="center" vertical="top"/>
      <protection locked="0"/>
    </xf>
    <xf numFmtId="0" fontId="67"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7" fillId="0" borderId="0" xfId="0" applyFont="1" applyAlignment="1" applyProtection="1">
      <alignment horizontal="right" vertical="center"/>
    </xf>
    <xf numFmtId="0" fontId="0" fillId="0" borderId="0" xfId="0" applyAlignment="1" applyProtection="1">
      <alignment horizontal="right" vertical="center"/>
    </xf>
    <xf numFmtId="0" fontId="286" fillId="0" borderId="0" xfId="0" applyFont="1" applyAlignment="1">
      <alignment horizontal="left" vertical="top"/>
      <protection locked="0"/>
    </xf>
    <xf numFmtId="0" fontId="8" fillId="0" borderId="0" xfId="0" applyFont="1" applyAlignment="1" applyProtection="1">
      <alignment horizontal="center" vertical="top"/>
    </xf>
    <xf numFmtId="2" fontId="154" fillId="0" borderId="0" xfId="0" applyNumberFormat="1" applyFont="1" applyAlignment="1" applyProtection="1">
      <alignment horizontal="center" vertical="center"/>
    </xf>
    <xf numFmtId="0" fontId="30" fillId="0" borderId="0" xfId="0" applyFont="1" applyAlignment="1" applyProtection="1"/>
    <xf numFmtId="2" fontId="0" fillId="0" borderId="0" xfId="0" applyNumberFormat="1" applyAlignment="1" applyProtection="1">
      <alignment horizontal="center" vertical="top"/>
    </xf>
    <xf numFmtId="0" fontId="164" fillId="0" borderId="0" xfId="0" applyFont="1" applyAlignment="1">
      <alignment horizontal="left" vertical="top"/>
      <protection locked="0"/>
    </xf>
    <xf numFmtId="0" fontId="10" fillId="0" borderId="0" xfId="0" applyFont="1" applyAlignment="1" applyProtection="1">
      <alignment horizontal="center" vertical="top"/>
    </xf>
    <xf numFmtId="2" fontId="10" fillId="0" borderId="0" xfId="0" applyNumberFormat="1" applyFont="1" applyAlignment="1" applyProtection="1">
      <alignment horizontal="center" vertical="top"/>
    </xf>
    <xf numFmtId="2" fontId="10" fillId="0" borderId="0" xfId="0" applyNumberFormat="1" applyFont="1" applyAlignment="1" applyProtection="1">
      <alignment horizontal="center" vertical="center"/>
    </xf>
    <xf numFmtId="0" fontId="301" fillId="0" borderId="0" xfId="0" applyFont="1" applyAlignment="1">
      <alignment horizontal="left" vertical="center"/>
      <protection locked="0"/>
    </xf>
    <xf numFmtId="0" fontId="81" fillId="0" borderId="0" xfId="0" applyFont="1" applyAlignment="1">
      <alignment horizontal="left" vertical="top"/>
      <protection locked="0"/>
    </xf>
    <xf numFmtId="0" fontId="16" fillId="0" borderId="0" xfId="0" applyFont="1" applyAlignment="1" applyProtection="1">
      <alignment horizontal="left" vertical="center"/>
    </xf>
    <xf numFmtId="0" fontId="286" fillId="0" borderId="0" xfId="0" applyFont="1" applyAlignment="1">
      <alignment horizontal="left" vertical="center"/>
      <protection locked="0"/>
    </xf>
    <xf numFmtId="0" fontId="95" fillId="0" borderId="0" xfId="0" applyFont="1" applyAlignment="1">
      <alignment horizontal="right" vertical="center"/>
      <protection locked="0"/>
    </xf>
    <xf numFmtId="0" fontId="11" fillId="0" borderId="0" xfId="28" applyAlignment="1">
      <alignment horizontal="left"/>
      <protection locked="0"/>
    </xf>
    <xf numFmtId="0" fontId="11" fillId="0" borderId="0" xfId="28" applyAlignment="1">
      <alignment horizontal="right"/>
      <protection locked="0"/>
    </xf>
    <xf numFmtId="0" fontId="122" fillId="0" borderId="0" xfId="0" applyFont="1" applyAlignment="1" applyProtection="1">
      <alignment horizontal="left"/>
    </xf>
    <xf numFmtId="0" fontId="82" fillId="0" borderId="0" xfId="28" applyFont="1" applyAlignment="1">
      <alignment horizontal="right"/>
      <protection locked="0"/>
    </xf>
    <xf numFmtId="0" fontId="83" fillId="0" borderId="0" xfId="0" applyFont="1" applyAlignment="1">
      <alignment horizontal="center" vertical="top"/>
      <protection locked="0"/>
    </xf>
    <xf numFmtId="0" fontId="16" fillId="0" borderId="0" xfId="0" applyFont="1" applyAlignment="1" applyProtection="1">
      <alignment horizontal="right"/>
    </xf>
    <xf numFmtId="0" fontId="82" fillId="0" borderId="0" xfId="0" applyFont="1" applyAlignment="1">
      <alignment horizontal="left"/>
      <protection locked="0"/>
    </xf>
    <xf numFmtId="0" fontId="37" fillId="0" borderId="0" xfId="0" applyFont="1" applyAlignment="1" applyProtection="1">
      <alignment horizontal="left" vertical="center"/>
    </xf>
    <xf numFmtId="171" fontId="16" fillId="0" borderId="0" xfId="0" applyNumberFormat="1" applyFont="1" applyAlignment="1">
      <alignment horizontal="left" vertical="top"/>
      <protection locked="0"/>
    </xf>
    <xf numFmtId="3" fontId="303" fillId="0" borderId="0" xfId="0" applyNumberFormat="1" applyFont="1" applyAlignment="1">
      <alignment horizontal="left" vertical="center"/>
      <protection locked="0"/>
    </xf>
    <xf numFmtId="3" fontId="136" fillId="0" borderId="0" xfId="0" applyNumberFormat="1" applyFont="1" applyAlignment="1">
      <alignment horizontal="left" vertical="center"/>
      <protection locked="0"/>
    </xf>
    <xf numFmtId="0" fontId="37" fillId="0" borderId="0" xfId="0" applyFont="1" applyAlignment="1" applyProtection="1">
      <alignment horizontal="right"/>
    </xf>
    <xf numFmtId="0" fontId="136" fillId="0" borderId="0" xfId="0" applyFont="1" applyAlignment="1">
      <alignment horizontal="left" vertical="center"/>
      <protection locked="0"/>
    </xf>
    <xf numFmtId="0" fontId="144" fillId="0" borderId="0" xfId="0" applyFont="1" applyAlignment="1" applyProtection="1">
      <alignment horizontal="right" vertical="center"/>
    </xf>
    <xf numFmtId="0" fontId="62" fillId="0" borderId="0" xfId="28" applyFont="1" applyAlignment="1">
      <alignment horizontal="left" vertical="center"/>
      <protection locked="0"/>
    </xf>
    <xf numFmtId="0" fontId="62" fillId="0" borderId="0" xfId="0" applyFont="1" applyAlignment="1">
      <alignment horizontal="left" vertical="top"/>
      <protection locked="0"/>
    </xf>
    <xf numFmtId="0" fontId="52" fillId="0" borderId="0" xfId="28" applyFont="1" applyAlignment="1">
      <alignment horizontal="left" vertical="top"/>
      <protection locked="0"/>
    </xf>
    <xf numFmtId="0" fontId="284" fillId="0" borderId="0" xfId="28" applyFont="1" applyAlignment="1">
      <alignment horizontal="left" vertical="center"/>
      <protection locked="0"/>
    </xf>
    <xf numFmtId="0" fontId="232" fillId="0" borderId="0" xfId="0" applyFont="1" applyAlignment="1">
      <alignment horizontal="right" vertical="center"/>
      <protection locked="0"/>
    </xf>
    <xf numFmtId="0" fontId="233" fillId="0" borderId="0" xfId="0" applyFont="1" applyAlignment="1">
      <alignment horizontal="left" vertical="center"/>
      <protection locked="0"/>
    </xf>
    <xf numFmtId="0" fontId="32" fillId="0" borderId="0" xfId="0" applyFont="1" applyAlignment="1">
      <alignment horizontal="left" vertical="center"/>
      <protection locked="0"/>
    </xf>
    <xf numFmtId="0" fontId="233" fillId="0" borderId="0" xfId="0" applyFont="1" applyAlignment="1">
      <alignment horizontal="right" vertical="center"/>
      <protection locked="0"/>
    </xf>
    <xf numFmtId="4" fontId="0" fillId="0" borderId="0" xfId="0" applyNumberFormat="1" applyAlignment="1">
      <alignment horizontal="left" vertical="center"/>
      <protection locked="0"/>
    </xf>
    <xf numFmtId="0" fontId="103" fillId="0" borderId="0" xfId="0" applyFont="1" applyAlignment="1">
      <alignment horizontal="left" vertical="center"/>
      <protection locked="0"/>
    </xf>
    <xf numFmtId="0" fontId="16" fillId="0" borderId="0" xfId="63" applyFont="1" applyAlignment="1" applyProtection="1">
      <alignment horizontal="left" vertical="top"/>
      <protection locked="0"/>
    </xf>
    <xf numFmtId="39" fontId="244" fillId="0" borderId="0" xfId="63" applyNumberFormat="1" applyFont="1" applyAlignment="1" applyProtection="1">
      <alignment horizontal="left" vertical="center"/>
      <protection locked="0"/>
    </xf>
    <xf numFmtId="0" fontId="294" fillId="0" borderId="0" xfId="63" applyFont="1" applyAlignment="1" applyProtection="1">
      <alignment horizontal="left" vertical="top"/>
      <protection locked="0"/>
    </xf>
    <xf numFmtId="0" fontId="165" fillId="0" borderId="0" xfId="63" applyFont="1" applyAlignment="1" applyProtection="1">
      <alignment horizontal="left" vertical="top"/>
      <protection locked="0"/>
    </xf>
    <xf numFmtId="39" fontId="103" fillId="0" borderId="0" xfId="63" applyNumberFormat="1" applyFont="1" applyAlignment="1" applyProtection="1">
      <alignment horizontal="left" vertical="top"/>
      <protection locked="0"/>
    </xf>
    <xf numFmtId="167" fontId="32" fillId="0" borderId="0" xfId="71" applyNumberFormat="1" applyFont="1"/>
    <xf numFmtId="0" fontId="165" fillId="0" borderId="0" xfId="71" applyFont="1" applyAlignment="1" applyProtection="1">
      <alignment horizontal="right" vertical="top"/>
      <protection locked="0"/>
    </xf>
    <xf numFmtId="0" fontId="32" fillId="0" borderId="0" xfId="71" applyFont="1" applyAlignment="1">
      <alignment vertical="center"/>
    </xf>
    <xf numFmtId="0" fontId="82" fillId="0" borderId="0" xfId="71" applyFont="1" applyAlignment="1" applyProtection="1">
      <alignment horizontal="left" vertical="center"/>
      <protection locked="0"/>
    </xf>
    <xf numFmtId="0" fontId="82" fillId="0" borderId="0" xfId="71" applyFont="1" applyAlignment="1" applyProtection="1">
      <alignment horizontal="left" vertical="top"/>
      <protection locked="0"/>
    </xf>
    <xf numFmtId="0" fontId="292" fillId="0" borderId="0" xfId="71" applyFont="1" applyAlignment="1" applyProtection="1">
      <alignment vertical="top"/>
      <protection locked="0"/>
    </xf>
    <xf numFmtId="0" fontId="67" fillId="0" borderId="0" xfId="71" applyFont="1" applyAlignment="1" applyProtection="1">
      <alignment horizontal="left" vertical="top"/>
      <protection locked="0"/>
    </xf>
    <xf numFmtId="0" fontId="67" fillId="0" borderId="0" xfId="71" applyFont="1" applyAlignment="1">
      <alignment vertical="center"/>
    </xf>
    <xf numFmtId="0" fontId="231" fillId="0" borderId="0" xfId="71" applyFont="1" applyAlignment="1">
      <alignment vertical="center"/>
    </xf>
    <xf numFmtId="6" fontId="7" fillId="0" borderId="0" xfId="71" applyNumberFormat="1"/>
    <xf numFmtId="0" fontId="10" fillId="0" borderId="0" xfId="71" applyFont="1" applyAlignment="1" applyProtection="1">
      <alignment horizontal="right"/>
      <protection locked="0"/>
    </xf>
    <xf numFmtId="0" fontId="7" fillId="0" borderId="0" xfId="71" applyAlignment="1" applyProtection="1">
      <alignment horizontal="right" vertical="top"/>
      <protection locked="0"/>
    </xf>
    <xf numFmtId="0" fontId="32" fillId="0" borderId="0" xfId="71" applyFont="1" applyAlignment="1" applyProtection="1">
      <alignment horizontal="left" vertical="top"/>
      <protection locked="0"/>
    </xf>
    <xf numFmtId="0" fontId="233" fillId="0" borderId="0" xfId="71" applyFont="1" applyAlignment="1" applyProtection="1">
      <alignment horizontal="left" vertical="top"/>
      <protection locked="0"/>
    </xf>
    <xf numFmtId="175" fontId="83" fillId="0" borderId="0" xfId="71" applyNumberFormat="1" applyFont="1" applyAlignment="1" applyProtection="1">
      <alignment horizontal="center" vertical="center"/>
      <protection locked="0"/>
    </xf>
    <xf numFmtId="2" fontId="294" fillId="0" borderId="0" xfId="71" applyNumberFormat="1" applyFont="1" applyAlignment="1" applyProtection="1">
      <alignment horizontal="left" vertical="center"/>
      <protection locked="0"/>
    </xf>
    <xf numFmtId="0" fontId="83" fillId="0" borderId="0" xfId="71" applyFont="1" applyAlignment="1" applyProtection="1">
      <alignment horizontal="center" vertical="center"/>
      <protection locked="0"/>
    </xf>
    <xf numFmtId="175" fontId="83" fillId="0" borderId="0" xfId="71" applyNumberFormat="1" applyFont="1" applyAlignment="1" applyProtection="1">
      <alignment horizontal="left" vertical="center"/>
      <protection locked="0"/>
    </xf>
    <xf numFmtId="175" fontId="83" fillId="0" borderId="0" xfId="71" applyNumberFormat="1" applyFont="1" applyAlignment="1" applyProtection="1">
      <alignment horizontal="right" vertical="center"/>
      <protection locked="0"/>
    </xf>
    <xf numFmtId="39" fontId="10" fillId="0" borderId="0" xfId="3" applyNumberFormat="1" applyAlignment="1">
      <alignment horizontal="center"/>
    </xf>
    <xf numFmtId="0" fontId="95" fillId="0" borderId="0" xfId="71" applyFont="1" applyAlignment="1">
      <alignment vertical="center"/>
    </xf>
    <xf numFmtId="0" fontId="65" fillId="0" borderId="0" xfId="35" applyFont="1" applyAlignment="1" applyProtection="1">
      <alignment vertical="center"/>
    </xf>
    <xf numFmtId="0" fontId="67" fillId="0" borderId="0" xfId="35" applyAlignment="1" applyProtection="1">
      <alignment vertical="center"/>
    </xf>
    <xf numFmtId="0" fontId="95" fillId="0" borderId="0" xfId="71" applyFont="1" applyAlignment="1" applyProtection="1">
      <alignment horizontal="right" vertical="center"/>
      <protection locked="0"/>
    </xf>
    <xf numFmtId="0" fontId="233" fillId="0" borderId="0" xfId="71" applyFont="1" applyAlignment="1" applyProtection="1">
      <alignment horizontal="right" vertical="center"/>
      <protection locked="0"/>
    </xf>
    <xf numFmtId="0" fontId="103" fillId="0" borderId="0" xfId="71" applyFont="1" applyAlignment="1" applyProtection="1">
      <alignment horizontal="right" vertical="center"/>
      <protection locked="0"/>
    </xf>
    <xf numFmtId="39" fontId="66" fillId="0" borderId="0" xfId="71" applyNumberFormat="1" applyFont="1" applyAlignment="1" applyProtection="1">
      <alignment horizontal="right" vertical="center"/>
      <protection locked="0"/>
    </xf>
    <xf numFmtId="39" fontId="8" fillId="0" borderId="0" xfId="71" applyNumberFormat="1" applyFont="1" applyAlignment="1" applyProtection="1">
      <alignment horizontal="right" vertical="center"/>
      <protection locked="0"/>
    </xf>
    <xf numFmtId="39" fontId="28" fillId="0" borderId="0" xfId="71" applyNumberFormat="1" applyFont="1" applyAlignment="1" applyProtection="1">
      <alignment horizontal="right" vertical="center"/>
      <protection locked="0"/>
    </xf>
    <xf numFmtId="0" fontId="94" fillId="0" borderId="0" xfId="71" applyFont="1" applyAlignment="1" applyProtection="1">
      <alignment horizontal="left" vertical="top"/>
      <protection locked="0"/>
    </xf>
    <xf numFmtId="0" fontId="52" fillId="0" borderId="0" xfId="35" applyFont="1" applyAlignment="1" applyProtection="1">
      <alignment vertical="center"/>
    </xf>
    <xf numFmtId="2" fontId="7" fillId="0" borderId="0" xfId="71" applyNumberFormat="1" applyAlignment="1" applyProtection="1">
      <alignment horizontal="left" vertical="top"/>
      <protection locked="0"/>
    </xf>
    <xf numFmtId="171" fontId="95" fillId="0" borderId="0" xfId="71" applyNumberFormat="1" applyFont="1" applyAlignment="1" applyProtection="1">
      <alignment vertical="center"/>
      <protection locked="0"/>
    </xf>
    <xf numFmtId="0" fontId="231" fillId="0" borderId="0" xfId="71" applyFont="1"/>
    <xf numFmtId="39" fontId="16" fillId="0" borderId="0" xfId="71" applyNumberFormat="1" applyFont="1" applyAlignment="1" applyProtection="1">
      <alignment horizontal="left" vertical="center"/>
      <protection locked="0"/>
    </xf>
    <xf numFmtId="0" fontId="7" fillId="0" borderId="0" xfId="71" applyAlignment="1" applyProtection="1">
      <alignment horizontal="center" vertical="top"/>
      <protection locked="0"/>
    </xf>
    <xf numFmtId="167" fontId="7" fillId="0" borderId="0" xfId="71" applyNumberFormat="1" applyAlignment="1" applyProtection="1">
      <alignment horizontal="center" vertical="top"/>
      <protection locked="0"/>
    </xf>
    <xf numFmtId="0" fontId="11" fillId="0" borderId="0" xfId="71" applyFont="1" applyAlignment="1" applyProtection="1">
      <alignment horizontal="center" vertical="top"/>
      <protection locked="0"/>
    </xf>
    <xf numFmtId="0" fontId="7" fillId="0" borderId="0" xfId="71" applyAlignment="1">
      <alignment vertical="center"/>
    </xf>
    <xf numFmtId="0" fontId="39" fillId="0" borderId="0" xfId="71" applyFont="1" applyAlignment="1">
      <alignment vertical="center"/>
    </xf>
    <xf numFmtId="0" fontId="10" fillId="0" borderId="0" xfId="60" applyFont="1" applyAlignment="1">
      <alignment horizontal="left" vertical="top"/>
      <protection locked="0"/>
    </xf>
    <xf numFmtId="0" fontId="65" fillId="0" borderId="0" xfId="71" applyFont="1"/>
    <xf numFmtId="0" fontId="16" fillId="0" borderId="0" xfId="3" applyFont="1" applyAlignment="1">
      <alignment horizontal="right"/>
    </xf>
    <xf numFmtId="0" fontId="10" fillId="0" borderId="0" xfId="3" applyAlignment="1">
      <alignment horizontal="center" vertical="center"/>
    </xf>
    <xf numFmtId="0" fontId="105" fillId="0" borderId="0" xfId="60" applyFont="1" applyAlignment="1">
      <alignment horizontal="center" vertical="center"/>
      <protection locked="0"/>
    </xf>
    <xf numFmtId="0" fontId="102" fillId="0" borderId="0" xfId="60" applyFont="1" applyAlignment="1">
      <alignment horizontal="center" vertical="center"/>
      <protection locked="0"/>
    </xf>
    <xf numFmtId="0" fontId="105" fillId="0" borderId="0" xfId="60" applyFont="1" applyAlignment="1">
      <alignment horizontal="left" vertical="center"/>
      <protection locked="0"/>
    </xf>
    <xf numFmtId="0" fontId="117" fillId="0" borderId="0" xfId="60" applyFont="1" applyAlignment="1">
      <alignment horizontal="left" vertical="center"/>
      <protection locked="0"/>
    </xf>
    <xf numFmtId="0" fontId="16" fillId="0" borderId="0" xfId="3" applyFont="1" applyAlignment="1">
      <alignment horizontal="right" vertical="center"/>
    </xf>
    <xf numFmtId="0" fontId="102" fillId="0" borderId="0" xfId="60" applyFont="1" applyAlignment="1">
      <alignment horizontal="right" vertical="center"/>
      <protection locked="0"/>
    </xf>
    <xf numFmtId="0" fontId="102" fillId="0" borderId="0" xfId="60" applyFont="1" applyAlignment="1">
      <alignment horizontal="left" vertical="center"/>
      <protection locked="0"/>
    </xf>
    <xf numFmtId="0" fontId="171" fillId="0" borderId="0" xfId="71" applyFont="1" applyAlignment="1">
      <alignment vertical="center"/>
    </xf>
    <xf numFmtId="39" fontId="8" fillId="0" borderId="0" xfId="60" applyNumberFormat="1" applyFont="1" applyAlignment="1">
      <alignment horizontal="left"/>
      <protection locked="0"/>
    </xf>
    <xf numFmtId="0" fontId="16" fillId="0" borderId="39" xfId="3" applyFont="1" applyBorder="1" applyAlignment="1">
      <alignment horizontal="right"/>
    </xf>
    <xf numFmtId="39" fontId="8" fillId="0" borderId="39" xfId="60" applyNumberFormat="1" applyFont="1" applyBorder="1" applyAlignment="1">
      <alignment horizontal="left"/>
      <protection locked="0"/>
    </xf>
    <xf numFmtId="0" fontId="65" fillId="0" borderId="0" xfId="71" applyFont="1" applyAlignment="1">
      <alignment vertical="center"/>
    </xf>
    <xf numFmtId="0" fontId="10" fillId="0" borderId="0" xfId="60" applyFont="1" applyAlignment="1">
      <alignment horizontal="left"/>
      <protection locked="0"/>
    </xf>
    <xf numFmtId="175" fontId="43" fillId="0" borderId="0" xfId="71" applyNumberFormat="1" applyFont="1" applyAlignment="1">
      <alignment horizontal="center" vertical="center"/>
    </xf>
    <xf numFmtId="0" fontId="65" fillId="0" borderId="0" xfId="71" applyFont="1" applyAlignment="1">
      <alignment horizontal="right"/>
    </xf>
    <xf numFmtId="0" fontId="82" fillId="0" borderId="0" xfId="60" applyFont="1" applyAlignment="1">
      <alignment horizontal="left" vertical="center"/>
      <protection locked="0"/>
    </xf>
    <xf numFmtId="0" fontId="249" fillId="0" borderId="0" xfId="71" applyFont="1" applyAlignment="1">
      <alignment horizontal="center" vertical="center"/>
    </xf>
    <xf numFmtId="0" fontId="16" fillId="0" borderId="0" xfId="3" applyFont="1" applyAlignment="1">
      <alignment horizontal="left" vertical="center"/>
    </xf>
    <xf numFmtId="0" fontId="7" fillId="0" borderId="0" xfId="71" applyAlignment="1" applyProtection="1">
      <alignment horizontal="right" vertical="center"/>
      <protection locked="0"/>
    </xf>
    <xf numFmtId="0" fontId="253" fillId="0" borderId="0" xfId="71" applyFont="1" applyAlignment="1">
      <alignment horizontal="right" vertical="center"/>
    </xf>
    <xf numFmtId="0" fontId="148" fillId="0" borderId="0" xfId="6" applyFont="1" applyAlignment="1" applyProtection="1">
      <alignment horizontal="left" vertical="center"/>
      <protection locked="0"/>
    </xf>
    <xf numFmtId="0" fontId="253" fillId="0" borderId="0" xfId="6" applyFont="1" applyAlignment="1" applyProtection="1">
      <alignment horizontal="left" vertical="top"/>
      <protection locked="0"/>
    </xf>
    <xf numFmtId="0" fontId="12" fillId="0" borderId="0" xfId="6" applyAlignment="1" applyProtection="1">
      <alignment horizontal="left" vertical="center"/>
      <protection locked="0"/>
    </xf>
    <xf numFmtId="0" fontId="231" fillId="0" borderId="0" xfId="71" applyFont="1" applyAlignment="1" applyProtection="1">
      <alignment horizontal="right" vertical="center"/>
      <protection locked="0"/>
    </xf>
    <xf numFmtId="0" fontId="232" fillId="0" borderId="0" xfId="71" applyFont="1" applyAlignment="1" applyProtection="1">
      <alignment horizontal="right" vertical="center"/>
      <protection locked="0"/>
    </xf>
    <xf numFmtId="0" fontId="233" fillId="0" borderId="0" xfId="71" applyFont="1" applyAlignment="1" applyProtection="1">
      <alignment horizontal="left" vertical="center"/>
      <protection locked="0"/>
    </xf>
    <xf numFmtId="0" fontId="32" fillId="0" borderId="0" xfId="71" applyFont="1" applyAlignment="1" applyProtection="1">
      <alignment horizontal="left" vertical="center"/>
      <protection locked="0"/>
    </xf>
    <xf numFmtId="4" fontId="7" fillId="0" borderId="0" xfId="71" applyNumberFormat="1" applyAlignment="1" applyProtection="1">
      <alignment horizontal="left" vertical="center"/>
      <protection locked="0"/>
    </xf>
    <xf numFmtId="0" fontId="103" fillId="0" borderId="0" xfId="71" applyFont="1" applyAlignment="1" applyProtection="1">
      <alignment horizontal="left" vertical="center"/>
      <protection locked="0"/>
    </xf>
    <xf numFmtId="0" fontId="236" fillId="0" borderId="0" xfId="71" applyFont="1" applyAlignment="1" applyProtection="1">
      <alignment horizontal="left" vertical="top"/>
      <protection locked="0"/>
    </xf>
    <xf numFmtId="0" fontId="237" fillId="0" borderId="0" xfId="71" applyFont="1" applyAlignment="1" applyProtection="1">
      <alignment horizontal="left" vertical="center"/>
      <protection locked="0"/>
    </xf>
    <xf numFmtId="0" fontId="237" fillId="0" borderId="0" xfId="71" applyFont="1" applyAlignment="1" applyProtection="1">
      <alignment horizontal="left" vertical="top"/>
      <protection locked="0"/>
    </xf>
    <xf numFmtId="0" fontId="238" fillId="0" borderId="0" xfId="71" applyFont="1" applyAlignment="1" applyProtection="1">
      <alignment horizontal="left" vertical="top"/>
      <protection locked="0"/>
    </xf>
    <xf numFmtId="0" fontId="73" fillId="0" borderId="0" xfId="35" applyFont="1" applyAlignment="1" applyProtection="1">
      <alignment horizontal="center" vertical="center"/>
    </xf>
    <xf numFmtId="0" fontId="37" fillId="0" borderId="0" xfId="35" applyFont="1" applyAlignment="1" applyProtection="1"/>
    <xf numFmtId="167" fontId="83" fillId="0" borderId="0" xfId="35" applyNumberFormat="1" applyFont="1" applyAlignment="1" applyProtection="1">
      <alignment horizontal="center" vertical="center"/>
    </xf>
    <xf numFmtId="167" fontId="249" fillId="0" borderId="0" xfId="35" applyNumberFormat="1" applyFont="1" applyAlignment="1" applyProtection="1">
      <alignment horizontal="center" vertical="center"/>
    </xf>
    <xf numFmtId="167" fontId="16" fillId="0" borderId="0" xfId="35" applyNumberFormat="1" applyFont="1" applyAlignment="1" applyProtection="1"/>
    <xf numFmtId="2" fontId="16" fillId="0" borderId="0" xfId="3" applyNumberFormat="1" applyFont="1"/>
    <xf numFmtId="6" fontId="16" fillId="0" borderId="39" xfId="35" applyNumberFormat="1" applyFont="1" applyBorder="1" applyAlignment="1" applyProtection="1">
      <alignment horizontal="right"/>
    </xf>
    <xf numFmtId="6" fontId="16" fillId="0" borderId="0" xfId="35" applyNumberFormat="1" applyFont="1" applyAlignment="1" applyProtection="1">
      <alignment horizontal="right"/>
    </xf>
    <xf numFmtId="0" fontId="52" fillId="0" borderId="0" xfId="35" applyFont="1" applyAlignment="1" applyProtection="1"/>
    <xf numFmtId="0" fontId="95" fillId="0" borderId="0" xfId="71" applyFont="1" applyAlignment="1">
      <alignment horizontal="left" vertical="center"/>
    </xf>
    <xf numFmtId="6" fontId="67" fillId="0" borderId="0" xfId="35" applyNumberFormat="1" applyAlignment="1" applyProtection="1">
      <alignment vertical="center"/>
    </xf>
    <xf numFmtId="0" fontId="148" fillId="0" borderId="0" xfId="35" applyFont="1" applyAlignment="1" applyProtection="1">
      <alignment vertical="center"/>
    </xf>
    <xf numFmtId="0" fontId="81" fillId="0" borderId="0" xfId="35" applyFont="1" applyAlignment="1" applyProtection="1">
      <alignment vertical="center"/>
    </xf>
    <xf numFmtId="0" fontId="80" fillId="0" borderId="0" xfId="35" applyFont="1" applyAlignment="1" applyProtection="1">
      <alignment horizontal="left" vertical="center"/>
    </xf>
    <xf numFmtId="180" fontId="37" fillId="0" borderId="0" xfId="35" applyNumberFormat="1" applyFont="1" applyAlignment="1" applyProtection="1">
      <alignment horizontal="center" vertical="center"/>
    </xf>
    <xf numFmtId="6" fontId="16" fillId="0" borderId="0" xfId="35" applyNumberFormat="1" applyFont="1" applyAlignment="1" applyProtection="1">
      <alignment horizontal="right" vertical="top" wrapText="1"/>
    </xf>
    <xf numFmtId="6" fontId="16" fillId="0" borderId="0" xfId="35" applyNumberFormat="1" applyFont="1" applyAlignment="1" applyProtection="1">
      <alignment horizontal="right" vertical="top"/>
    </xf>
    <xf numFmtId="180" fontId="43" fillId="0" borderId="0" xfId="35" applyNumberFormat="1" applyFont="1" applyAlignment="1" applyProtection="1">
      <alignment horizontal="center" vertical="center"/>
    </xf>
    <xf numFmtId="0" fontId="37" fillId="0" borderId="39" xfId="28" applyFont="1" applyBorder="1" applyAlignment="1">
      <alignment horizontal="left" vertical="center"/>
      <protection locked="0"/>
    </xf>
    <xf numFmtId="0" fontId="8" fillId="0" borderId="0" xfId="60" applyFont="1" applyAlignment="1" applyProtection="1"/>
    <xf numFmtId="0" fontId="8" fillId="0" borderId="0" xfId="28" applyFont="1" applyAlignment="1">
      <alignment horizontal="right" vertical="center"/>
      <protection locked="0"/>
    </xf>
    <xf numFmtId="0" fontId="95" fillId="0" borderId="0" xfId="28" applyFont="1" applyAlignment="1" applyProtection="1">
      <alignment horizontal="left" vertical="center"/>
    </xf>
    <xf numFmtId="0" fontId="52" fillId="0" borderId="0" xfId="60" applyFont="1" applyAlignment="1" applyProtection="1"/>
    <xf numFmtId="0" fontId="8" fillId="0" borderId="0" xfId="28" applyFont="1" applyAlignment="1">
      <alignment horizontal="left"/>
      <protection locked="0"/>
    </xf>
    <xf numFmtId="0" fontId="37" fillId="0" borderId="0" xfId="28" applyFont="1" applyAlignment="1">
      <alignment horizontal="left" vertical="center"/>
      <protection locked="0"/>
    </xf>
    <xf numFmtId="0" fontId="95" fillId="0" borderId="0" xfId="28" applyFont="1" applyAlignment="1" applyProtection="1">
      <alignment horizontal="right" vertical="center"/>
    </xf>
    <xf numFmtId="0" fontId="8" fillId="0" borderId="0" xfId="28" applyFont="1" applyAlignment="1">
      <alignment horizontal="left" vertical="center"/>
      <protection locked="0"/>
    </xf>
    <xf numFmtId="0" fontId="37" fillId="0" borderId="0" xfId="28" applyFont="1" applyAlignment="1">
      <alignment horizontal="right" vertical="center"/>
      <protection locked="0"/>
    </xf>
    <xf numFmtId="0" fontId="8" fillId="0" borderId="0" xfId="28" applyFont="1" applyAlignment="1" applyProtection="1"/>
    <xf numFmtId="0" fontId="122" fillId="0" borderId="0" xfId="28" applyFont="1" applyAlignment="1">
      <alignment horizontal="left" vertical="center"/>
      <protection locked="0"/>
    </xf>
    <xf numFmtId="0" fontId="16" fillId="0" borderId="0" xfId="28" applyFont="1" applyAlignment="1" applyProtection="1">
      <alignment horizontal="right"/>
    </xf>
    <xf numFmtId="0" fontId="10" fillId="0" borderId="0" xfId="28" applyFont="1" applyAlignment="1">
      <alignment horizontal="left" vertical="center"/>
      <protection locked="0"/>
    </xf>
    <xf numFmtId="39" fontId="96" fillId="0" borderId="0" xfId="0" applyNumberFormat="1" applyFont="1" applyAlignment="1">
      <alignment horizontal="right"/>
      <protection locked="0"/>
    </xf>
    <xf numFmtId="4" fontId="8" fillId="0" borderId="15" xfId="30" applyNumberFormat="1" applyFont="1" applyBorder="1" applyAlignment="1" applyProtection="1">
      <alignment horizontal="right"/>
      <protection locked="0"/>
    </xf>
    <xf numFmtId="0" fontId="277" fillId="0" borderId="0" xfId="0" applyFont="1" applyAlignment="1">
      <alignment horizontal="left" vertical="center"/>
      <protection locked="0"/>
    </xf>
    <xf numFmtId="2" fontId="0" fillId="0" borderId="0" xfId="0" applyNumberFormat="1" applyAlignment="1">
      <alignment horizontal="left" vertical="top"/>
      <protection locked="0"/>
    </xf>
    <xf numFmtId="0" fontId="148" fillId="0" borderId="0" xfId="0" applyFont="1" applyAlignment="1">
      <alignment horizontal="right" vertical="center"/>
      <protection locked="0"/>
    </xf>
    <xf numFmtId="0" fontId="281" fillId="0" borderId="0" xfId="0" applyFont="1" applyAlignment="1">
      <alignment horizontal="left" vertical="top"/>
      <protection locked="0"/>
    </xf>
    <xf numFmtId="2" fontId="282" fillId="0" borderId="0" xfId="0" applyNumberFormat="1" applyFont="1" applyAlignment="1">
      <alignment vertical="center"/>
      <protection locked="0"/>
    </xf>
    <xf numFmtId="0" fontId="161" fillId="0" borderId="0" xfId="0" applyFont="1" applyAlignment="1">
      <alignment horizontal="left" vertical="center"/>
      <protection locked="0"/>
    </xf>
    <xf numFmtId="0" fontId="100" fillId="0" borderId="0" xfId="0" applyFont="1" applyAlignment="1">
      <alignment horizontal="left" vertical="center"/>
      <protection locked="0"/>
    </xf>
    <xf numFmtId="0" fontId="103" fillId="0" borderId="0" xfId="0" applyFont="1" applyAlignment="1">
      <alignment horizontal="right" vertical="top"/>
      <protection locked="0"/>
    </xf>
    <xf numFmtId="2" fontId="282" fillId="0" borderId="0" xfId="0" applyNumberFormat="1" applyFont="1" applyAlignment="1">
      <alignment horizontal="left" vertical="center"/>
      <protection locked="0"/>
    </xf>
    <xf numFmtId="2" fontId="62" fillId="0" borderId="0" xfId="0" applyNumberFormat="1" applyFont="1" applyAlignment="1">
      <alignment horizontal="left" vertical="center"/>
      <protection locked="0"/>
    </xf>
    <xf numFmtId="0" fontId="133" fillId="0" borderId="0" xfId="28" applyFont="1" applyAlignment="1">
      <alignment horizontal="right" vertical="center"/>
      <protection locked="0"/>
    </xf>
    <xf numFmtId="0" fontId="52" fillId="0" borderId="0" xfId="0" applyFont="1" applyAlignment="1">
      <alignment horizontal="right" vertical="center"/>
      <protection locked="0"/>
    </xf>
    <xf numFmtId="0" fontId="133" fillId="0" borderId="0" xfId="28" applyFont="1" applyAlignment="1">
      <alignment horizontal="left" vertical="center"/>
      <protection locked="0"/>
    </xf>
    <xf numFmtId="39" fontId="103" fillId="0" borderId="0" xfId="63" applyNumberFormat="1" applyFont="1" applyAlignment="1" applyProtection="1">
      <alignment horizontal="right" vertical="center"/>
      <protection locked="0"/>
    </xf>
    <xf numFmtId="2" fontId="52" fillId="0" borderId="0" xfId="0" applyNumberFormat="1" applyFont="1" applyAlignment="1">
      <alignment horizontal="left" vertical="center"/>
      <protection locked="0"/>
    </xf>
    <xf numFmtId="0" fontId="157" fillId="0" borderId="0" xfId="28" applyFont="1" applyAlignment="1">
      <alignment horizontal="left"/>
      <protection locked="0"/>
    </xf>
    <xf numFmtId="0" fontId="0" fillId="0" borderId="0" xfId="0" applyAlignment="1">
      <protection locked="0"/>
    </xf>
    <xf numFmtId="0" fontId="283" fillId="0" borderId="0" xfId="28" applyFont="1" applyAlignment="1">
      <alignment horizontal="left"/>
      <protection locked="0"/>
    </xf>
    <xf numFmtId="0" fontId="82" fillId="0" borderId="0" xfId="28" applyFont="1" applyAlignment="1">
      <alignment horizontal="left" vertical="center"/>
      <protection locked="0"/>
    </xf>
    <xf numFmtId="0" fontId="157" fillId="0" borderId="0" xfId="28" applyFont="1" applyAlignment="1">
      <alignment horizontal="left" vertical="center"/>
      <protection locked="0"/>
    </xf>
    <xf numFmtId="0" fontId="283" fillId="0" borderId="0" xfId="28" applyFont="1" applyAlignment="1">
      <alignment horizontal="left" vertical="center"/>
      <protection locked="0"/>
    </xf>
    <xf numFmtId="0" fontId="81" fillId="0" borderId="0" xfId="0" applyFont="1" applyAlignment="1" applyProtection="1">
      <alignment vertical="center"/>
    </xf>
    <xf numFmtId="0" fontId="103" fillId="0" borderId="0" xfId="0" applyFont="1" applyAlignment="1">
      <alignment horizontal="left" vertical="top"/>
      <protection locked="0"/>
    </xf>
    <xf numFmtId="0" fontId="231" fillId="0" borderId="0" xfId="0" applyFont="1" applyAlignment="1">
      <alignment horizontal="left" vertical="center"/>
      <protection locked="0"/>
    </xf>
    <xf numFmtId="0" fontId="52" fillId="0" borderId="0" xfId="0" applyFont="1" applyAlignment="1">
      <alignment horizontal="left" vertical="top"/>
      <protection locked="0"/>
    </xf>
    <xf numFmtId="0" fontId="62" fillId="0" borderId="0" xfId="0" applyFont="1" applyAlignment="1">
      <alignment horizontal="left" vertical="center"/>
      <protection locked="0"/>
    </xf>
    <xf numFmtId="0" fontId="236" fillId="0" borderId="0" xfId="0" applyFont="1" applyAlignment="1">
      <alignment horizontal="left" vertical="top"/>
      <protection locked="0"/>
    </xf>
    <xf numFmtId="169" fontId="82" fillId="0" borderId="0" xfId="68" applyNumberFormat="1" applyFont="1" applyAlignment="1">
      <alignment horizontal="left" vertical="center"/>
      <protection locked="0"/>
    </xf>
    <xf numFmtId="4" fontId="67" fillId="0" borderId="0" xfId="68" applyNumberFormat="1" applyAlignment="1" applyProtection="1">
      <alignment vertical="center"/>
    </xf>
    <xf numFmtId="167" fontId="8" fillId="0" borderId="15" xfId="0" applyNumberFormat="1" applyFont="1" applyBorder="1" applyAlignment="1">
      <alignment horizontal="right"/>
      <protection locked="0"/>
    </xf>
    <xf numFmtId="4" fontId="8" fillId="0" borderId="15" xfId="0" applyNumberFormat="1" applyFont="1" applyBorder="1" applyAlignment="1">
      <alignment horizontal="right"/>
      <protection locked="0"/>
    </xf>
    <xf numFmtId="167" fontId="37" fillId="0" borderId="15" xfId="0" applyNumberFormat="1" applyFont="1" applyBorder="1" applyAlignment="1">
      <alignment horizontal="right"/>
      <protection locked="0"/>
    </xf>
    <xf numFmtId="0" fontId="49" fillId="0" borderId="15" xfId="0" applyFont="1" applyBorder="1" applyAlignment="1" applyProtection="1"/>
    <xf numFmtId="167" fontId="49" fillId="0" borderId="15" xfId="0" applyNumberFormat="1" applyFont="1" applyBorder="1" applyAlignment="1" applyProtection="1"/>
    <xf numFmtId="0" fontId="53" fillId="0" borderId="15" xfId="0" applyFont="1" applyBorder="1" applyAlignment="1">
      <alignment horizontal="left" vertical="top"/>
      <protection locked="0"/>
    </xf>
    <xf numFmtId="167" fontId="53" fillId="0" borderId="0" xfId="0" applyNumberFormat="1" applyFont="1" applyAlignment="1">
      <alignment horizontal="left" vertical="top"/>
      <protection locked="0"/>
    </xf>
    <xf numFmtId="0" fontId="50" fillId="0" borderId="15" xfId="0" applyFont="1" applyBorder="1" applyAlignment="1">
      <alignment horizontal="left" wrapText="1"/>
      <protection locked="0"/>
    </xf>
    <xf numFmtId="167" fontId="53" fillId="0" borderId="15" xfId="0" applyNumberFormat="1" applyFont="1" applyBorder="1" applyAlignment="1">
      <alignment horizontal="left" vertical="top"/>
      <protection locked="0"/>
    </xf>
    <xf numFmtId="0" fontId="9" fillId="0" borderId="15" xfId="21" applyFont="1" applyBorder="1" applyAlignment="1">
      <alignment vertical="center"/>
    </xf>
    <xf numFmtId="0" fontId="287" fillId="0" borderId="15" xfId="0" applyFont="1" applyBorder="1" applyAlignment="1">
      <alignment horizontal="left" wrapText="1"/>
      <protection locked="0"/>
    </xf>
    <xf numFmtId="167" fontId="28" fillId="0" borderId="15" xfId="0" applyNumberFormat="1" applyFont="1" applyBorder="1" applyAlignment="1">
      <alignment horizontal="right" wrapText="1"/>
      <protection locked="0"/>
    </xf>
    <xf numFmtId="0" fontId="96" fillId="0" borderId="15" xfId="0" applyFont="1" applyBorder="1" applyAlignment="1">
      <alignment horizontal="left" wrapText="1"/>
      <protection locked="0"/>
    </xf>
    <xf numFmtId="167" fontId="50" fillId="0" borderId="15" xfId="0" applyNumberFormat="1" applyFont="1" applyBorder="1" applyAlignment="1">
      <alignment horizontal="left" wrapText="1"/>
      <protection locked="0"/>
    </xf>
    <xf numFmtId="167" fontId="96" fillId="0" borderId="15" xfId="0" applyNumberFormat="1" applyFont="1" applyBorder="1" applyAlignment="1">
      <alignment horizontal="left" wrapText="1"/>
      <protection locked="0"/>
    </xf>
    <xf numFmtId="0" fontId="74" fillId="0" borderId="15" xfId="80" applyFont="1" applyBorder="1" applyAlignment="1" applyProtection="1">
      <alignment vertical="center" wrapText="1"/>
    </xf>
    <xf numFmtId="0" fontId="8" fillId="0" borderId="15" xfId="82" applyFont="1" applyBorder="1" applyAlignment="1" applyProtection="1">
      <alignment horizontal="left" wrapText="1"/>
    </xf>
    <xf numFmtId="0" fontId="8" fillId="0" borderId="15" xfId="82" applyFont="1" applyBorder="1" applyAlignment="1">
      <alignment horizontal="left" wrapText="1"/>
      <protection locked="0"/>
    </xf>
    <xf numFmtId="167" fontId="8" fillId="0" borderId="15" xfId="82" applyNumberFormat="1" applyFont="1" applyBorder="1" applyAlignment="1">
      <alignment horizontal="right"/>
      <protection locked="0"/>
    </xf>
    <xf numFmtId="0" fontId="28" fillId="0" borderId="15" xfId="82" applyFont="1" applyBorder="1" applyAlignment="1">
      <alignment horizontal="left" wrapText="1"/>
      <protection locked="0"/>
    </xf>
    <xf numFmtId="167" fontId="28" fillId="0" borderId="15" xfId="82" applyNumberFormat="1" applyFont="1" applyBorder="1" applyAlignment="1">
      <alignment horizontal="right"/>
      <protection locked="0"/>
    </xf>
    <xf numFmtId="0" fontId="74" fillId="0" borderId="15" xfId="0" applyFont="1" applyBorder="1" applyAlignment="1" applyProtection="1">
      <alignment wrapText="1"/>
    </xf>
    <xf numFmtId="1" fontId="8" fillId="0" borderId="0" xfId="73" applyNumberFormat="1" applyFont="1" applyAlignment="1">
      <alignment horizontal="right"/>
      <protection locked="0"/>
    </xf>
    <xf numFmtId="0" fontId="9" fillId="0" borderId="15" xfId="80" applyFont="1" applyBorder="1" applyAlignment="1" applyProtection="1"/>
    <xf numFmtId="167" fontId="8" fillId="0" borderId="15" xfId="80" applyNumberFormat="1" applyFont="1" applyBorder="1" applyAlignment="1">
      <alignment horizontal="right" wrapText="1"/>
      <protection locked="0"/>
    </xf>
    <xf numFmtId="37" fontId="8" fillId="0" borderId="15" xfId="82" applyNumberFormat="1" applyFont="1" applyBorder="1" applyAlignment="1">
      <alignment horizontal="right"/>
      <protection locked="0"/>
    </xf>
    <xf numFmtId="2" fontId="49" fillId="0" borderId="15" xfId="0" applyNumberFormat="1" applyFont="1" applyBorder="1" applyAlignment="1" applyProtection="1"/>
    <xf numFmtId="2" fontId="28" fillId="0" borderId="15" xfId="82" applyNumberFormat="1" applyFont="1" applyBorder="1" applyAlignment="1">
      <alignment horizontal="right"/>
      <protection locked="0"/>
    </xf>
    <xf numFmtId="37" fontId="66" fillId="0" borderId="30" xfId="6" applyNumberFormat="1" applyFont="1" applyBorder="1" applyAlignment="1" applyProtection="1">
      <alignment horizontal="right"/>
      <protection locked="0"/>
    </xf>
    <xf numFmtId="49" fontId="66" fillId="0" borderId="30" xfId="6" applyNumberFormat="1" applyFont="1" applyBorder="1" applyAlignment="1" applyProtection="1">
      <alignment horizontal="left" wrapText="1"/>
      <protection locked="0"/>
    </xf>
    <xf numFmtId="0" fontId="66" fillId="0" borderId="30" xfId="6" applyFont="1" applyBorder="1" applyAlignment="1" applyProtection="1">
      <alignment horizontal="left" wrapText="1"/>
      <protection locked="0"/>
    </xf>
    <xf numFmtId="0" fontId="28" fillId="0" borderId="30" xfId="6" applyFont="1" applyBorder="1" applyAlignment="1" applyProtection="1">
      <alignment horizontal="left" wrapText="1"/>
      <protection locked="0"/>
    </xf>
    <xf numFmtId="2" fontId="28" fillId="0" borderId="30" xfId="6" applyNumberFormat="1" applyFont="1" applyBorder="1" applyAlignment="1" applyProtection="1">
      <alignment horizontal="right"/>
      <protection locked="0"/>
    </xf>
    <xf numFmtId="4" fontId="8" fillId="0" borderId="30" xfId="6" applyNumberFormat="1" applyFont="1" applyBorder="1" applyAlignment="1" applyProtection="1">
      <alignment horizontal="right"/>
      <protection locked="0"/>
    </xf>
    <xf numFmtId="167" fontId="8" fillId="0" borderId="15" xfId="80" applyNumberFormat="1" applyFont="1" applyBorder="1" applyAlignment="1">
      <alignment horizontal="right"/>
      <protection locked="0"/>
    </xf>
    <xf numFmtId="167" fontId="72" fillId="0" borderId="15" xfId="80" applyNumberFormat="1" applyFont="1" applyBorder="1" applyAlignment="1">
      <alignment horizontal="right" wrapText="1"/>
      <protection locked="0"/>
    </xf>
    <xf numFmtId="167" fontId="53" fillId="0" borderId="0" xfId="80" applyNumberFormat="1" applyFont="1" applyAlignment="1">
      <alignment horizontal="left" vertical="top"/>
      <protection locked="0"/>
    </xf>
    <xf numFmtId="0" fontId="9" fillId="0" borderId="15" xfId="21" applyFont="1" applyBorder="1"/>
    <xf numFmtId="49" fontId="49" fillId="0" borderId="129" xfId="24" applyNumberFormat="1" applyFont="1" applyBorder="1" applyAlignment="1">
      <alignment horizontal="left"/>
    </xf>
    <xf numFmtId="0" fontId="8" fillId="0" borderId="129" xfId="24" applyFont="1" applyBorder="1" applyAlignment="1" applyProtection="1">
      <alignment horizontal="left" wrapText="1"/>
      <protection locked="0"/>
    </xf>
    <xf numFmtId="4" fontId="8" fillId="0" borderId="125" xfId="24" applyNumberFormat="1" applyFont="1" applyBorder="1" applyAlignment="1" applyProtection="1">
      <alignment horizontal="right"/>
      <protection locked="0"/>
    </xf>
    <xf numFmtId="0" fontId="257" fillId="0" borderId="129" xfId="24" applyFont="1" applyBorder="1" applyAlignment="1">
      <alignment wrapText="1"/>
    </xf>
    <xf numFmtId="0" fontId="74" fillId="0" borderId="139" xfId="80" applyFont="1" applyBorder="1" applyAlignment="1" applyProtection="1">
      <alignment wrapText="1"/>
    </xf>
    <xf numFmtId="0" fontId="9" fillId="0" borderId="15" xfId="80" applyFont="1" applyBorder="1" applyAlignment="1" applyProtection="1">
      <alignment wrapText="1"/>
    </xf>
    <xf numFmtId="1" fontId="8" fillId="0" borderId="15" xfId="71" applyNumberFormat="1" applyFont="1" applyBorder="1" applyAlignment="1" applyProtection="1">
      <alignment horizontal="right"/>
      <protection locked="0"/>
    </xf>
    <xf numFmtId="0" fontId="8" fillId="0" borderId="15" xfId="71" applyFont="1" applyBorder="1" applyAlignment="1" applyProtection="1">
      <alignment horizontal="left" wrapText="1"/>
      <protection locked="0"/>
    </xf>
    <xf numFmtId="0" fontId="74" fillId="0" borderId="15" xfId="71" applyFont="1" applyBorder="1" applyAlignment="1">
      <alignment vertical="center" wrapText="1"/>
    </xf>
    <xf numFmtId="4" fontId="72" fillId="0" borderId="15" xfId="71" applyNumberFormat="1" applyFont="1" applyBorder="1" applyAlignment="1" applyProtection="1">
      <alignment horizontal="right" wrapText="1"/>
      <protection locked="0"/>
    </xf>
    <xf numFmtId="4" fontId="8" fillId="0" borderId="15" xfId="71" applyNumberFormat="1" applyFont="1" applyBorder="1" applyAlignment="1" applyProtection="1">
      <alignment horizontal="right"/>
      <protection locked="0"/>
    </xf>
    <xf numFmtId="37" fontId="8" fillId="0" borderId="129" xfId="0" applyNumberFormat="1" applyFont="1" applyBorder="1" applyAlignment="1">
      <alignment horizontal="right"/>
      <protection locked="0"/>
    </xf>
    <xf numFmtId="49" fontId="8" fillId="0" borderId="129" xfId="92" applyNumberFormat="1" applyFont="1" applyBorder="1" applyAlignment="1">
      <alignment horizontal="left" wrapText="1"/>
      <protection locked="0"/>
    </xf>
    <xf numFmtId="39" fontId="66" fillId="0" borderId="0" xfId="0" applyNumberFormat="1" applyFont="1" applyAlignment="1">
      <alignment horizontal="right"/>
      <protection locked="0"/>
    </xf>
    <xf numFmtId="0" fontId="62" fillId="0" borderId="0" xfId="80" applyFont="1" applyAlignment="1">
      <alignment horizontal="left" vertical="center"/>
      <protection locked="0"/>
    </xf>
    <xf numFmtId="0" fontId="154" fillId="0" borderId="0" xfId="80" applyFont="1" applyAlignment="1">
      <alignment horizontal="left" vertical="center"/>
      <protection locked="0"/>
    </xf>
    <xf numFmtId="4" fontId="31" fillId="0" borderId="0" xfId="80" applyNumberFormat="1" applyAlignment="1">
      <alignment horizontal="left" vertical="top"/>
      <protection locked="0"/>
    </xf>
    <xf numFmtId="4" fontId="52" fillId="0" borderId="0" xfId="0" applyNumberFormat="1" applyFont="1" applyAlignment="1">
      <alignment horizontal="left" vertical="center"/>
      <protection locked="0"/>
    </xf>
    <xf numFmtId="2" fontId="154" fillId="0" borderId="0" xfId="80" applyNumberFormat="1" applyFont="1" applyAlignment="1">
      <alignment horizontal="center" vertical="center"/>
      <protection locked="0"/>
    </xf>
    <xf numFmtId="0" fontId="52" fillId="0" borderId="0" xfId="80" applyFont="1" applyAlignment="1">
      <alignment horizontal="left" vertical="top"/>
      <protection locked="0"/>
    </xf>
    <xf numFmtId="0" fontId="82" fillId="0" borderId="0" xfId="80" applyFont="1" applyAlignment="1">
      <alignment horizontal="left" vertical="center"/>
      <protection locked="0"/>
    </xf>
    <xf numFmtId="39" fontId="47" fillId="0" borderId="0" xfId="0" applyNumberFormat="1" applyFont="1" applyAlignment="1">
      <alignment horizontal="right" vertical="center"/>
      <protection locked="0"/>
    </xf>
    <xf numFmtId="39" fontId="8" fillId="0" borderId="0" xfId="0" applyNumberFormat="1" applyFont="1" applyAlignment="1">
      <alignment horizontal="left" vertical="top"/>
      <protection locked="0"/>
    </xf>
    <xf numFmtId="4" fontId="8" fillId="0" borderId="0" xfId="0" applyNumberFormat="1" applyFont="1" applyAlignment="1">
      <alignment horizontal="left" vertical="top"/>
      <protection locked="0"/>
    </xf>
    <xf numFmtId="0" fontId="52" fillId="0" borderId="0" xfId="37" applyFont="1" applyAlignment="1" applyProtection="1">
      <alignment horizontal="right" vertical="center"/>
      <protection locked="0"/>
    </xf>
    <xf numFmtId="0" fontId="82" fillId="0" borderId="0" xfId="37" applyFont="1" applyAlignment="1" applyProtection="1">
      <alignment horizontal="right" vertical="center"/>
      <protection locked="0"/>
    </xf>
    <xf numFmtId="0" fontId="82" fillId="0" borderId="0" xfId="37" applyFont="1" applyAlignment="1" applyProtection="1">
      <alignment horizontal="left" vertical="center"/>
      <protection locked="0"/>
    </xf>
    <xf numFmtId="0" fontId="253" fillId="0" borderId="0" xfId="0" applyFont="1" applyAlignment="1">
      <alignment horizontal="right" vertical="center"/>
      <protection locked="0"/>
    </xf>
    <xf numFmtId="0" fontId="53" fillId="0" borderId="0" xfId="0" applyFont="1" applyAlignment="1">
      <alignment horizontal="left" vertical="center"/>
      <protection locked="0"/>
    </xf>
    <xf numFmtId="4" fontId="49" fillId="0" borderId="15" xfId="0" applyNumberFormat="1" applyFont="1" applyBorder="1" applyAlignment="1" applyProtection="1"/>
    <xf numFmtId="4" fontId="28" fillId="0" borderId="15" xfId="0" applyNumberFormat="1" applyFont="1" applyBorder="1" applyAlignment="1">
      <alignment horizontal="right"/>
      <protection locked="0"/>
    </xf>
    <xf numFmtId="4" fontId="53" fillId="0" borderId="15" xfId="0" applyNumberFormat="1" applyFont="1" applyBorder="1" applyAlignment="1">
      <alignment horizontal="left" vertical="top"/>
      <protection locked="0"/>
    </xf>
    <xf numFmtId="0" fontId="114" fillId="0" borderId="0" xfId="0" applyFont="1" applyAlignment="1">
      <alignment horizontal="left" vertical="center"/>
      <protection locked="0"/>
    </xf>
    <xf numFmtId="167" fontId="0" fillId="0" borderId="0" xfId="0" applyNumberFormat="1" applyAlignment="1">
      <alignment horizontal="left" vertical="center"/>
      <protection locked="0"/>
    </xf>
    <xf numFmtId="0" fontId="260" fillId="0" borderId="0" xfId="0" applyFont="1" applyAlignment="1">
      <alignment horizontal="left" vertical="center"/>
      <protection locked="0"/>
    </xf>
    <xf numFmtId="0" fontId="98" fillId="0" borderId="0" xfId="0" applyFont="1" applyAlignment="1">
      <alignment horizontal="left" vertical="center"/>
      <protection locked="0"/>
    </xf>
    <xf numFmtId="4" fontId="53"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5" fillId="0" borderId="0" xfId="37" applyFont="1" applyAlignment="1" applyProtection="1">
      <alignment horizontal="right" vertical="center"/>
      <protection locked="0"/>
    </xf>
    <xf numFmtId="0" fontId="55" fillId="0" borderId="0" xfId="37" applyFont="1" applyAlignment="1">
      <alignment vertical="center"/>
    </xf>
    <xf numFmtId="0" fontId="256" fillId="0" borderId="0" xfId="37" applyFont="1" applyAlignment="1" applyProtection="1">
      <alignment horizontal="right" vertical="center"/>
      <protection locked="0"/>
    </xf>
    <xf numFmtId="39" fontId="37" fillId="0" borderId="129" xfId="82" applyNumberFormat="1" applyFont="1" applyBorder="1" applyAlignment="1">
      <alignment horizontal="left"/>
      <protection locked="0"/>
    </xf>
    <xf numFmtId="0" fontId="289" fillId="0" borderId="0" xfId="0" applyFont="1" applyAlignment="1">
      <alignment horizontal="center" wrapText="1"/>
      <protection locked="0"/>
    </xf>
    <xf numFmtId="0" fontId="8" fillId="0" borderId="30" xfId="0" applyFont="1" applyBorder="1" applyAlignment="1" applyProtection="1"/>
    <xf numFmtId="167" fontId="8" fillId="0" borderId="30" xfId="80" applyNumberFormat="1" applyFont="1" applyBorder="1" applyAlignment="1">
      <alignment horizontal="right"/>
      <protection locked="0"/>
    </xf>
    <xf numFmtId="0" fontId="8" fillId="0" borderId="123" xfId="0" applyFont="1" applyBorder="1" applyAlignment="1">
      <alignment horizontal="left" wrapText="1"/>
      <protection locked="0"/>
    </xf>
    <xf numFmtId="0" fontId="28" fillId="0" borderId="123" xfId="0" applyFont="1" applyBorder="1" applyAlignment="1">
      <alignment horizontal="left" wrapText="1"/>
      <protection locked="0"/>
    </xf>
    <xf numFmtId="167" fontId="28" fillId="0" borderId="123" xfId="0" applyNumberFormat="1" applyFont="1" applyBorder="1" applyAlignment="1">
      <alignment horizontal="right"/>
      <protection locked="0"/>
    </xf>
    <xf numFmtId="39" fontId="8" fillId="0" borderId="123" xfId="0" applyNumberFormat="1" applyFont="1" applyBorder="1" applyAlignment="1">
      <alignment horizontal="right"/>
      <protection locked="0"/>
    </xf>
    <xf numFmtId="1" fontId="8" fillId="0" borderId="129" xfId="73" applyNumberFormat="1" applyFont="1" applyBorder="1" applyAlignment="1">
      <alignment horizontal="right"/>
      <protection locked="0"/>
    </xf>
    <xf numFmtId="0" fontId="289" fillId="0" borderId="129" xfId="0" applyFont="1" applyBorder="1" applyAlignment="1">
      <alignment horizontal="center" wrapText="1"/>
      <protection locked="0"/>
    </xf>
    <xf numFmtId="0" fontId="8" fillId="0" borderId="129" xfId="0" applyFont="1" applyBorder="1" applyAlignment="1" applyProtection="1"/>
    <xf numFmtId="167" fontId="8" fillId="0" borderId="129" xfId="80" applyNumberFormat="1" applyFont="1" applyBorder="1" applyAlignment="1">
      <alignment horizontal="right"/>
      <protection locked="0"/>
    </xf>
    <xf numFmtId="167" fontId="53" fillId="0" borderId="129" xfId="0" applyNumberFormat="1" applyFont="1" applyBorder="1" applyAlignment="1">
      <alignment horizontal="left" vertical="top"/>
      <protection locked="0"/>
    </xf>
    <xf numFmtId="0" fontId="74" fillId="0" borderId="129" xfId="0" applyFont="1" applyBorder="1" applyAlignment="1" applyProtection="1">
      <alignment wrapText="1"/>
    </xf>
    <xf numFmtId="167" fontId="49" fillId="0" borderId="129" xfId="0" applyNumberFormat="1" applyFont="1" applyBorder="1" applyAlignment="1" applyProtection="1"/>
    <xf numFmtId="0" fontId="96" fillId="0" borderId="129" xfId="0" applyFont="1" applyBorder="1" applyAlignment="1">
      <alignment horizontal="left" wrapText="1"/>
      <protection locked="0"/>
    </xf>
    <xf numFmtId="0" fontId="50" fillId="0" borderId="129" xfId="0" applyFont="1" applyBorder="1" applyAlignment="1">
      <alignment horizontal="left" wrapText="1"/>
      <protection locked="0"/>
    </xf>
    <xf numFmtId="167" fontId="50" fillId="0" borderId="129" xfId="0" applyNumberFormat="1" applyFont="1" applyBorder="1" applyAlignment="1">
      <alignment horizontal="left" wrapText="1"/>
      <protection locked="0"/>
    </xf>
    <xf numFmtId="171" fontId="8" fillId="0" borderId="129" xfId="0" applyNumberFormat="1" applyFont="1" applyBorder="1" applyAlignment="1">
      <alignment horizontal="right"/>
      <protection locked="0"/>
    </xf>
    <xf numFmtId="0" fontId="74" fillId="0" borderId="129" xfId="80" applyFont="1" applyBorder="1" applyAlignment="1" applyProtection="1">
      <alignment wrapText="1"/>
    </xf>
    <xf numFmtId="167" fontId="72" fillId="0" borderId="129" xfId="80" applyNumberFormat="1" applyFont="1" applyBorder="1" applyAlignment="1">
      <alignment horizontal="right" wrapText="1"/>
      <protection locked="0"/>
    </xf>
    <xf numFmtId="37" fontId="28" fillId="0" borderId="129" xfId="28" applyNumberFormat="1" applyFont="1" applyBorder="1" applyAlignment="1">
      <alignment horizontal="right"/>
      <protection locked="0"/>
    </xf>
    <xf numFmtId="49" fontId="66" fillId="0" borderId="129" xfId="28" applyNumberFormat="1" applyFont="1" applyBorder="1" applyAlignment="1">
      <alignment horizontal="left" wrapText="1"/>
      <protection locked="0"/>
    </xf>
    <xf numFmtId="0" fontId="66" fillId="0" borderId="129" xfId="28" applyFont="1" applyBorder="1" applyAlignment="1">
      <alignment horizontal="left" wrapText="1"/>
      <protection locked="0"/>
    </xf>
    <xf numFmtId="0" fontId="28" fillId="0" borderId="129" xfId="35" applyFont="1" applyBorder="1" applyAlignment="1">
      <alignment horizontal="left" vertical="center" wrapText="1"/>
      <protection locked="0"/>
    </xf>
    <xf numFmtId="167" fontId="99" fillId="0" borderId="129" xfId="28" applyNumberFormat="1" applyFont="1" applyBorder="1" applyAlignment="1">
      <alignment horizontal="right" wrapText="1"/>
      <protection locked="0"/>
    </xf>
    <xf numFmtId="4" fontId="66" fillId="0" borderId="129" xfId="28" applyNumberFormat="1" applyFont="1" applyBorder="1" applyAlignment="1">
      <alignment horizontal="right"/>
      <protection locked="0"/>
    </xf>
    <xf numFmtId="167" fontId="53" fillId="0" borderId="129" xfId="80" applyNumberFormat="1" applyFont="1" applyBorder="1" applyAlignment="1">
      <alignment horizontal="left" vertical="top"/>
      <protection locked="0"/>
    </xf>
    <xf numFmtId="0" fontId="9" fillId="0" borderId="129" xfId="80" applyFont="1" applyBorder="1" applyAlignment="1" applyProtection="1">
      <alignment wrapText="1"/>
    </xf>
    <xf numFmtId="1" fontId="8" fillId="0" borderId="129" xfId="71" applyNumberFormat="1" applyFont="1" applyBorder="1" applyAlignment="1" applyProtection="1">
      <alignment horizontal="right"/>
      <protection locked="0"/>
    </xf>
    <xf numFmtId="0" fontId="8" fillId="0" borderId="129" xfId="71" applyFont="1" applyBorder="1" applyAlignment="1" applyProtection="1">
      <alignment horizontal="left" wrapText="1"/>
      <protection locked="0"/>
    </xf>
    <xf numFmtId="0" fontId="74" fillId="0" borderId="129" xfId="71" applyFont="1" applyBorder="1" applyAlignment="1">
      <alignment vertical="center" wrapText="1"/>
    </xf>
    <xf numFmtId="4" fontId="72" fillId="0" borderId="129" xfId="71" applyNumberFormat="1" applyFont="1" applyBorder="1" applyAlignment="1" applyProtection="1">
      <alignment horizontal="right" wrapText="1"/>
      <protection locked="0"/>
    </xf>
    <xf numFmtId="37" fontId="66" fillId="0" borderId="129" xfId="0" applyNumberFormat="1" applyFont="1" applyBorder="1" applyAlignment="1">
      <alignment horizontal="right"/>
      <protection locked="0"/>
    </xf>
    <xf numFmtId="0" fontId="66" fillId="0" borderId="129" xfId="0" applyFont="1" applyBorder="1" applyAlignment="1">
      <alignment horizontal="left" wrapText="1"/>
      <protection locked="0"/>
    </xf>
    <xf numFmtId="1" fontId="8" fillId="0" borderId="129" xfId="30" applyNumberFormat="1" applyFont="1" applyBorder="1" applyAlignment="1" applyProtection="1">
      <alignment horizontal="right"/>
      <protection locked="0"/>
    </xf>
    <xf numFmtId="0" fontId="8" fillId="0" borderId="129" xfId="30" applyFont="1" applyBorder="1" applyAlignment="1" applyProtection="1">
      <alignment horizontal="left" wrapText="1"/>
      <protection locked="0"/>
    </xf>
    <xf numFmtId="0" fontId="74" fillId="0" borderId="129" xfId="30" applyFont="1" applyBorder="1" applyAlignment="1">
      <alignment vertical="center" wrapText="1"/>
    </xf>
    <xf numFmtId="4" fontId="72" fillId="0" borderId="129" xfId="30" applyNumberFormat="1" applyFont="1" applyBorder="1" applyAlignment="1" applyProtection="1">
      <alignment horizontal="right" wrapText="1"/>
      <protection locked="0"/>
    </xf>
    <xf numFmtId="49" fontId="8" fillId="0" borderId="129" xfId="0" applyNumberFormat="1" applyFont="1" applyBorder="1" applyAlignment="1">
      <alignment horizontal="left" wrapText="1"/>
      <protection locked="0"/>
    </xf>
    <xf numFmtId="49" fontId="8" fillId="0" borderId="129" xfId="75" applyNumberFormat="1" applyFont="1" applyBorder="1" applyAlignment="1" applyProtection="1">
      <alignment horizontal="right"/>
      <protection locked="0"/>
    </xf>
    <xf numFmtId="39" fontId="8" fillId="0" borderId="129" xfId="75" applyNumberFormat="1" applyFont="1" applyBorder="1" applyAlignment="1" applyProtection="1">
      <alignment horizontal="right"/>
      <protection locked="0"/>
    </xf>
    <xf numFmtId="49" fontId="8" fillId="0" borderId="129" xfId="75" applyNumberFormat="1" applyFont="1" applyBorder="1" applyAlignment="1" applyProtection="1">
      <alignment horizontal="left" wrapText="1"/>
      <protection locked="0"/>
    </xf>
    <xf numFmtId="0" fontId="28" fillId="0" borderId="129" xfId="75" applyFont="1" applyBorder="1" applyAlignment="1" applyProtection="1">
      <alignment horizontal="left" wrapText="1"/>
      <protection locked="0"/>
    </xf>
    <xf numFmtId="167" fontId="28" fillId="0" borderId="129" xfId="75" applyNumberFormat="1" applyFont="1" applyBorder="1" applyAlignment="1" applyProtection="1">
      <alignment horizontal="right"/>
      <protection locked="0"/>
    </xf>
    <xf numFmtId="167" fontId="11" fillId="0" borderId="129" xfId="0" applyNumberFormat="1" applyFont="1" applyBorder="1" applyAlignment="1">
      <alignment horizontal="left" vertical="top"/>
      <protection locked="0"/>
    </xf>
    <xf numFmtId="39" fontId="103" fillId="0" borderId="0" xfId="0" applyNumberFormat="1" applyFont="1" applyAlignment="1">
      <alignment horizontal="left" vertical="top"/>
      <protection locked="0"/>
    </xf>
    <xf numFmtId="0" fontId="8" fillId="0" borderId="0" xfId="0" applyFont="1" applyAlignment="1">
      <alignment vertical="top"/>
      <protection locked="0"/>
    </xf>
    <xf numFmtId="167" fontId="82" fillId="0" borderId="0" xfId="0" applyNumberFormat="1" applyFont="1" applyAlignment="1">
      <alignment horizontal="left" vertical="center"/>
      <protection locked="0"/>
    </xf>
    <xf numFmtId="0" fontId="52" fillId="0" borderId="0" xfId="0" applyFont="1" applyAlignment="1">
      <alignment horizontal="left"/>
      <protection locked="0"/>
    </xf>
    <xf numFmtId="0" fontId="67" fillId="0" borderId="0" xfId="85" applyFont="1" applyAlignment="1" applyProtection="1">
      <alignment horizontal="left" vertical="top"/>
      <protection locked="0"/>
    </xf>
    <xf numFmtId="0" fontId="288" fillId="0" borderId="0" xfId="6" applyFont="1" applyAlignment="1" applyProtection="1">
      <alignment horizontal="left" vertical="center"/>
      <protection locked="0"/>
    </xf>
    <xf numFmtId="0" fontId="8" fillId="0" borderId="0" xfId="0" applyFont="1" applyAlignment="1" applyProtection="1"/>
    <xf numFmtId="0" fontId="96" fillId="0" borderId="0" xfId="0" applyFont="1" applyAlignment="1">
      <alignment horizontal="left" vertical="top"/>
      <protection locked="0"/>
    </xf>
    <xf numFmtId="0" fontId="8" fillId="0" borderId="0" xfId="21" applyFont="1" applyAlignment="1">
      <alignment vertical="center"/>
    </xf>
    <xf numFmtId="1" fontId="49" fillId="0" borderId="125" xfId="0" applyNumberFormat="1" applyFont="1" applyBorder="1" applyAlignment="1" applyProtection="1">
      <alignment horizontal="right"/>
    </xf>
    <xf numFmtId="0" fontId="8" fillId="0" borderId="139" xfId="0" applyFont="1" applyBorder="1" applyAlignment="1">
      <alignment horizontal="left" wrapText="1"/>
      <protection locked="0"/>
    </xf>
    <xf numFmtId="0" fontId="28" fillId="0" borderId="139" xfId="0" applyFont="1" applyBorder="1" applyAlignment="1">
      <alignment horizontal="left" wrapText="1"/>
      <protection locked="0"/>
    </xf>
    <xf numFmtId="1" fontId="9" fillId="0" borderId="125" xfId="21" applyNumberFormat="1" applyFont="1" applyBorder="1"/>
    <xf numFmtId="167" fontId="28" fillId="0" borderId="129" xfId="80" applyNumberFormat="1" applyFont="1" applyBorder="1" applyAlignment="1">
      <alignment horizontal="right"/>
      <protection locked="0"/>
    </xf>
    <xf numFmtId="1" fontId="8" fillId="0" borderId="125" xfId="99" applyNumberFormat="1" applyFont="1" applyBorder="1" applyAlignment="1" applyProtection="1">
      <alignment horizontal="right"/>
      <protection locked="0"/>
    </xf>
    <xf numFmtId="0" fontId="8" fillId="0" borderId="125" xfId="99" applyFont="1" applyBorder="1" applyAlignment="1" applyProtection="1">
      <alignment horizontal="left" wrapText="1"/>
      <protection locked="0"/>
    </xf>
    <xf numFmtId="0" fontId="9" fillId="0" borderId="125" xfId="21" applyFont="1" applyBorder="1" applyAlignment="1">
      <alignment vertical="center"/>
    </xf>
    <xf numFmtId="0" fontId="74" fillId="0" borderId="139" xfId="0" applyFont="1" applyBorder="1" applyAlignment="1" applyProtection="1"/>
    <xf numFmtId="0" fontId="9" fillId="0" borderId="139" xfId="80" applyFont="1" applyBorder="1" applyAlignment="1" applyProtection="1"/>
    <xf numFmtId="1" fontId="8" fillId="0" borderId="125" xfId="80" applyNumberFormat="1" applyFont="1" applyBorder="1" applyAlignment="1">
      <alignment horizontal="right"/>
      <protection locked="0"/>
    </xf>
    <xf numFmtId="0" fontId="8" fillId="0" borderId="125" xfId="80" applyFont="1" applyBorder="1" applyAlignment="1">
      <alignment horizontal="left" wrapText="1"/>
      <protection locked="0"/>
    </xf>
    <xf numFmtId="1" fontId="49" fillId="0" borderId="125" xfId="99" applyNumberFormat="1" applyFont="1" applyBorder="1" applyAlignment="1">
      <alignment horizontal="right"/>
    </xf>
    <xf numFmtId="0" fontId="9" fillId="0" borderId="125" xfId="99" applyFont="1" applyBorder="1" applyAlignment="1">
      <alignment horizontal="left"/>
    </xf>
    <xf numFmtId="0" fontId="9" fillId="0" borderId="139" xfId="99" applyFont="1" applyBorder="1"/>
    <xf numFmtId="0" fontId="28" fillId="0" borderId="139" xfId="99" applyFont="1" applyBorder="1" applyAlignment="1" applyProtection="1">
      <alignment horizontal="left" wrapText="1"/>
      <protection locked="0"/>
    </xf>
    <xf numFmtId="0" fontId="37" fillId="0" borderId="139" xfId="0" applyFont="1" applyBorder="1" applyAlignment="1">
      <alignment horizontal="left" wrapText="1"/>
      <protection locked="0"/>
    </xf>
    <xf numFmtId="0" fontId="25" fillId="0" borderId="125" xfId="0" applyFont="1" applyBorder="1" applyAlignment="1" applyProtection="1">
      <alignment horizontal="right"/>
    </xf>
    <xf numFmtId="0" fontId="25" fillId="0" borderId="139" xfId="0" applyFont="1" applyBorder="1" applyAlignment="1" applyProtection="1"/>
    <xf numFmtId="0" fontId="72" fillId="0" borderId="139" xfId="80" applyFont="1" applyBorder="1" applyAlignment="1">
      <alignment horizontal="left" wrapText="1"/>
      <protection locked="0"/>
    </xf>
    <xf numFmtId="4" fontId="49" fillId="0" borderId="129" xfId="0" applyNumberFormat="1" applyFont="1" applyBorder="1" applyAlignment="1" applyProtection="1"/>
    <xf numFmtId="4" fontId="28" fillId="0" borderId="129" xfId="0" applyNumberFormat="1" applyFont="1" applyBorder="1" applyAlignment="1">
      <alignment horizontal="right"/>
      <protection locked="0"/>
    </xf>
    <xf numFmtId="49" fontId="66" fillId="0" borderId="125" xfId="40" applyNumberFormat="1" applyFont="1" applyBorder="1" applyAlignment="1">
      <alignment horizontal="left" wrapText="1"/>
      <protection locked="0"/>
    </xf>
    <xf numFmtId="0" fontId="72" fillId="0" borderId="125" xfId="35" applyFont="1" applyBorder="1" applyAlignment="1">
      <alignment horizontal="left" vertical="center" wrapText="1"/>
      <protection locked="0"/>
    </xf>
    <xf numFmtId="0" fontId="175" fillId="0" borderId="125" xfId="40" applyFont="1" applyBorder="1" applyAlignment="1">
      <alignment horizontal="center" vertical="center" wrapText="1"/>
      <protection locked="0"/>
    </xf>
    <xf numFmtId="167" fontId="28" fillId="0" borderId="125" xfId="40" applyNumberFormat="1" applyFont="1" applyBorder="1" applyAlignment="1">
      <alignment horizontal="left" wrapText="1"/>
      <protection locked="0"/>
    </xf>
    <xf numFmtId="0" fontId="49" fillId="0" borderId="139" xfId="80" applyFont="1" applyBorder="1" applyAlignment="1" applyProtection="1"/>
    <xf numFmtId="0" fontId="49" fillId="0" borderId="129" xfId="80" applyFont="1" applyBorder="1" applyAlignment="1" applyProtection="1"/>
    <xf numFmtId="167" fontId="9" fillId="0" borderId="129" xfId="80" applyNumberFormat="1" applyFont="1" applyBorder="1" applyAlignment="1" applyProtection="1"/>
    <xf numFmtId="4" fontId="9" fillId="0" borderId="129" xfId="80" applyNumberFormat="1" applyFont="1" applyBorder="1" applyAlignment="1" applyProtection="1"/>
    <xf numFmtId="167" fontId="96" fillId="0" borderId="129" xfId="0" applyNumberFormat="1" applyFont="1" applyBorder="1" applyAlignment="1">
      <alignment horizontal="left" wrapText="1"/>
      <protection locked="0"/>
    </xf>
    <xf numFmtId="167" fontId="9" fillId="0" borderId="129" xfId="0" applyNumberFormat="1" applyFont="1" applyBorder="1" applyAlignment="1" applyProtection="1"/>
    <xf numFmtId="0" fontId="0" fillId="0" borderId="125" xfId="0" applyBorder="1" applyAlignment="1" applyProtection="1"/>
    <xf numFmtId="0" fontId="37" fillId="0" borderId="139" xfId="99" applyFont="1" applyBorder="1" applyAlignment="1" applyProtection="1">
      <alignment horizontal="left" wrapText="1"/>
      <protection locked="0"/>
    </xf>
    <xf numFmtId="0" fontId="9" fillId="0" borderId="125" xfId="0" applyFont="1" applyBorder="1" applyAlignment="1" applyProtection="1">
      <alignment horizontal="right"/>
    </xf>
    <xf numFmtId="0" fontId="9" fillId="0" borderId="139" xfId="0" applyFont="1" applyBorder="1" applyAlignment="1" applyProtection="1"/>
    <xf numFmtId="0" fontId="9" fillId="0" borderId="125" xfId="21" applyFont="1" applyBorder="1"/>
    <xf numFmtId="0" fontId="74" fillId="0" borderId="139" xfId="0" applyFont="1" applyBorder="1" applyAlignment="1" applyProtection="1">
      <alignment wrapText="1"/>
    </xf>
    <xf numFmtId="167" fontId="5" fillId="0" borderId="0" xfId="99" applyNumberFormat="1" applyAlignment="1" applyProtection="1">
      <alignment horizontal="left" vertical="top"/>
      <protection locked="0"/>
    </xf>
    <xf numFmtId="167" fontId="25" fillId="0" borderId="129" xfId="0" applyNumberFormat="1" applyFont="1" applyBorder="1" applyAlignment="1" applyProtection="1"/>
    <xf numFmtId="0" fontId="25" fillId="0" borderId="125" xfId="0" applyFont="1" applyBorder="1" applyAlignment="1" applyProtection="1">
      <alignment horizontal="left"/>
    </xf>
    <xf numFmtId="0" fontId="257" fillId="0" borderId="139" xfId="0" applyFont="1" applyBorder="1" applyAlignment="1" applyProtection="1">
      <alignment wrapText="1"/>
    </xf>
    <xf numFmtId="0" fontId="25" fillId="0" borderId="125" xfId="0" applyFont="1" applyBorder="1" applyAlignment="1" applyProtection="1"/>
    <xf numFmtId="0" fontId="49" fillId="0" borderId="139" xfId="0" applyFont="1" applyBorder="1" applyAlignment="1" applyProtection="1"/>
    <xf numFmtId="49" fontId="49" fillId="0" borderId="125" xfId="0" applyNumberFormat="1" applyFont="1" applyBorder="1" applyAlignment="1" applyProtection="1">
      <alignment horizontal="left"/>
    </xf>
    <xf numFmtId="0" fontId="49" fillId="0" borderId="125" xfId="0" applyFont="1" applyBorder="1" applyAlignment="1" applyProtection="1"/>
    <xf numFmtId="0" fontId="49" fillId="0" borderId="125" xfId="0" applyFont="1" applyBorder="1" applyAlignment="1" applyProtection="1">
      <alignment horizontal="right"/>
    </xf>
    <xf numFmtId="0" fontId="37"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9" fillId="0" borderId="139" xfId="80" applyFont="1" applyBorder="1" applyAlignment="1" applyProtection="1">
      <alignment wrapText="1"/>
    </xf>
    <xf numFmtId="37" fontId="28" fillId="0" borderId="125" xfId="28" applyNumberFormat="1" applyFont="1" applyBorder="1" applyAlignment="1">
      <alignment horizontal="right"/>
      <protection locked="0"/>
    </xf>
    <xf numFmtId="49" fontId="66" fillId="0" borderId="125" xfId="28" applyNumberFormat="1" applyFont="1" applyBorder="1" applyAlignment="1">
      <alignment horizontal="left" wrapText="1"/>
      <protection locked="0"/>
    </xf>
    <xf numFmtId="0" fontId="66" fillId="0" borderId="125" xfId="28" applyFont="1" applyBorder="1" applyAlignment="1">
      <alignment horizontal="left" wrapText="1"/>
      <protection locked="0"/>
    </xf>
    <xf numFmtId="0" fontId="28" fillId="0" borderId="137" xfId="59" applyFont="1" applyBorder="1" applyAlignment="1" applyProtection="1">
      <alignment horizontal="left" vertical="center" wrapText="1"/>
      <protection locked="0"/>
    </xf>
    <xf numFmtId="167" fontId="99" fillId="0" borderId="125" xfId="28" applyNumberFormat="1" applyFont="1" applyBorder="1" applyAlignment="1">
      <alignment horizontal="right" wrapText="1"/>
      <protection locked="0"/>
    </xf>
    <xf numFmtId="4" fontId="66" fillId="0" borderId="125" xfId="28" applyNumberFormat="1" applyFont="1" applyBorder="1" applyAlignment="1">
      <alignment horizontal="right"/>
      <protection locked="0"/>
    </xf>
    <xf numFmtId="37" fontId="8" fillId="0" borderId="124" xfId="0" applyNumberFormat="1" applyFont="1" applyBorder="1" applyAlignment="1">
      <alignment horizontal="right"/>
      <protection locked="0"/>
    </xf>
    <xf numFmtId="0" fontId="49" fillId="0" borderId="124" xfId="0" applyFont="1" applyBorder="1" applyAlignment="1" applyProtection="1">
      <alignment horizontal="left"/>
    </xf>
    <xf numFmtId="0" fontId="8" fillId="0" borderId="140" xfId="0" applyFont="1" applyBorder="1" applyAlignment="1">
      <alignment horizontal="left" wrapText="1"/>
      <protection locked="0"/>
    </xf>
    <xf numFmtId="0" fontId="8" fillId="0" borderId="124" xfId="0" applyFont="1" applyBorder="1" applyAlignment="1">
      <alignment horizontal="left" wrapText="1"/>
      <protection locked="0"/>
    </xf>
    <xf numFmtId="167" fontId="8" fillId="0" borderId="124" xfId="0" applyNumberFormat="1" applyFont="1" applyBorder="1" applyAlignment="1">
      <alignment horizontal="right"/>
      <protection locked="0"/>
    </xf>
    <xf numFmtId="4" fontId="8" fillId="0" borderId="123" xfId="0" applyNumberFormat="1" applyFont="1" applyBorder="1" applyAlignment="1">
      <alignment horizontal="right"/>
      <protection locked="0"/>
    </xf>
    <xf numFmtId="0" fontId="74" fillId="0" borderId="125" xfId="0" applyFont="1" applyBorder="1" applyAlignment="1" applyProtection="1"/>
    <xf numFmtId="167" fontId="28" fillId="0" borderId="125" xfId="0" applyNumberFormat="1" applyFont="1" applyBorder="1" applyAlignment="1">
      <alignment horizontal="right" wrapText="1"/>
      <protection locked="0"/>
    </xf>
    <xf numFmtId="4" fontId="49" fillId="0" borderId="125" xfId="0" applyNumberFormat="1" applyFont="1" applyBorder="1" applyAlignment="1" applyProtection="1"/>
    <xf numFmtId="0" fontId="49" fillId="0" borderId="41" xfId="0" applyFont="1" applyBorder="1" applyAlignment="1" applyProtection="1">
      <alignment horizontal="left"/>
    </xf>
    <xf numFmtId="37" fontId="8" fillId="0" borderId="41" xfId="0" applyNumberFormat="1" applyFont="1" applyBorder="1" applyAlignment="1">
      <alignment horizontal="right"/>
      <protection locked="0"/>
    </xf>
    <xf numFmtId="167" fontId="8" fillId="0" borderId="41" xfId="0" applyNumberFormat="1" applyFont="1" applyBorder="1" applyAlignment="1">
      <alignment horizontal="right"/>
      <protection locked="0"/>
    </xf>
    <xf numFmtId="4" fontId="8" fillId="0" borderId="142" xfId="0" applyNumberFormat="1" applyFont="1" applyBorder="1" applyAlignment="1">
      <alignment horizontal="right"/>
      <protection locked="0"/>
    </xf>
    <xf numFmtId="0" fontId="80" fillId="0" borderId="0" xfId="0" applyFont="1" applyAlignment="1">
      <alignment horizontal="left" vertical="top"/>
      <protection locked="0"/>
    </xf>
    <xf numFmtId="0" fontId="0" fillId="0" borderId="0" xfId="0" applyAlignment="1">
      <alignment horizontal="center" vertical="center"/>
      <protection locked="0"/>
    </xf>
    <xf numFmtId="0" fontId="117" fillId="0" borderId="0" xfId="0" applyFont="1" applyAlignment="1">
      <alignment horizontal="left" vertical="center"/>
      <protection locked="0"/>
    </xf>
    <xf numFmtId="0" fontId="11" fillId="0" borderId="0" xfId="37" applyFont="1" applyAlignment="1" applyProtection="1">
      <alignment horizontal="left" vertical="center"/>
      <protection locked="0"/>
    </xf>
    <xf numFmtId="167" fontId="82" fillId="0" borderId="0" xfId="80" applyNumberFormat="1" applyFont="1" applyAlignment="1">
      <alignment horizontal="left" vertical="center"/>
      <protection locked="0"/>
    </xf>
    <xf numFmtId="0" fontId="113" fillId="0" borderId="0" xfId="99" applyFont="1" applyAlignment="1" applyProtection="1">
      <alignment horizontal="left" vertical="center"/>
      <protection locked="0"/>
    </xf>
    <xf numFmtId="0" fontId="148" fillId="0" borderId="0" xfId="0" applyFont="1" applyAlignment="1">
      <alignment horizontal="right" vertical="top"/>
      <protection locked="0"/>
    </xf>
    <xf numFmtId="0" fontId="247" fillId="0" borderId="0" xfId="0" applyFont="1" applyAlignment="1">
      <alignment horizontal="left" vertical="center"/>
      <protection locked="0"/>
    </xf>
    <xf numFmtId="0" fontId="32" fillId="0" borderId="0" xfId="99" applyFont="1" applyAlignment="1" applyProtection="1">
      <alignment horizontal="left" vertical="top"/>
      <protection locked="0"/>
    </xf>
    <xf numFmtId="0" fontId="25" fillId="0" borderId="0" xfId="0" applyFont="1" applyAlignment="1" applyProtection="1"/>
    <xf numFmtId="4" fontId="52" fillId="0" borderId="0" xfId="63" applyNumberFormat="1" applyFont="1" applyAlignment="1" applyProtection="1">
      <alignment horizontal="left" vertical="center"/>
      <protection locked="0"/>
    </xf>
    <xf numFmtId="0" fontId="29" fillId="0" borderId="0" xfId="0" applyFont="1" applyAlignment="1" applyProtection="1">
      <alignment vertical="center"/>
    </xf>
    <xf numFmtId="0" fontId="271" fillId="0" borderId="0" xfId="0" applyFont="1" applyAlignment="1" applyProtection="1"/>
    <xf numFmtId="0" fontId="272" fillId="0" borderId="0" xfId="0" applyFont="1" applyAlignment="1" applyProtection="1"/>
    <xf numFmtId="6" fontId="0" fillId="0" borderId="0" xfId="0" applyNumberFormat="1" applyAlignment="1" applyProtection="1">
      <alignment horizontal="right"/>
    </xf>
    <xf numFmtId="0" fontId="32" fillId="0" borderId="0" xfId="0" applyFont="1" applyAlignment="1" applyProtection="1"/>
    <xf numFmtId="0" fontId="47" fillId="0" borderId="0" xfId="0" applyFont="1" applyAlignment="1">
      <alignment horizontal="left" vertical="center"/>
      <protection locked="0"/>
    </xf>
    <xf numFmtId="0" fontId="49" fillId="0" borderId="0" xfId="0" applyFont="1" applyAlignment="1" applyProtection="1"/>
    <xf numFmtId="4" fontId="49" fillId="0" borderId="0" xfId="0" applyNumberFormat="1" applyFont="1" applyAlignment="1" applyProtection="1"/>
    <xf numFmtId="0" fontId="273" fillId="0" borderId="0" xfId="0" applyFont="1" applyAlignment="1" applyProtection="1">
      <alignment horizontal="right"/>
    </xf>
    <xf numFmtId="0" fontId="274" fillId="0" borderId="0" xfId="0" applyFont="1" applyAlignment="1" applyProtection="1"/>
    <xf numFmtId="0" fontId="11" fillId="0" borderId="0" xfId="0" applyFont="1" applyAlignment="1">
      <alignment horizontal="left"/>
      <protection locked="0"/>
    </xf>
    <xf numFmtId="0" fontId="267" fillId="0" borderId="0" xfId="0" applyFont="1" applyAlignment="1" applyProtection="1"/>
    <xf numFmtId="0" fontId="254" fillId="0" borderId="0" xfId="0" applyFont="1" applyAlignment="1">
      <alignment horizontal="left" vertical="center"/>
      <protection locked="0"/>
    </xf>
    <xf numFmtId="6" fontId="0" fillId="0" borderId="0" xfId="0" applyNumberFormat="1" applyAlignment="1">
      <alignment horizontal="left" vertical="top"/>
      <protection locked="0"/>
    </xf>
    <xf numFmtId="0" fontId="9" fillId="0" borderId="0" xfId="0" applyFont="1" applyAlignment="1" applyProtection="1"/>
    <xf numFmtId="3" fontId="0" fillId="0" borderId="0" xfId="0" applyNumberFormat="1" applyAlignment="1">
      <alignment horizontal="left" vertical="top"/>
      <protection locked="0"/>
    </xf>
    <xf numFmtId="0" fontId="32" fillId="0" borderId="0" xfId="52" applyFont="1" applyAlignment="1" applyProtection="1">
      <alignment horizontal="left" vertical="top"/>
      <protection locked="0"/>
    </xf>
    <xf numFmtId="0" fontId="114" fillId="0" borderId="0" xfId="27" applyFont="1" applyAlignment="1">
      <alignment horizontal="left" vertical="center"/>
      <protection locked="0"/>
    </xf>
    <xf numFmtId="0" fontId="70" fillId="0" borderId="38" xfId="32" applyFont="1" applyBorder="1" applyAlignment="1" applyProtection="1">
      <alignment horizontal="left" vertical="center"/>
      <protection locked="0"/>
    </xf>
    <xf numFmtId="0" fontId="7" fillId="0" borderId="38" xfId="52" applyBorder="1" applyAlignment="1" applyProtection="1">
      <alignment horizontal="left" vertical="top"/>
      <protection locked="0"/>
    </xf>
    <xf numFmtId="0" fontId="121" fillId="0" borderId="0" xfId="32" applyFont="1" applyAlignment="1" applyProtection="1">
      <alignment horizontal="left" vertical="center"/>
      <protection locked="0"/>
    </xf>
    <xf numFmtId="174" fontId="50" fillId="0" borderId="0" xfId="53" applyNumberFormat="1" applyFont="1" applyAlignment="1" applyProtection="1">
      <alignment horizontal="left" vertical="top"/>
      <protection locked="0"/>
    </xf>
    <xf numFmtId="0" fontId="102" fillId="0" borderId="0" xfId="25" applyFont="1" applyAlignment="1" applyProtection="1">
      <alignment horizontal="left" vertical="top"/>
      <protection locked="0"/>
    </xf>
    <xf numFmtId="0" fontId="103" fillId="0" borderId="0" xfId="29" applyFont="1" applyAlignment="1">
      <alignment horizontal="right"/>
    </xf>
    <xf numFmtId="171" fontId="10" fillId="0" borderId="0" xfId="3" applyNumberFormat="1" applyAlignment="1" applyProtection="1">
      <alignment horizontal="left" vertical="top"/>
      <protection locked="0"/>
    </xf>
    <xf numFmtId="172" fontId="70" fillId="0" borderId="0" xfId="3" applyNumberFormat="1" applyFont="1" applyAlignment="1">
      <alignment vertical="center"/>
    </xf>
    <xf numFmtId="39" fontId="10" fillId="0" borderId="0" xfId="3" applyNumberFormat="1" applyAlignment="1" applyProtection="1">
      <alignment horizontal="left" vertical="top"/>
      <protection locked="0"/>
    </xf>
    <xf numFmtId="2" fontId="10" fillId="0" borderId="0" xfId="3" applyNumberFormat="1"/>
    <xf numFmtId="4" fontId="76" fillId="0" borderId="0" xfId="3" applyNumberFormat="1" applyFont="1" applyAlignment="1" applyProtection="1">
      <alignment horizontal="center" vertical="center"/>
      <protection locked="0"/>
    </xf>
    <xf numFmtId="4" fontId="77" fillId="0" borderId="0" xfId="3" applyNumberFormat="1" applyFont="1" applyAlignment="1" applyProtection="1">
      <alignment horizontal="center" vertical="center"/>
      <protection locked="0"/>
    </xf>
    <xf numFmtId="0" fontId="83" fillId="0" borderId="0" xfId="3" applyFont="1" applyAlignment="1" applyProtection="1">
      <alignment horizontal="left" vertical="center"/>
      <protection locked="0"/>
    </xf>
    <xf numFmtId="0" fontId="75" fillId="0" borderId="0" xfId="32" applyFont="1" applyAlignment="1" applyProtection="1">
      <alignment horizontal="left" vertical="center"/>
      <protection locked="0"/>
    </xf>
    <xf numFmtId="4" fontId="16" fillId="0" borderId="0" xfId="3" applyNumberFormat="1" applyFont="1"/>
    <xf numFmtId="6" fontId="10" fillId="0" borderId="0" xfId="3" applyNumberFormat="1"/>
    <xf numFmtId="0" fontId="108" fillId="0" borderId="0" xfId="47" applyFont="1" applyAlignment="1">
      <alignment horizontal="left" vertical="top"/>
      <protection locked="0"/>
    </xf>
    <xf numFmtId="0" fontId="108" fillId="0" borderId="0" xfId="47" applyFont="1" applyAlignment="1">
      <alignment horizontal="left" vertical="center"/>
      <protection locked="0"/>
    </xf>
    <xf numFmtId="0" fontId="32" fillId="0" borderId="0" xfId="3" applyFont="1"/>
    <xf numFmtId="2" fontId="11" fillId="0" borderId="0" xfId="50" applyNumberFormat="1" applyFont="1" applyAlignment="1" applyProtection="1">
      <alignment horizontal="left" vertical="top"/>
      <protection locked="0"/>
    </xf>
    <xf numFmtId="4" fontId="11" fillId="0" borderId="0" xfId="50" applyNumberFormat="1" applyFont="1" applyAlignment="1" applyProtection="1">
      <alignment horizontal="left" vertical="top"/>
      <protection locked="0"/>
    </xf>
    <xf numFmtId="0" fontId="95" fillId="0" borderId="0" xfId="50" applyFont="1" applyAlignment="1" applyProtection="1">
      <alignment horizontal="left" vertical="center"/>
      <protection locked="0"/>
    </xf>
    <xf numFmtId="0" fontId="52" fillId="0" borderId="0" xfId="50" applyFont="1" applyAlignment="1" applyProtection="1">
      <alignment horizontal="left" vertical="top"/>
      <protection locked="0"/>
    </xf>
    <xf numFmtId="0" fontId="16" fillId="0" borderId="0" xfId="3" applyFont="1" applyAlignment="1" applyProtection="1">
      <alignment horizontal="left" vertical="top"/>
      <protection locked="0"/>
    </xf>
    <xf numFmtId="167" fontId="47" fillId="0" borderId="0" xfId="3" applyNumberFormat="1" applyFont="1" applyAlignment="1" applyProtection="1">
      <alignment horizontal="left" vertical="center"/>
      <protection locked="0"/>
    </xf>
    <xf numFmtId="0" fontId="81" fillId="0" borderId="0" xfId="3" applyFont="1" applyAlignment="1" applyProtection="1">
      <alignment horizontal="left" vertical="center"/>
      <protection locked="0"/>
    </xf>
    <xf numFmtId="0" fontId="39" fillId="0" borderId="0" xfId="3" applyFont="1" applyAlignment="1" applyProtection="1">
      <alignment horizontal="left" vertical="center"/>
      <protection locked="0"/>
    </xf>
    <xf numFmtId="6" fontId="10" fillId="0" borderId="0" xfId="3" applyNumberFormat="1" applyAlignment="1" applyProtection="1">
      <alignment horizontal="left" vertical="center"/>
      <protection locked="0"/>
    </xf>
    <xf numFmtId="4" fontId="7" fillId="0" borderId="0" xfId="29" applyNumberFormat="1"/>
    <xf numFmtId="37" fontId="8" fillId="0" borderId="125" xfId="64" applyNumberFormat="1" applyFont="1" applyBorder="1" applyAlignment="1" applyProtection="1">
      <alignment horizontal="right"/>
      <protection locked="0"/>
    </xf>
    <xf numFmtId="0" fontId="8" fillId="0" borderId="125" xfId="64" applyFont="1" applyBorder="1" applyAlignment="1" applyProtection="1">
      <alignment horizontal="left" wrapText="1"/>
      <protection locked="0"/>
    </xf>
    <xf numFmtId="39" fontId="8" fillId="0" borderId="125" xfId="64" applyNumberFormat="1" applyFont="1" applyBorder="1" applyAlignment="1" applyProtection="1">
      <alignment horizontal="right"/>
      <protection locked="0"/>
    </xf>
    <xf numFmtId="37" fontId="8" fillId="0" borderId="125" xfId="47" applyNumberFormat="1" applyFont="1" applyBorder="1" applyAlignment="1">
      <alignment horizontal="right"/>
      <protection locked="0"/>
    </xf>
    <xf numFmtId="49" fontId="8" fillId="0" borderId="125" xfId="64" applyNumberFormat="1" applyFont="1" applyBorder="1" applyAlignment="1" applyProtection="1">
      <alignment horizontal="left" wrapText="1"/>
      <protection locked="0"/>
    </xf>
    <xf numFmtId="0" fontId="8" fillId="0" borderId="125" xfId="47" applyFont="1" applyBorder="1" applyAlignment="1">
      <alignment horizontal="left" wrapText="1"/>
      <protection locked="0"/>
    </xf>
    <xf numFmtId="0" fontId="28" fillId="0" borderId="125" xfId="64" applyFont="1" applyBorder="1" applyAlignment="1" applyProtection="1">
      <alignment horizontal="left" wrapText="1"/>
      <protection locked="0"/>
    </xf>
    <xf numFmtId="167" fontId="28" fillId="0" borderId="125" xfId="12" applyNumberFormat="1" applyFont="1" applyBorder="1" applyAlignment="1">
      <alignment horizontal="right"/>
      <protection locked="0"/>
    </xf>
    <xf numFmtId="39" fontId="8" fillId="0" borderId="125" xfId="47" applyNumberFormat="1" applyFont="1" applyBorder="1" applyAlignment="1">
      <alignment horizontal="right"/>
      <protection locked="0"/>
    </xf>
    <xf numFmtId="39" fontId="8" fillId="13" borderId="125" xfId="47" applyNumberFormat="1" applyFont="1" applyFill="1" applyBorder="1" applyAlignment="1">
      <alignment horizontal="right"/>
      <protection locked="0"/>
    </xf>
    <xf numFmtId="0" fontId="11" fillId="0" borderId="125" xfId="47" applyBorder="1" applyAlignment="1">
      <alignment horizontal="left" vertical="top"/>
      <protection locked="0"/>
    </xf>
    <xf numFmtId="49" fontId="8" fillId="0" borderId="125" xfId="25" applyNumberFormat="1" applyFont="1" applyBorder="1" applyAlignment="1" applyProtection="1">
      <alignment horizontal="right" wrapText="1"/>
      <protection locked="0"/>
    </xf>
    <xf numFmtId="37" fontId="66" fillId="0" borderId="125" xfId="28" applyNumberFormat="1" applyFont="1" applyBorder="1" applyAlignment="1">
      <alignment horizontal="right"/>
      <protection locked="0"/>
    </xf>
    <xf numFmtId="167" fontId="28" fillId="0" borderId="125" xfId="28" applyNumberFormat="1" applyFont="1" applyBorder="1" applyAlignment="1">
      <alignment horizontal="right"/>
      <protection locked="0"/>
    </xf>
    <xf numFmtId="0" fontId="70" fillId="0" borderId="125" xfId="28" applyFont="1" applyBorder="1" applyAlignment="1">
      <alignment horizontal="right" vertical="center"/>
      <protection locked="0"/>
    </xf>
    <xf numFmtId="167" fontId="8" fillId="0" borderId="125" xfId="47" applyNumberFormat="1" applyFont="1" applyBorder="1" applyAlignment="1">
      <alignment horizontal="left" wrapText="1"/>
      <protection locked="0"/>
    </xf>
    <xf numFmtId="0" fontId="72" fillId="0" borderId="125" xfId="47" applyFont="1" applyBorder="1" applyAlignment="1">
      <alignment horizontal="left" vertical="center" wrapText="1"/>
      <protection locked="0"/>
    </xf>
    <xf numFmtId="4" fontId="8" fillId="0" borderId="125" xfId="3" applyNumberFormat="1" applyFont="1" applyBorder="1" applyAlignment="1" applyProtection="1">
      <alignment horizontal="right"/>
      <protection locked="0"/>
    </xf>
    <xf numFmtId="39" fontId="8" fillId="0" borderId="125" xfId="12" applyNumberFormat="1" applyFont="1" applyBorder="1" applyAlignment="1">
      <alignment horizontal="center"/>
      <protection locked="0"/>
    </xf>
    <xf numFmtId="4" fontId="48" fillId="0" borderId="125" xfId="3" applyNumberFormat="1" applyFont="1" applyBorder="1" applyAlignment="1" applyProtection="1">
      <alignment horizontal="right"/>
      <protection locked="0"/>
    </xf>
    <xf numFmtId="4" fontId="48" fillId="13" borderId="125" xfId="3" applyNumberFormat="1" applyFont="1" applyFill="1" applyBorder="1" applyAlignment="1" applyProtection="1">
      <alignment horizontal="right"/>
      <protection locked="0"/>
    </xf>
    <xf numFmtId="0" fontId="313" fillId="0" borderId="0" xfId="70" applyFont="1" applyAlignment="1">
      <alignment horizontal="left" vertical="center" wrapText="1"/>
    </xf>
    <xf numFmtId="0" fontId="314" fillId="0" borderId="64" xfId="70" applyFont="1" applyBorder="1" applyAlignment="1" applyProtection="1">
      <alignment horizontal="center" vertical="center"/>
      <protection locked="0"/>
    </xf>
    <xf numFmtId="0" fontId="205" fillId="0" borderId="0" xfId="70" applyFont="1" applyAlignment="1">
      <alignment horizontal="left" vertical="center"/>
    </xf>
    <xf numFmtId="0" fontId="313" fillId="0" borderId="64" xfId="70" applyFont="1" applyBorder="1" applyAlignment="1">
      <alignment horizontal="left" vertical="center" wrapText="1"/>
    </xf>
    <xf numFmtId="0" fontId="59" fillId="0" borderId="153" xfId="70" applyFont="1" applyBorder="1" applyAlignment="1" applyProtection="1">
      <alignment horizontal="left" vertical="center" wrapText="1"/>
      <protection locked="0"/>
    </xf>
    <xf numFmtId="0" fontId="59" fillId="0" borderId="57" xfId="70" applyFont="1" applyBorder="1" applyAlignment="1" applyProtection="1">
      <alignment horizontal="left" vertical="center" wrapText="1"/>
      <protection locked="0"/>
    </xf>
    <xf numFmtId="0" fontId="314" fillId="0" borderId="64" xfId="70" applyFont="1" applyBorder="1" applyAlignment="1" applyProtection="1">
      <alignment horizontal="left" vertical="center" wrapText="1"/>
      <protection locked="0"/>
    </xf>
    <xf numFmtId="49" fontId="314" fillId="0" borderId="64" xfId="70" applyNumberFormat="1" applyFont="1" applyBorder="1" applyAlignment="1" applyProtection="1">
      <alignment horizontal="left" vertical="center" wrapText="1"/>
      <protection locked="0"/>
    </xf>
    <xf numFmtId="167" fontId="314" fillId="0" borderId="64" xfId="70" applyNumberFormat="1" applyFont="1" applyBorder="1" applyAlignment="1" applyProtection="1">
      <alignment vertical="center"/>
      <protection locked="0"/>
    </xf>
    <xf numFmtId="167" fontId="313" fillId="0" borderId="0" xfId="70" applyNumberFormat="1" applyFont="1" applyAlignment="1">
      <alignment vertical="center"/>
    </xf>
    <xf numFmtId="0" fontId="314" fillId="0" borderId="64" xfId="70" applyFont="1" applyBorder="1" applyAlignment="1" applyProtection="1">
      <alignment horizontal="center" vertical="center" wrapText="1"/>
      <protection locked="0"/>
    </xf>
    <xf numFmtId="4" fontId="314" fillId="0" borderId="64" xfId="70" applyNumberFormat="1" applyFont="1" applyBorder="1" applyAlignment="1" applyProtection="1">
      <alignment vertical="center"/>
      <protection locked="0"/>
    </xf>
    <xf numFmtId="0" fontId="313" fillId="0" borderId="125" xfId="0" applyFont="1" applyBorder="1" applyAlignment="1">
      <alignment horizontal="left" wrapText="1"/>
      <protection locked="0"/>
    </xf>
    <xf numFmtId="37" fontId="313" fillId="0" borderId="30" xfId="0" applyNumberFormat="1" applyFont="1" applyBorder="1" applyAlignment="1">
      <alignment horizontal="right"/>
      <protection locked="0"/>
    </xf>
    <xf numFmtId="0" fontId="313" fillId="0" borderId="0" xfId="70" applyFont="1" applyAlignment="1">
      <alignment vertical="center"/>
    </xf>
    <xf numFmtId="37" fontId="313" fillId="0" borderId="87" xfId="3" applyNumberFormat="1" applyFont="1" applyBorder="1" applyAlignment="1" applyProtection="1">
      <alignment horizontal="right"/>
      <protection locked="0"/>
    </xf>
    <xf numFmtId="0" fontId="313" fillId="0" borderId="87" xfId="3" applyFont="1" applyBorder="1" applyAlignment="1" applyProtection="1">
      <alignment horizontal="left" wrapText="1"/>
      <protection locked="0"/>
    </xf>
    <xf numFmtId="0" fontId="313" fillId="0" borderId="87" xfId="37" applyFont="1" applyBorder="1" applyAlignment="1">
      <alignment horizontal="left" wrapText="1"/>
    </xf>
    <xf numFmtId="37" fontId="313" fillId="0" borderId="15" xfId="0" applyNumberFormat="1" applyFont="1" applyBorder="1" applyAlignment="1">
      <alignment horizontal="right"/>
      <protection locked="0"/>
    </xf>
    <xf numFmtId="37" fontId="313" fillId="0" borderId="129" xfId="94" applyNumberFormat="1" applyFont="1" applyBorder="1" applyAlignment="1" applyProtection="1">
      <alignment horizontal="right"/>
      <protection locked="0"/>
    </xf>
    <xf numFmtId="49" fontId="317" fillId="0" borderId="30" xfId="3" applyNumberFormat="1" applyFont="1" applyBorder="1" applyAlignment="1" applyProtection="1">
      <alignment horizontal="right"/>
      <protection locked="0"/>
    </xf>
    <xf numFmtId="0" fontId="317" fillId="0" borderId="30" xfId="3" applyFont="1" applyBorder="1" applyAlignment="1" applyProtection="1">
      <alignment horizontal="left" wrapText="1"/>
      <protection locked="0"/>
    </xf>
    <xf numFmtId="167" fontId="317" fillId="0" borderId="30" xfId="30" applyNumberFormat="1" applyFont="1" applyBorder="1" applyAlignment="1" applyProtection="1">
      <alignment horizontal="right"/>
      <protection locked="0"/>
    </xf>
    <xf numFmtId="39" fontId="317" fillId="0" borderId="30" xfId="3" applyNumberFormat="1" applyFont="1" applyBorder="1" applyAlignment="1" applyProtection="1">
      <alignment horizontal="right"/>
      <protection locked="0"/>
    </xf>
    <xf numFmtId="4" fontId="317" fillId="12" borderId="30" xfId="31" applyNumberFormat="1" applyFont="1" applyFill="1" applyBorder="1" applyAlignment="1" applyProtection="1">
      <alignment horizontal="right"/>
      <protection locked="0"/>
    </xf>
    <xf numFmtId="39" fontId="317" fillId="0" borderId="30" xfId="3" applyNumberFormat="1" applyFont="1" applyBorder="1" applyAlignment="1" applyProtection="1">
      <alignment horizontal="center"/>
      <protection locked="0"/>
    </xf>
    <xf numFmtId="0" fontId="317" fillId="0" borderId="30" xfId="25" applyFont="1" applyBorder="1" applyAlignment="1" applyProtection="1">
      <alignment horizontal="left" wrapText="1"/>
      <protection locked="0"/>
    </xf>
    <xf numFmtId="167" fontId="317" fillId="0" borderId="30" xfId="25" applyNumberFormat="1" applyFont="1" applyBorder="1" applyAlignment="1" applyProtection="1">
      <alignment horizontal="right"/>
      <protection locked="0"/>
    </xf>
    <xf numFmtId="39" fontId="317" fillId="12" borderId="30" xfId="3" applyNumberFormat="1" applyFont="1" applyFill="1" applyBorder="1" applyAlignment="1" applyProtection="1">
      <alignment horizontal="right"/>
      <protection locked="0"/>
    </xf>
    <xf numFmtId="1" fontId="319" fillId="0" borderId="125" xfId="0" applyNumberFormat="1" applyFont="1" applyBorder="1" applyAlignment="1" applyProtection="1">
      <alignment horizontal="right"/>
    </xf>
    <xf numFmtId="1" fontId="313" fillId="0" borderId="125" xfId="73" applyNumberFormat="1" applyFont="1" applyBorder="1" applyAlignment="1">
      <alignment horizontal="right"/>
      <protection locked="0"/>
    </xf>
    <xf numFmtId="167" fontId="313" fillId="0" borderId="15" xfId="0" applyNumberFormat="1" applyFont="1" applyBorder="1" applyAlignment="1">
      <alignment horizontal="right"/>
      <protection locked="0"/>
    </xf>
    <xf numFmtId="167" fontId="319" fillId="0" borderId="15" xfId="0" applyNumberFormat="1" applyFont="1" applyBorder="1" applyAlignment="1" applyProtection="1"/>
    <xf numFmtId="0" fontId="313" fillId="0" borderId="15" xfId="0" applyFont="1" applyBorder="1" applyAlignment="1">
      <alignment horizontal="left" wrapText="1"/>
      <protection locked="0"/>
    </xf>
    <xf numFmtId="0" fontId="313" fillId="0" borderId="15" xfId="80" applyFont="1" applyBorder="1" applyAlignment="1">
      <alignment horizontal="left" wrapText="1"/>
      <protection locked="0"/>
    </xf>
    <xf numFmtId="39" fontId="313" fillId="0" borderId="15" xfId="0" applyNumberFormat="1" applyFont="1" applyBorder="1" applyAlignment="1">
      <alignment horizontal="right"/>
      <protection locked="0"/>
    </xf>
    <xf numFmtId="4" fontId="313" fillId="12" borderId="125" xfId="90" applyNumberFormat="1" applyFont="1" applyFill="1" applyBorder="1" applyAlignment="1" applyProtection="1">
      <alignment horizontal="right"/>
      <protection locked="0"/>
    </xf>
    <xf numFmtId="39" fontId="313" fillId="13" borderId="15" xfId="0" applyNumberFormat="1" applyFont="1" applyFill="1" applyBorder="1" applyAlignment="1">
      <alignment horizontal="right"/>
      <protection locked="0"/>
    </xf>
    <xf numFmtId="39" fontId="313" fillId="0" borderId="15" xfId="80" applyNumberFormat="1" applyFont="1" applyBorder="1" applyAlignment="1">
      <alignment horizontal="center"/>
      <protection locked="0"/>
    </xf>
    <xf numFmtId="39" fontId="313" fillId="12" borderId="15" xfId="0" applyNumberFormat="1" applyFont="1" applyFill="1" applyBorder="1" applyAlignment="1">
      <alignment horizontal="right"/>
      <protection locked="0"/>
    </xf>
    <xf numFmtId="0" fontId="313" fillId="0" borderId="129" xfId="94" applyFont="1" applyBorder="1" applyAlignment="1" applyProtection="1">
      <alignment horizontal="left" wrapText="1"/>
      <protection locked="0"/>
    </xf>
    <xf numFmtId="0" fontId="313" fillId="0" borderId="129" xfId="80" applyFont="1" applyBorder="1" applyAlignment="1">
      <alignment horizontal="left" wrapText="1"/>
      <protection locked="0"/>
    </xf>
    <xf numFmtId="167" fontId="319" fillId="0" borderId="129" xfId="94" applyNumberFormat="1" applyFont="1" applyBorder="1"/>
    <xf numFmtId="39" fontId="313" fillId="0" borderId="129" xfId="94" applyNumberFormat="1" applyFont="1" applyBorder="1" applyAlignment="1" applyProtection="1">
      <alignment horizontal="right"/>
      <protection locked="0"/>
    </xf>
    <xf numFmtId="4" fontId="313" fillId="13" borderId="125" xfId="31" applyNumberFormat="1" applyFont="1" applyFill="1" applyBorder="1" applyAlignment="1" applyProtection="1">
      <alignment horizontal="right"/>
      <protection locked="0"/>
    </xf>
    <xf numFmtId="39" fontId="313" fillId="0" borderId="129" xfId="80" applyNumberFormat="1" applyFont="1" applyBorder="1" applyAlignment="1">
      <alignment horizontal="center"/>
      <protection locked="0"/>
    </xf>
    <xf numFmtId="167" fontId="313" fillId="0" borderId="129" xfId="94" applyNumberFormat="1" applyFont="1" applyBorder="1" applyAlignment="1" applyProtection="1">
      <alignment horizontal="right"/>
      <protection locked="0"/>
    </xf>
    <xf numFmtId="39" fontId="313" fillId="13" borderId="129" xfId="94" applyNumberFormat="1" applyFont="1" applyFill="1" applyBorder="1" applyAlignment="1" applyProtection="1">
      <alignment horizontal="right"/>
      <protection locked="0"/>
    </xf>
    <xf numFmtId="0" fontId="313" fillId="0" borderId="0" xfId="70" applyFont="1" applyAlignment="1">
      <alignment horizontal="left" vertical="center"/>
    </xf>
    <xf numFmtId="0" fontId="316" fillId="0" borderId="64" xfId="70" applyFont="1" applyBorder="1" applyAlignment="1" applyProtection="1">
      <alignment horizontal="center" vertical="center"/>
      <protection locked="0"/>
    </xf>
    <xf numFmtId="167" fontId="316" fillId="0" borderId="64" xfId="70" applyNumberFormat="1" applyFont="1" applyBorder="1" applyAlignment="1" applyProtection="1">
      <alignment vertical="center"/>
      <protection locked="0"/>
    </xf>
    <xf numFmtId="0" fontId="318" fillId="0" borderId="0" xfId="70" applyFont="1" applyAlignment="1">
      <alignment vertical="center"/>
    </xf>
    <xf numFmtId="49" fontId="316" fillId="0" borderId="64" xfId="70" applyNumberFormat="1" applyFont="1" applyBorder="1" applyAlignment="1" applyProtection="1">
      <alignment horizontal="left" vertical="center" wrapText="1"/>
      <protection locked="0"/>
    </xf>
    <xf numFmtId="0" fontId="316" fillId="0" borderId="64" xfId="70" applyFont="1" applyBorder="1" applyAlignment="1" applyProtection="1">
      <alignment horizontal="left" vertical="center" wrapText="1"/>
      <protection locked="0"/>
    </xf>
    <xf numFmtId="0" fontId="316" fillId="0" borderId="64" xfId="70" applyFont="1" applyBorder="1" applyAlignment="1" applyProtection="1">
      <alignment horizontal="center" vertical="center" wrapText="1"/>
      <protection locked="0"/>
    </xf>
    <xf numFmtId="4" fontId="316" fillId="0" borderId="64" xfId="70" applyNumberFormat="1" applyFont="1" applyBorder="1" applyAlignment="1" applyProtection="1">
      <alignment vertical="center"/>
      <protection locked="0"/>
    </xf>
    <xf numFmtId="49" fontId="319" fillId="0" borderId="129" xfId="24" applyNumberFormat="1" applyFont="1" applyBorder="1" applyAlignment="1">
      <alignment horizontal="left"/>
    </xf>
    <xf numFmtId="0" fontId="319" fillId="0" borderId="15" xfId="21" applyFont="1" applyBorder="1"/>
    <xf numFmtId="0" fontId="313" fillId="0" borderId="129" xfId="24" applyFont="1" applyBorder="1" applyAlignment="1" applyProtection="1">
      <alignment horizontal="left" wrapText="1"/>
      <protection locked="0"/>
    </xf>
    <xf numFmtId="4" fontId="313" fillId="0" borderId="125" xfId="24" applyNumberFormat="1" applyFont="1" applyBorder="1" applyAlignment="1" applyProtection="1">
      <alignment horizontal="right"/>
      <protection locked="0"/>
    </xf>
    <xf numFmtId="4" fontId="313" fillId="13" borderId="15" xfId="80" applyNumberFormat="1" applyFont="1" applyFill="1" applyBorder="1" applyAlignment="1">
      <alignment horizontal="right"/>
      <protection locked="0"/>
    </xf>
    <xf numFmtId="0" fontId="319" fillId="0" borderId="129" xfId="24" applyFont="1" applyBorder="1" applyAlignment="1">
      <alignment wrapText="1"/>
    </xf>
    <xf numFmtId="4" fontId="313" fillId="12" borderId="15" xfId="80" applyNumberFormat="1" applyFont="1" applyFill="1" applyBorder="1" applyAlignment="1">
      <alignment horizontal="right"/>
      <protection locked="0"/>
    </xf>
    <xf numFmtId="0" fontId="320" fillId="0" borderId="0" xfId="24" applyFont="1" applyAlignment="1" applyProtection="1">
      <alignment horizontal="left" vertical="top"/>
      <protection locked="0"/>
    </xf>
    <xf numFmtId="4" fontId="315" fillId="12" borderId="15" xfId="0" applyNumberFormat="1" applyFont="1" applyFill="1" applyBorder="1" applyAlignment="1">
      <alignment horizontal="right"/>
      <protection locked="0"/>
    </xf>
    <xf numFmtId="4" fontId="315" fillId="13" borderId="15" xfId="0" applyNumberFormat="1" applyFont="1" applyFill="1" applyBorder="1" applyAlignment="1">
      <alignment horizontal="right"/>
      <protection locked="0"/>
    </xf>
    <xf numFmtId="3" fontId="19" fillId="0" borderId="65" xfId="8" applyNumberFormat="1" applyFont="1" applyBorder="1" applyAlignment="1">
      <alignment horizontal="center"/>
    </xf>
    <xf numFmtId="3" fontId="19" fillId="0" borderId="66" xfId="8" applyNumberFormat="1" applyFont="1" applyBorder="1" applyAlignment="1">
      <alignment horizontal="center"/>
    </xf>
    <xf numFmtId="3" fontId="19" fillId="0" borderId="67" xfId="8" applyNumberFormat="1" applyFont="1" applyBorder="1" applyAlignment="1">
      <alignment horizontal="center"/>
    </xf>
    <xf numFmtId="0" fontId="19" fillId="0" borderId="129" xfId="8" applyFont="1" applyBorder="1" applyAlignment="1">
      <alignment horizontal="left" wrapText="1"/>
    </xf>
    <xf numFmtId="0" fontId="16" fillId="0" borderId="129" xfId="8" applyFont="1" applyBorder="1" applyAlignment="1">
      <alignment wrapText="1"/>
    </xf>
    <xf numFmtId="0" fontId="9" fillId="0" borderId="0" xfId="8" applyFont="1" applyAlignment="1">
      <alignment horizontal="justify" wrapText="1"/>
    </xf>
    <xf numFmtId="0" fontId="8" fillId="0" borderId="0" xfId="8" applyFont="1" applyAlignment="1">
      <alignment wrapText="1"/>
    </xf>
    <xf numFmtId="0" fontId="8" fillId="0" borderId="0" xfId="8" applyFont="1"/>
    <xf numFmtId="0" fontId="9" fillId="0" borderId="0" xfId="8" applyFont="1" applyAlignment="1">
      <alignment wrapText="1"/>
    </xf>
    <xf numFmtId="0" fontId="10" fillId="0" borderId="0" xfId="8" applyAlignment="1">
      <alignment wrapText="1"/>
    </xf>
    <xf numFmtId="0" fontId="9" fillId="0" borderId="0" xfId="8" applyFont="1" applyAlignment="1">
      <alignment horizontal="left" vertical="center" wrapText="1"/>
    </xf>
    <xf numFmtId="0" fontId="19" fillId="0" borderId="15" xfId="8" applyFont="1" applyBorder="1" applyAlignment="1">
      <alignment horizontal="left" wrapText="1"/>
    </xf>
    <xf numFmtId="0" fontId="16" fillId="0" borderId="15" xfId="8" applyFont="1" applyBorder="1" applyAlignment="1">
      <alignment wrapText="1"/>
    </xf>
    <xf numFmtId="0" fontId="13" fillId="0" borderId="0" xfId="8" applyFont="1" applyAlignment="1">
      <alignment horizontal="center"/>
    </xf>
    <xf numFmtId="0" fontId="10" fillId="0" borderId="0" xfId="8" applyAlignment="1">
      <alignment horizontal="center"/>
    </xf>
    <xf numFmtId="0" fontId="12" fillId="0" borderId="0" xfId="8" applyFont="1" applyAlignment="1">
      <alignment horizontal="center"/>
    </xf>
    <xf numFmtId="0" fontId="15" fillId="0" borderId="0" xfId="8" applyFont="1" applyAlignment="1">
      <alignment horizontal="left" vertical="center" wrapText="1"/>
    </xf>
    <xf numFmtId="0" fontId="16" fillId="0" borderId="0" xfId="8" applyFont="1" applyAlignment="1">
      <alignment horizontal="left" vertical="center" wrapText="1"/>
    </xf>
    <xf numFmtId="0" fontId="0" fillId="0" borderId="0" xfId="0" applyAlignment="1" applyProtection="1">
      <alignment horizontal="left" vertical="center" wrapText="1"/>
    </xf>
    <xf numFmtId="0" fontId="19" fillId="0" borderId="15" xfId="8" applyFont="1" applyBorder="1" applyAlignment="1">
      <alignment horizontal="left"/>
    </xf>
    <xf numFmtId="0" fontId="16" fillId="0" borderId="15" xfId="8" applyFont="1" applyBorder="1"/>
    <xf numFmtId="0" fontId="12" fillId="0" borderId="0" xfId="8" applyFont="1" applyAlignment="1">
      <alignment horizontal="left" wrapText="1"/>
    </xf>
    <xf numFmtId="0" fontId="18" fillId="0" borderId="15" xfId="8" applyFont="1" applyBorder="1" applyAlignment="1">
      <alignment horizontal="left" wrapText="1"/>
    </xf>
    <xf numFmtId="0" fontId="10" fillId="0" borderId="15" xfId="8" applyBorder="1" applyAlignment="1">
      <alignment wrapText="1"/>
    </xf>
    <xf numFmtId="0" fontId="9" fillId="0" borderId="0" xfId="21" applyFont="1" applyAlignment="1">
      <alignment vertical="center" wrapText="1"/>
    </xf>
    <xf numFmtId="0" fontId="11" fillId="0" borderId="0" xfId="3" applyFont="1" applyAlignment="1" applyProtection="1">
      <alignment vertical="center" wrapText="1"/>
      <protection locked="0"/>
    </xf>
    <xf numFmtId="0" fontId="30" fillId="0" borderId="0" xfId="21" applyFont="1" applyAlignment="1">
      <alignment horizontal="left" vertical="center" wrapText="1"/>
    </xf>
    <xf numFmtId="0" fontId="10" fillId="0" borderId="144" xfId="100" applyBorder="1" applyAlignment="1">
      <alignment horizontal="center" vertical="center"/>
    </xf>
    <xf numFmtId="0" fontId="10" fillId="0" borderId="145" xfId="100" applyBorder="1" applyAlignment="1">
      <alignment horizontal="center" vertical="center"/>
    </xf>
    <xf numFmtId="0" fontId="10" fillId="0" borderId="148" xfId="100" applyBorder="1" applyAlignment="1">
      <alignment horizontal="center" vertical="center"/>
    </xf>
    <xf numFmtId="0" fontId="10" fillId="0" borderId="5" xfId="100" applyBorder="1" applyAlignment="1">
      <alignment horizontal="center" vertical="center"/>
    </xf>
    <xf numFmtId="0" fontId="311" fillId="0" borderId="146" xfId="100" applyFont="1" applyBorder="1" applyAlignment="1">
      <alignment vertical="center" wrapText="1"/>
    </xf>
    <xf numFmtId="0" fontId="10" fillId="0" borderId="146" xfId="20" applyBorder="1" applyAlignment="1">
      <alignment vertical="center" wrapText="1"/>
    </xf>
    <xf numFmtId="0" fontId="10" fillId="0" borderId="147" xfId="20" applyBorder="1" applyAlignment="1">
      <alignment vertical="center" wrapText="1"/>
    </xf>
    <xf numFmtId="0" fontId="10" fillId="0" borderId="17" xfId="20" applyBorder="1" applyAlignment="1">
      <alignment vertical="center" wrapText="1"/>
    </xf>
    <xf numFmtId="0" fontId="10" fillId="0" borderId="149" xfId="20" applyBorder="1" applyAlignment="1">
      <alignment vertical="center" wrapText="1"/>
    </xf>
    <xf numFmtId="49" fontId="10" fillId="0" borderId="150" xfId="100" applyNumberFormat="1" applyBorder="1" applyAlignment="1">
      <alignment horizontal="center" vertical="center"/>
    </xf>
    <xf numFmtId="0" fontId="10" fillId="0" borderId="151" xfId="100" applyBorder="1" applyAlignment="1">
      <alignment horizontal="center" vertical="center"/>
    </xf>
    <xf numFmtId="0" fontId="311" fillId="0" borderId="151" xfId="100" applyFont="1" applyBorder="1" applyAlignment="1">
      <alignment vertical="center" wrapText="1"/>
    </xf>
    <xf numFmtId="0" fontId="10" fillId="0" borderId="151" xfId="20" applyBorder="1" applyAlignment="1">
      <alignment vertical="center" wrapText="1"/>
    </xf>
    <xf numFmtId="0" fontId="10" fillId="0" borderId="152" xfId="20" applyBorder="1" applyAlignment="1">
      <alignment vertical="center" wrapText="1"/>
    </xf>
    <xf numFmtId="0" fontId="8" fillId="0" borderId="12" xfId="100" applyFont="1" applyBorder="1" applyAlignment="1">
      <alignment horizontal="center" vertical="center" wrapText="1"/>
    </xf>
    <xf numFmtId="0" fontId="8" fillId="0" borderId="12" xfId="20" applyFont="1" applyBorder="1" applyAlignment="1">
      <alignment vertical="center" wrapText="1"/>
    </xf>
    <xf numFmtId="0" fontId="10" fillId="0" borderId="0" xfId="3" applyAlignment="1" applyProtection="1">
      <alignment vertical="center" wrapText="1"/>
      <protection locked="0"/>
    </xf>
    <xf numFmtId="4" fontId="10" fillId="0" borderId="0" xfId="70" applyNumberFormat="1" applyFont="1" applyAlignment="1">
      <alignment vertical="center"/>
    </xf>
    <xf numFmtId="0" fontId="198" fillId="15" borderId="0" xfId="70" applyFont="1" applyFill="1" applyAlignment="1">
      <alignment horizontal="center" vertical="center"/>
    </xf>
    <xf numFmtId="0" fontId="195" fillId="0" borderId="0" xfId="70"/>
    <xf numFmtId="0" fontId="10" fillId="0" borderId="0" xfId="70" applyFont="1" applyAlignment="1">
      <alignment horizontal="left" vertical="center"/>
    </xf>
    <xf numFmtId="0" fontId="144" fillId="0" borderId="0" xfId="70" applyFont="1" applyAlignment="1">
      <alignment horizontal="left" vertical="top" wrapText="1"/>
    </xf>
    <xf numFmtId="0" fontId="10" fillId="0" borderId="0" xfId="70" applyFont="1" applyAlignment="1">
      <alignment horizontal="left" vertical="center" wrapText="1"/>
    </xf>
    <xf numFmtId="4" fontId="16" fillId="0" borderId="46" xfId="70" applyNumberFormat="1" applyFont="1" applyBorder="1" applyAlignment="1">
      <alignment vertical="center"/>
    </xf>
    <xf numFmtId="0" fontId="195" fillId="0" borderId="46" xfId="70" applyBorder="1" applyAlignment="1">
      <alignment vertical="center"/>
    </xf>
    <xf numFmtId="0" fontId="199" fillId="0" borderId="0" xfId="70" applyFont="1" applyAlignment="1">
      <alignment horizontal="right" vertical="center"/>
    </xf>
    <xf numFmtId="176" fontId="199" fillId="0" borderId="0" xfId="70" applyNumberFormat="1" applyFont="1" applyAlignment="1">
      <alignment horizontal="left" vertical="center"/>
    </xf>
    <xf numFmtId="0" fontId="199" fillId="0" borderId="0" xfId="70" applyFont="1" applyAlignment="1">
      <alignment vertical="center"/>
    </xf>
    <xf numFmtId="4" fontId="201" fillId="0" borderId="0" xfId="70" applyNumberFormat="1" applyFont="1" applyAlignment="1">
      <alignment vertical="center"/>
    </xf>
    <xf numFmtId="0" fontId="203" fillId="0" borderId="52" xfId="70" applyFont="1" applyBorder="1" applyAlignment="1">
      <alignment horizontal="center" vertical="center"/>
    </xf>
    <xf numFmtId="0" fontId="203" fillId="0" borderId="53" xfId="70" applyFont="1" applyBorder="1" applyAlignment="1">
      <alignment horizontal="left" vertical="center"/>
    </xf>
    <xf numFmtId="0" fontId="204" fillId="0" borderId="55" xfId="70" applyFont="1" applyBorder="1" applyAlignment="1">
      <alignment horizontal="left" vertical="center"/>
    </xf>
    <xf numFmtId="0" fontId="204" fillId="0" borderId="0" xfId="70" applyFont="1" applyAlignment="1">
      <alignment horizontal="left" vertical="center"/>
    </xf>
    <xf numFmtId="0" fontId="10" fillId="0" borderId="0" xfId="70" applyFont="1" applyAlignment="1">
      <alignment vertical="center" wrapText="1"/>
    </xf>
    <xf numFmtId="0" fontId="10" fillId="0" borderId="0" xfId="70" applyFont="1" applyAlignment="1">
      <alignment vertical="center"/>
    </xf>
    <xf numFmtId="0" fontId="172" fillId="8" borderId="48" xfId="70" applyFont="1" applyFill="1" applyBorder="1" applyAlignment="1">
      <alignment horizontal="left" vertical="center"/>
    </xf>
    <xf numFmtId="0" fontId="195" fillId="8" borderId="48" xfId="70" applyFill="1" applyBorder="1" applyAlignment="1">
      <alignment vertical="center"/>
    </xf>
    <xf numFmtId="4" fontId="172" fillId="8" borderId="48" xfId="70" applyNumberFormat="1" applyFont="1" applyFill="1" applyBorder="1" applyAlignment="1">
      <alignment vertical="center"/>
    </xf>
    <xf numFmtId="0" fontId="195" fillId="8" borderId="49" xfId="70" applyFill="1" applyBorder="1" applyAlignment="1">
      <alignment vertical="center"/>
    </xf>
    <xf numFmtId="0" fontId="144" fillId="0" borderId="0" xfId="70" applyFont="1" applyAlignment="1">
      <alignment horizontal="left" vertical="center" wrapText="1"/>
    </xf>
    <xf numFmtId="0" fontId="144" fillId="0" borderId="0" xfId="70" applyFont="1" applyAlignment="1">
      <alignment vertical="center"/>
    </xf>
    <xf numFmtId="177" fontId="10" fillId="0" borderId="0" xfId="70" applyNumberFormat="1" applyFont="1" applyAlignment="1">
      <alignment horizontal="left" vertical="center"/>
    </xf>
    <xf numFmtId="0" fontId="59" fillId="9" borderId="47" xfId="70" applyFont="1" applyFill="1" applyBorder="1" applyAlignment="1">
      <alignment horizontal="center" vertical="center"/>
    </xf>
    <xf numFmtId="0" fontId="59" fillId="9" borderId="48" xfId="70" applyFont="1" applyFill="1" applyBorder="1" applyAlignment="1">
      <alignment horizontal="left" vertical="center"/>
    </xf>
    <xf numFmtId="0" fontId="59" fillId="9" borderId="48" xfId="70" applyFont="1" applyFill="1" applyBorder="1" applyAlignment="1">
      <alignment horizontal="center" vertical="center"/>
    </xf>
    <xf numFmtId="0" fontId="59" fillId="9" borderId="48" xfId="70" applyFont="1" applyFill="1" applyBorder="1" applyAlignment="1">
      <alignment horizontal="right" vertical="center"/>
    </xf>
    <xf numFmtId="0" fontId="59" fillId="9" borderId="49" xfId="70" applyFont="1" applyFill="1" applyBorder="1" applyAlignment="1">
      <alignment horizontal="left" vertical="center"/>
    </xf>
    <xf numFmtId="4" fontId="206" fillId="0" borderId="0" xfId="70" applyNumberFormat="1" applyFont="1" applyAlignment="1">
      <alignment horizontal="right" vertical="center"/>
    </xf>
    <xf numFmtId="4" fontId="206" fillId="0" borderId="0" xfId="70" applyNumberFormat="1" applyFont="1" applyAlignment="1">
      <alignment vertical="center"/>
    </xf>
    <xf numFmtId="0" fontId="209" fillId="0" borderId="0" xfId="70" applyFont="1" applyAlignment="1">
      <alignment horizontal="left" vertical="center" wrapText="1"/>
    </xf>
    <xf numFmtId="4" fontId="210" fillId="12" borderId="0" xfId="70" applyNumberFormat="1" applyFont="1" applyFill="1" applyAlignment="1">
      <alignment vertical="center"/>
    </xf>
    <xf numFmtId="0" fontId="210" fillId="12" borderId="0" xfId="70" applyFont="1" applyFill="1" applyAlignment="1">
      <alignment vertical="center"/>
    </xf>
    <xf numFmtId="4" fontId="210" fillId="0" borderId="0" xfId="70" applyNumberFormat="1" applyFont="1" applyAlignment="1">
      <alignment vertical="center"/>
    </xf>
    <xf numFmtId="0" fontId="210" fillId="0" borderId="0" xfId="70" applyFont="1" applyAlignment="1">
      <alignment vertical="center"/>
    </xf>
    <xf numFmtId="4" fontId="210" fillId="13" borderId="0" xfId="70" applyNumberFormat="1" applyFont="1" applyFill="1" applyAlignment="1">
      <alignment vertical="center"/>
    </xf>
    <xf numFmtId="0" fontId="210" fillId="13" borderId="0" xfId="70" applyFont="1" applyFill="1" applyAlignment="1">
      <alignment vertical="center"/>
    </xf>
    <xf numFmtId="4" fontId="206" fillId="9" borderId="0" xfId="70" applyNumberFormat="1" applyFont="1" applyFill="1" applyAlignment="1">
      <alignment vertical="center"/>
    </xf>
    <xf numFmtId="4" fontId="316" fillId="0" borderId="57" xfId="70" applyNumberFormat="1" applyFont="1" applyBorder="1" applyAlignment="1" applyProtection="1">
      <alignment horizontal="center" vertical="center"/>
      <protection locked="0"/>
    </xf>
    <xf numFmtId="4" fontId="316" fillId="0" borderId="59" xfId="70" applyNumberFormat="1" applyFont="1" applyBorder="1" applyAlignment="1" applyProtection="1">
      <alignment horizontal="center" vertical="center"/>
      <protection locked="0"/>
    </xf>
    <xf numFmtId="0" fontId="195" fillId="0" borderId="0" xfId="70" applyAlignment="1">
      <alignment vertical="center"/>
    </xf>
    <xf numFmtId="0" fontId="199" fillId="0" borderId="0" xfId="70" applyFont="1" applyAlignment="1">
      <alignment horizontal="left" vertical="center" wrapText="1"/>
    </xf>
    <xf numFmtId="0" fontId="199" fillId="0" borderId="0" xfId="70" applyFont="1" applyAlignment="1">
      <alignment horizontal="left" vertical="center"/>
    </xf>
    <xf numFmtId="0" fontId="215" fillId="0" borderId="0" xfId="70" applyFont="1" applyAlignment="1" applyProtection="1">
      <alignment horizontal="left" vertical="center"/>
      <protection locked="0"/>
    </xf>
    <xf numFmtId="4" fontId="314" fillId="0" borderId="57" xfId="70" applyNumberFormat="1" applyFont="1" applyBorder="1" applyAlignment="1" applyProtection="1">
      <alignment horizontal="center" vertical="center"/>
      <protection locked="0"/>
    </xf>
    <xf numFmtId="4" fontId="314" fillId="0" borderId="59" xfId="70" applyNumberFormat="1" applyFont="1" applyBorder="1" applyAlignment="1" applyProtection="1">
      <alignment horizontal="center" vertical="center"/>
      <protection locked="0"/>
    </xf>
    <xf numFmtId="0" fontId="37" fillId="0" borderId="0" xfId="26" applyFont="1" applyAlignment="1">
      <alignment horizontal="left" wrapText="1"/>
    </xf>
    <xf numFmtId="0" fontId="7" fillId="0" borderId="0" xfId="25" applyAlignment="1">
      <alignment horizontal="left" wrapText="1"/>
    </xf>
    <xf numFmtId="37" fontId="37" fillId="0" borderId="32" xfId="25" applyNumberFormat="1" applyFont="1" applyBorder="1" applyAlignment="1">
      <alignment horizontal="center"/>
    </xf>
    <xf numFmtId="37" fontId="37" fillId="0" borderId="33" xfId="25" applyNumberFormat="1" applyFont="1" applyBorder="1" applyAlignment="1">
      <alignment horizontal="center"/>
    </xf>
    <xf numFmtId="37" fontId="37" fillId="0" borderId="34" xfId="25" applyNumberFormat="1" applyFont="1" applyBorder="1" applyAlignment="1">
      <alignment horizontal="center"/>
    </xf>
    <xf numFmtId="0" fontId="7" fillId="0" borderId="0" xfId="71" applyAlignment="1">
      <alignment horizontal="left" wrapText="1"/>
    </xf>
    <xf numFmtId="37" fontId="37" fillId="0" borderId="32" xfId="71" applyNumberFormat="1" applyFont="1" applyBorder="1" applyAlignment="1">
      <alignment horizontal="center"/>
    </xf>
    <xf numFmtId="37" fontId="37" fillId="0" borderId="33" xfId="71" applyNumberFormat="1" applyFont="1" applyBorder="1" applyAlignment="1">
      <alignment horizontal="center"/>
    </xf>
    <xf numFmtId="37" fontId="37" fillId="0" borderId="34" xfId="71" applyNumberFormat="1" applyFont="1" applyBorder="1" applyAlignment="1">
      <alignment horizontal="center"/>
    </xf>
    <xf numFmtId="37" fontId="37" fillId="0" borderId="32" xfId="0" applyNumberFormat="1" applyFont="1" applyBorder="1" applyAlignment="1" applyProtection="1">
      <alignment horizontal="center"/>
    </xf>
    <xf numFmtId="37" fontId="37" fillId="0" borderId="33" xfId="0" applyNumberFormat="1" applyFont="1" applyBorder="1" applyAlignment="1" applyProtection="1">
      <alignment horizontal="center"/>
    </xf>
    <xf numFmtId="37" fontId="37" fillId="0" borderId="34" xfId="0" applyNumberFormat="1" applyFont="1" applyBorder="1" applyAlignment="1" applyProtection="1">
      <alignment horizontal="center"/>
    </xf>
    <xf numFmtId="0" fontId="0" fillId="0" borderId="0" xfId="0" applyAlignment="1" applyProtection="1">
      <alignment horizontal="left" wrapText="1"/>
    </xf>
    <xf numFmtId="0" fontId="227" fillId="0" borderId="0" xfId="0" applyFont="1" applyAlignment="1">
      <alignment horizontal="left" vertical="center" wrapText="1"/>
      <protection locked="0"/>
    </xf>
    <xf numFmtId="0" fontId="11" fillId="0" borderId="0" xfId="0" applyFont="1" applyAlignment="1">
      <alignment vertical="center" wrapText="1"/>
      <protection locked="0"/>
    </xf>
    <xf numFmtId="0" fontId="290" fillId="0" borderId="0" xfId="71" applyFont="1" applyAlignment="1">
      <alignment horizontal="center"/>
    </xf>
    <xf numFmtId="0" fontId="37" fillId="0" borderId="0" xfId="27" applyFont="1" applyAlignment="1" applyProtection="1">
      <alignment horizontal="left" wrapText="1"/>
    </xf>
    <xf numFmtId="0" fontId="7" fillId="0" borderId="0" xfId="89" applyAlignment="1">
      <alignment horizontal="left" wrapText="1"/>
    </xf>
    <xf numFmtId="37" fontId="37" fillId="0" borderId="32" xfId="0" applyNumberFormat="1" applyFont="1" applyBorder="1" applyAlignment="1">
      <alignment horizontal="center"/>
      <protection locked="0"/>
    </xf>
    <xf numFmtId="37" fontId="37" fillId="0" borderId="33" xfId="0" applyNumberFormat="1" applyFont="1" applyBorder="1" applyAlignment="1">
      <alignment horizontal="center"/>
      <protection locked="0"/>
    </xf>
    <xf numFmtId="37" fontId="37" fillId="0" borderId="34" xfId="0" applyNumberFormat="1" applyFont="1" applyBorder="1" applyAlignment="1">
      <alignment horizontal="center"/>
      <protection locked="0"/>
    </xf>
    <xf numFmtId="4" fontId="85" fillId="0" borderId="127" xfId="80" applyNumberFormat="1" applyFont="1" applyBorder="1" applyAlignment="1">
      <alignment horizontal="center"/>
      <protection locked="0"/>
    </xf>
    <xf numFmtId="4" fontId="85" fillId="0" borderId="139" xfId="80" applyNumberFormat="1" applyFont="1" applyBorder="1" applyAlignment="1">
      <alignment horizontal="center"/>
      <protection locked="0"/>
    </xf>
    <xf numFmtId="4" fontId="313" fillId="0" borderId="127" xfId="90" applyNumberFormat="1" applyFont="1" applyBorder="1" applyAlignment="1" applyProtection="1">
      <alignment horizontal="center"/>
      <protection locked="0"/>
    </xf>
    <xf numFmtId="4" fontId="313" fillId="0" borderId="139" xfId="90" applyNumberFormat="1" applyFont="1" applyBorder="1" applyAlignment="1" applyProtection="1">
      <alignment horizontal="center"/>
      <protection locked="0"/>
    </xf>
    <xf numFmtId="0" fontId="37" fillId="0" borderId="0" xfId="28" applyFont="1" applyAlignment="1" applyProtection="1">
      <alignment horizontal="left" wrapText="1"/>
    </xf>
    <xf numFmtId="0" fontId="9" fillId="0" borderId="0" xfId="16" applyFont="1" applyAlignment="1">
      <alignment vertical="center" wrapText="1"/>
    </xf>
    <xf numFmtId="0" fontId="7" fillId="0" borderId="0" xfId="65" applyAlignment="1">
      <alignment horizontal="left" wrapText="1"/>
    </xf>
    <xf numFmtId="0" fontId="7" fillId="0" borderId="0" xfId="66" applyAlignment="1" applyProtection="1">
      <alignment horizontal="left" wrapText="1"/>
      <protection locked="0"/>
    </xf>
    <xf numFmtId="37" fontId="37" fillId="0" borderId="32" xfId="65" applyNumberFormat="1" applyFont="1" applyBorder="1" applyAlignment="1">
      <alignment horizontal="center"/>
    </xf>
    <xf numFmtId="37" fontId="37" fillId="0" borderId="33" xfId="65" applyNumberFormat="1" applyFont="1" applyBorder="1" applyAlignment="1">
      <alignment horizontal="center"/>
    </xf>
    <xf numFmtId="37" fontId="37" fillId="0" borderId="34" xfId="65" applyNumberFormat="1" applyFont="1" applyBorder="1" applyAlignment="1">
      <alignment horizontal="center"/>
    </xf>
    <xf numFmtId="39" fontId="8" fillId="0" borderId="125" xfId="64" applyNumberFormat="1" applyFont="1" applyBorder="1" applyAlignment="1" applyProtection="1">
      <alignment horizontal="center" wrapText="1"/>
      <protection locked="0"/>
    </xf>
    <xf numFmtId="0" fontId="134" fillId="0" borderId="0" xfId="46" applyFont="1" applyAlignment="1">
      <alignment horizontal="left"/>
      <protection locked="0"/>
    </xf>
    <xf numFmtId="0" fontId="11" fillId="0" borderId="0" xfId="45" applyFont="1" applyAlignment="1">
      <alignment vertical="center" wrapText="1"/>
      <protection locked="0"/>
    </xf>
    <xf numFmtId="4" fontId="72" fillId="0" borderId="35" xfId="0" applyNumberFormat="1" applyFont="1" applyBorder="1" applyAlignment="1">
      <alignment horizontal="center"/>
      <protection locked="0"/>
    </xf>
    <xf numFmtId="4" fontId="72" fillId="0" borderId="36" xfId="0" applyNumberFormat="1" applyFont="1" applyBorder="1" applyAlignment="1">
      <alignment horizontal="center"/>
      <protection locked="0"/>
    </xf>
    <xf numFmtId="37" fontId="37" fillId="0" borderId="32" xfId="45" applyNumberFormat="1" applyFont="1" applyBorder="1" applyAlignment="1">
      <alignment horizontal="center"/>
      <protection locked="0"/>
    </xf>
    <xf numFmtId="0" fontId="102" fillId="0" borderId="33" xfId="45" applyFont="1" applyBorder="1" applyAlignment="1">
      <alignment horizontal="center"/>
      <protection locked="0"/>
    </xf>
    <xf numFmtId="0" fontId="102" fillId="0" borderId="34" xfId="45" applyFont="1" applyBorder="1" applyAlignment="1">
      <alignment horizontal="center"/>
      <protection locked="0"/>
    </xf>
    <xf numFmtId="0" fontId="31" fillId="0" borderId="0" xfId="45" applyAlignment="1">
      <alignment vertical="center" wrapText="1"/>
      <protection locked="0"/>
    </xf>
    <xf numFmtId="0" fontId="11" fillId="0" borderId="0" xfId="28" applyAlignment="1">
      <alignment vertical="center" wrapText="1"/>
      <protection locked="0"/>
    </xf>
    <xf numFmtId="0" fontId="6" fillId="0" borderId="0" xfId="94" applyAlignment="1">
      <alignment horizontal="left" wrapText="1"/>
    </xf>
    <xf numFmtId="4" fontId="72" fillId="0" borderId="130" xfId="40" applyNumberFormat="1" applyFont="1" applyBorder="1" applyAlignment="1">
      <alignment horizontal="center"/>
      <protection locked="0"/>
    </xf>
    <xf numFmtId="4" fontId="72" fillId="0" borderId="137" xfId="40" applyNumberFormat="1" applyFont="1" applyBorder="1" applyAlignment="1">
      <alignment horizontal="center"/>
      <protection locked="0"/>
    </xf>
    <xf numFmtId="4" fontId="313" fillId="0" borderId="127" xfId="31" applyNumberFormat="1" applyFont="1" applyBorder="1" applyAlignment="1" applyProtection="1">
      <alignment horizontal="center"/>
      <protection locked="0"/>
    </xf>
    <xf numFmtId="4" fontId="313" fillId="0" borderId="139" xfId="31" applyNumberFormat="1" applyFont="1" applyBorder="1" applyAlignment="1" applyProtection="1">
      <alignment horizontal="center"/>
      <protection locked="0"/>
    </xf>
    <xf numFmtId="0" fontId="165" fillId="0" borderId="138" xfId="53" applyFont="1" applyBorder="1" applyAlignment="1" applyProtection="1">
      <alignment horizontal="left" vertical="top" wrapText="1"/>
      <protection locked="0"/>
    </xf>
    <xf numFmtId="0" fontId="165" fillId="0" borderId="0" xfId="53" applyFont="1" applyAlignment="1" applyProtection="1">
      <alignment horizontal="left" vertical="top" wrapText="1"/>
      <protection locked="0"/>
    </xf>
    <xf numFmtId="0" fontId="11" fillId="0" borderId="0" xfId="55" applyFont="1" applyAlignment="1" applyProtection="1">
      <alignment vertical="center" wrapText="1"/>
      <protection locked="0"/>
    </xf>
    <xf numFmtId="0" fontId="38" fillId="0" borderId="0" xfId="55" applyAlignment="1" applyProtection="1">
      <alignment horizontal="left" wrapText="1"/>
      <protection locked="0"/>
    </xf>
    <xf numFmtId="37" fontId="37" fillId="0" borderId="32" xfId="55" applyNumberFormat="1" applyFont="1" applyBorder="1" applyAlignment="1" applyProtection="1">
      <alignment horizontal="center"/>
      <protection locked="0"/>
    </xf>
    <xf numFmtId="37" fontId="37" fillId="0" borderId="33" xfId="55" applyNumberFormat="1" applyFont="1" applyBorder="1" applyAlignment="1" applyProtection="1">
      <alignment horizontal="center"/>
      <protection locked="0"/>
    </xf>
    <xf numFmtId="37" fontId="37" fillId="0" borderId="34" xfId="55" applyNumberFormat="1" applyFont="1" applyBorder="1" applyAlignment="1" applyProtection="1">
      <alignment horizontal="center"/>
      <protection locked="0"/>
    </xf>
    <xf numFmtId="0" fontId="38" fillId="0" borderId="0" xfId="55" applyAlignment="1" applyProtection="1">
      <alignment vertical="center" wrapText="1"/>
      <protection locked="0"/>
    </xf>
    <xf numFmtId="0" fontId="38" fillId="0" borderId="0" xfId="24" applyAlignment="1">
      <alignment horizontal="left" wrapText="1"/>
    </xf>
    <xf numFmtId="0" fontId="7" fillId="0" borderId="0" xfId="25" applyAlignment="1" applyProtection="1">
      <alignment horizontal="left" wrapText="1"/>
      <protection locked="0"/>
    </xf>
    <xf numFmtId="0" fontId="38" fillId="0" borderId="0" xfId="24" applyAlignment="1" applyProtection="1">
      <alignment horizontal="left" wrapText="1"/>
      <protection locked="0"/>
    </xf>
    <xf numFmtId="37" fontId="37" fillId="0" borderId="32" xfId="52" applyNumberFormat="1" applyFont="1" applyBorder="1" applyAlignment="1">
      <alignment horizontal="center"/>
    </xf>
    <xf numFmtId="37" fontId="37" fillId="0" borderId="33" xfId="52" applyNumberFormat="1" applyFont="1" applyBorder="1" applyAlignment="1">
      <alignment horizontal="center"/>
    </xf>
    <xf numFmtId="37" fontId="37" fillId="0" borderId="34" xfId="52" applyNumberFormat="1" applyFont="1" applyBorder="1" applyAlignment="1">
      <alignment horizontal="center"/>
    </xf>
    <xf numFmtId="0" fontId="11" fillId="0" borderId="0" xfId="24" applyFont="1" applyAlignment="1" applyProtection="1">
      <alignment vertical="center" wrapText="1"/>
      <protection locked="0"/>
    </xf>
    <xf numFmtId="37" fontId="37" fillId="0" borderId="32" xfId="24" applyNumberFormat="1" applyFont="1" applyBorder="1" applyAlignment="1" applyProtection="1">
      <alignment horizontal="center"/>
      <protection locked="0"/>
    </xf>
    <xf numFmtId="37" fontId="37" fillId="0" borderId="33" xfId="24" applyNumberFormat="1" applyFont="1" applyBorder="1" applyAlignment="1" applyProtection="1">
      <alignment horizontal="center"/>
      <protection locked="0"/>
    </xf>
    <xf numFmtId="37" fontId="37" fillId="0" borderId="34" xfId="24" applyNumberFormat="1" applyFont="1" applyBorder="1" applyAlignment="1" applyProtection="1">
      <alignment horizontal="center"/>
      <protection locked="0"/>
    </xf>
    <xf numFmtId="0" fontId="38" fillId="0" borderId="0" xfId="24" applyAlignment="1" applyProtection="1">
      <alignment vertical="center" wrapText="1"/>
      <protection locked="0"/>
    </xf>
    <xf numFmtId="37" fontId="37" fillId="0" borderId="32" xfId="3" applyNumberFormat="1" applyFont="1" applyBorder="1" applyAlignment="1">
      <alignment horizontal="center"/>
    </xf>
    <xf numFmtId="37" fontId="37" fillId="0" borderId="33" xfId="3" applyNumberFormat="1" applyFont="1" applyBorder="1" applyAlignment="1">
      <alignment horizontal="center"/>
    </xf>
    <xf numFmtId="37" fontId="37" fillId="0" borderId="34" xfId="3" applyNumberFormat="1" applyFont="1" applyBorder="1" applyAlignment="1">
      <alignment horizontal="center"/>
    </xf>
    <xf numFmtId="0" fontId="37" fillId="0" borderId="0" xfId="23" applyFont="1" applyAlignment="1" applyProtection="1">
      <alignment horizontal="left" wrapText="1"/>
    </xf>
    <xf numFmtId="0" fontId="7" fillId="0" borderId="0" xfId="29" applyAlignment="1">
      <alignment horizontal="left" wrapText="1"/>
    </xf>
    <xf numFmtId="0" fontId="10" fillId="0" borderId="0" xfId="3" applyAlignment="1" applyProtection="1">
      <alignment horizontal="left" wrapText="1"/>
      <protection locked="0"/>
    </xf>
    <xf numFmtId="37" fontId="37" fillId="0" borderId="32" xfId="29" applyNumberFormat="1" applyFont="1" applyBorder="1" applyAlignment="1">
      <alignment horizontal="center"/>
    </xf>
    <xf numFmtId="37" fontId="37" fillId="0" borderId="33" xfId="29" applyNumberFormat="1" applyFont="1" applyBorder="1" applyAlignment="1">
      <alignment horizontal="center"/>
    </xf>
    <xf numFmtId="37" fontId="37" fillId="0" borderId="34" xfId="29" applyNumberFormat="1" applyFont="1" applyBorder="1" applyAlignment="1">
      <alignment horizontal="center"/>
    </xf>
    <xf numFmtId="4" fontId="317" fillId="0" borderId="130" xfId="31" applyNumberFormat="1" applyFont="1" applyBorder="1" applyAlignment="1" applyProtection="1">
      <alignment horizontal="center"/>
      <protection locked="0"/>
    </xf>
    <xf numFmtId="4" fontId="317" fillId="0" borderId="137" xfId="31" applyNumberFormat="1" applyFont="1" applyBorder="1" applyAlignment="1" applyProtection="1">
      <alignment horizontal="center"/>
      <protection locked="0"/>
    </xf>
    <xf numFmtId="39" fontId="8" fillId="0" borderId="35" xfId="3" applyNumberFormat="1" applyFont="1" applyBorder="1" applyAlignment="1" applyProtection="1">
      <alignment horizontal="center" wrapText="1"/>
      <protection locked="0"/>
    </xf>
    <xf numFmtId="39" fontId="8" fillId="0" borderId="36" xfId="3" applyNumberFormat="1" applyFont="1" applyBorder="1" applyAlignment="1" applyProtection="1">
      <alignment horizontal="center" wrapText="1"/>
      <protection locked="0"/>
    </xf>
    <xf numFmtId="167" fontId="28" fillId="0" borderId="35" xfId="3" applyNumberFormat="1" applyFont="1" applyBorder="1" applyAlignment="1" applyProtection="1">
      <alignment horizontal="center" wrapText="1"/>
      <protection locked="0"/>
    </xf>
    <xf numFmtId="167" fontId="28" fillId="0" borderId="37" xfId="3" applyNumberFormat="1" applyFont="1" applyBorder="1" applyAlignment="1" applyProtection="1">
      <alignment horizontal="center" wrapText="1"/>
      <protection locked="0"/>
    </xf>
    <xf numFmtId="167" fontId="28" fillId="0" borderId="36" xfId="3" applyNumberFormat="1" applyFont="1" applyBorder="1" applyAlignment="1" applyProtection="1">
      <alignment horizontal="center" wrapText="1"/>
      <protection locked="0"/>
    </xf>
    <xf numFmtId="0" fontId="33" fillId="0" borderId="0" xfId="22" applyFont="1" applyAlignment="1">
      <alignment vertical="top" wrapText="1"/>
    </xf>
    <xf numFmtId="0" fontId="13" fillId="6" borderId="1" xfId="22" applyFont="1" applyFill="1" applyBorder="1" applyAlignment="1">
      <alignment horizontal="center" vertical="center" wrapText="1"/>
    </xf>
    <xf numFmtId="0" fontId="13" fillId="6" borderId="2" xfId="22" applyFont="1" applyFill="1" applyBorder="1" applyAlignment="1">
      <alignment horizontal="center" vertical="center" wrapText="1"/>
    </xf>
    <xf numFmtId="0" fontId="13" fillId="6" borderId="3" xfId="22" applyFont="1" applyFill="1" applyBorder="1" applyAlignment="1">
      <alignment horizontal="center" vertical="center" wrapText="1"/>
    </xf>
    <xf numFmtId="0" fontId="14" fillId="0" borderId="1" xfId="22" applyFont="1" applyBorder="1" applyAlignment="1">
      <alignment horizontal="left" vertical="center" wrapText="1"/>
    </xf>
    <xf numFmtId="0" fontId="14" fillId="0" borderId="2" xfId="22" applyFont="1" applyBorder="1" applyAlignment="1">
      <alignment horizontal="left" vertical="center" wrapText="1"/>
    </xf>
    <xf numFmtId="0" fontId="14" fillId="0" borderId="3" xfId="22" applyFont="1" applyBorder="1" applyAlignment="1">
      <alignment horizontal="left" vertical="center" wrapText="1"/>
    </xf>
    <xf numFmtId="0" fontId="14" fillId="0" borderId="12" xfId="22" applyFont="1" applyBorder="1" applyAlignment="1">
      <alignment horizontal="center" vertical="center" wrapText="1"/>
    </xf>
    <xf numFmtId="165" fontId="14" fillId="12" borderId="18" xfId="22" applyNumberFormat="1" applyFont="1" applyFill="1" applyBorder="1" applyAlignment="1">
      <alignment horizontal="center" vertical="center"/>
    </xf>
    <xf numFmtId="165" fontId="14" fillId="12" borderId="17" xfId="22" applyNumberFormat="1" applyFont="1" applyFill="1" applyBorder="1" applyAlignment="1">
      <alignment horizontal="center" vertical="center"/>
    </xf>
    <xf numFmtId="0" fontId="12" fillId="0" borderId="18" xfId="22" applyBorder="1" applyAlignment="1">
      <alignment horizontal="center" vertical="center" wrapText="1"/>
    </xf>
    <xf numFmtId="0" fontId="12" fillId="0" borderId="17" xfId="22" applyBorder="1" applyAlignment="1">
      <alignment horizontal="center" vertical="center" wrapText="1"/>
    </xf>
    <xf numFmtId="0" fontId="12" fillId="0" borderId="19" xfId="22" applyBorder="1" applyAlignment="1">
      <alignment horizontal="center" vertical="center" wrapText="1"/>
    </xf>
    <xf numFmtId="0" fontId="14" fillId="0" borderId="8" xfId="22" applyFont="1" applyBorder="1" applyAlignment="1">
      <alignment horizontal="center" vertical="center" wrapText="1"/>
    </xf>
    <xf numFmtId="0" fontId="14" fillId="0" borderId="5" xfId="22" applyFont="1" applyBorder="1" applyAlignment="1">
      <alignment horizontal="center" vertical="center" wrapText="1"/>
    </xf>
    <xf numFmtId="0" fontId="14" fillId="0" borderId="20" xfId="22" applyFont="1" applyBorder="1" applyAlignment="1">
      <alignment horizontal="center" vertical="center" wrapText="1"/>
    </xf>
    <xf numFmtId="165" fontId="14" fillId="12" borderId="19" xfId="22" applyNumberFormat="1" applyFont="1" applyFill="1" applyBorder="1" applyAlignment="1">
      <alignment horizontal="center" vertical="center"/>
    </xf>
  </cellXfs>
  <cellStyles count="101">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6" xfId="97" xr:uid="{00000000-0005-0000-0000-000017000000}"/>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5" xfId="79" xr:uid="{00000000-0005-0000-0000-00001E000000}"/>
    <cellStyle name="Normální 12 2 5 2" xfId="95" xr:uid="{00000000-0005-0000-0000-00001F000000}"/>
    <cellStyle name="Normální 12 4" xfId="36" xr:uid="{00000000-0005-0000-0000-000020000000}"/>
    <cellStyle name="Normální 12 5" xfId="54" xr:uid="{00000000-0005-0000-0000-000021000000}"/>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2" xfId="66" xr:uid="{00000000-0005-0000-0000-000027000000}"/>
    <cellStyle name="Normální 15" xfId="93" xr:uid="{00000000-0005-0000-0000-000028000000}"/>
    <cellStyle name="Normální 16" xfId="52" xr:uid="{00000000-0005-0000-0000-000029000000}"/>
    <cellStyle name="normální 19" xfId="75" xr:uid="{00000000-0005-0000-0000-00002A000000}"/>
    <cellStyle name="normální 19 2" xfId="96" xr:uid="{00000000-0005-0000-0000-00002B000000}"/>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4" xfId="87" xr:uid="{00000000-0005-0000-0000-000040000000}"/>
    <cellStyle name="Normální 3 5" xfId="99" xr:uid="{00000000-0005-0000-0000-00004100000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3" xfId="98" xr:uid="{00000000-0005-0000-0000-000047000000}"/>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5" xfId="35" xr:uid="{00000000-0005-0000-0000-000056000000}"/>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703FD"/>
      <color rgb="FF666699"/>
      <color rgb="FF66FF99"/>
      <color rgb="FFCC3300"/>
      <color rgb="FFFF5050"/>
      <color rgb="FF66FFFF"/>
      <color rgb="FFFF66FF"/>
      <color rgb="FFFF00FF"/>
      <color rgb="FF008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opLeftCell="B16"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639" t="s">
        <v>11638</v>
      </c>
      <c r="C2" s="5640"/>
      <c r="D2" s="5640"/>
      <c r="E2" s="5640"/>
      <c r="F2" s="5640"/>
      <c r="G2" s="5640"/>
      <c r="H2" s="5640"/>
      <c r="I2" s="5640"/>
      <c r="J2" s="3641"/>
    </row>
    <row r="3" spans="2:14" ht="12.75" customHeight="1">
      <c r="B3" s="5641" t="s">
        <v>43</v>
      </c>
      <c r="C3" s="5640"/>
      <c r="D3" s="5640"/>
      <c r="E3" s="5640"/>
      <c r="F3" s="5640"/>
      <c r="G3" s="5640"/>
      <c r="H3" s="5640"/>
      <c r="I3" s="5640"/>
    </row>
    <row r="4" spans="2:14" ht="12.75" customHeight="1"/>
    <row r="5" spans="2:14" s="18" customFormat="1" ht="21" customHeight="1">
      <c r="C5" s="50" t="s">
        <v>2</v>
      </c>
      <c r="D5" s="5642" t="s">
        <v>31</v>
      </c>
      <c r="E5" s="5643"/>
      <c r="F5" s="5643"/>
      <c r="G5" s="5643"/>
      <c r="H5" s="5644"/>
      <c r="I5" s="51"/>
      <c r="N5" s="3642"/>
    </row>
    <row r="6" spans="2:14" ht="13.5" customHeight="1">
      <c r="C6" s="3"/>
      <c r="D6" s="5"/>
      <c r="E6" s="6"/>
      <c r="F6" s="6"/>
      <c r="G6" s="6"/>
      <c r="H6" s="4"/>
      <c r="I6" s="4"/>
      <c r="N6" s="3643"/>
    </row>
    <row r="7" spans="2:14" ht="12.75" customHeight="1">
      <c r="C7" s="7" t="s">
        <v>3</v>
      </c>
      <c r="D7" s="5647" t="s">
        <v>32</v>
      </c>
      <c r="E7" s="5647"/>
      <c r="F7" s="5647"/>
      <c r="G7" s="5647"/>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10424</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10498</v>
      </c>
      <c r="C21" s="3774"/>
      <c r="D21" s="3777"/>
      <c r="E21" s="3778"/>
      <c r="F21" s="3781"/>
      <c r="G21" s="3782"/>
      <c r="H21" s="3782"/>
      <c r="I21" s="3783">
        <f>CelkemObjekty</f>
        <v>50000</v>
      </c>
      <c r="J21" s="3645"/>
    </row>
    <row r="22" spans="2:11">
      <c r="B22" s="17" t="s">
        <v>9</v>
      </c>
      <c r="C22" s="18"/>
      <c r="D22" s="19">
        <v>15</v>
      </c>
      <c r="E22" s="20" t="s">
        <v>8</v>
      </c>
      <c r="F22" s="21"/>
      <c r="G22" s="22"/>
      <c r="H22" s="22"/>
      <c r="I22" s="23">
        <f>(I21-F67)*0.15</f>
        <v>0</v>
      </c>
      <c r="J22" s="3645"/>
    </row>
    <row r="23" spans="2:11">
      <c r="B23" s="3773" t="s">
        <v>11574</v>
      </c>
      <c r="C23" s="3774"/>
      <c r="D23" s="3777"/>
      <c r="E23" s="3778"/>
      <c r="F23" s="4620"/>
      <c r="G23" s="4621"/>
      <c r="H23" s="4621"/>
      <c r="I23" s="4622">
        <f>SUM(I21:I22)</f>
        <v>50000</v>
      </c>
      <c r="J23" s="3645"/>
    </row>
    <row r="24" spans="2:11">
      <c r="B24" s="4623" t="s">
        <v>11575</v>
      </c>
      <c r="C24" s="4624"/>
      <c r="D24" s="4625"/>
      <c r="E24" s="4626"/>
      <c r="F24" s="4627"/>
      <c r="G24" s="4628"/>
      <c r="H24" s="4628"/>
      <c r="I24" s="4629">
        <f>G68</f>
        <v>0</v>
      </c>
      <c r="J24" s="3645"/>
    </row>
    <row r="25" spans="2:11">
      <c r="B25" s="17" t="s">
        <v>9</v>
      </c>
      <c r="C25" s="18"/>
      <c r="D25" s="19">
        <v>15</v>
      </c>
      <c r="E25" s="20" t="s">
        <v>8</v>
      </c>
      <c r="F25" s="21"/>
      <c r="G25" s="22"/>
      <c r="H25" s="22"/>
      <c r="I25" s="23">
        <f>I24*0.15</f>
        <v>0</v>
      </c>
      <c r="J25" s="3645"/>
    </row>
    <row r="26" spans="2:11" ht="13.5" thickBot="1">
      <c r="B26" s="3775" t="s">
        <v>11576</v>
      </c>
      <c r="C26" s="3776"/>
      <c r="D26" s="3779"/>
      <c r="E26" s="3780"/>
      <c r="F26" s="21"/>
      <c r="G26" s="22"/>
      <c r="H26" s="22"/>
      <c r="I26" s="3784">
        <f>SUM(I24:I25)</f>
        <v>0</v>
      </c>
      <c r="J26" s="3645"/>
    </row>
    <row r="27" spans="2:11" ht="16.5" thickBot="1">
      <c r="B27" s="24" t="s">
        <v>10716</v>
      </c>
      <c r="C27" s="25"/>
      <c r="D27" s="25"/>
      <c r="E27" s="26"/>
      <c r="F27" s="27"/>
      <c r="G27" s="28"/>
      <c r="H27" s="28"/>
      <c r="I27" s="29">
        <f>I24+I21</f>
        <v>50000</v>
      </c>
      <c r="J27" s="3646"/>
      <c r="K27" s="3647"/>
    </row>
    <row r="28" spans="2:11" ht="16.5" thickBot="1">
      <c r="B28" s="24" t="s">
        <v>10717</v>
      </c>
      <c r="C28" s="25"/>
      <c r="D28" s="25"/>
      <c r="E28" s="26"/>
      <c r="F28" s="27"/>
      <c r="G28" s="28"/>
      <c r="H28" s="28"/>
      <c r="I28" s="29">
        <f>I23+I26</f>
        <v>50000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10505</v>
      </c>
      <c r="G34" s="3772" t="s">
        <v>10506</v>
      </c>
      <c r="H34" s="3771" t="s">
        <v>10508</v>
      </c>
      <c r="I34" s="3772" t="s">
        <v>10507</v>
      </c>
      <c r="J34" s="3650"/>
    </row>
    <row r="35" spans="2:12">
      <c r="B35" s="34" t="s">
        <v>0</v>
      </c>
      <c r="C35" s="35"/>
      <c r="D35" s="36"/>
      <c r="E35" s="37"/>
      <c r="F35" s="4577"/>
      <c r="G35" s="4578"/>
      <c r="H35" s="4578"/>
      <c r="I35" s="4579"/>
      <c r="K35" s="3651"/>
    </row>
    <row r="36" spans="2:12">
      <c r="B36" s="38"/>
      <c r="C36" s="5645" t="s">
        <v>12</v>
      </c>
      <c r="D36" s="5646"/>
      <c r="E36" s="5646"/>
      <c r="F36" s="4580"/>
      <c r="G36" s="4580">
        <f>VRN!G42</f>
        <v>0</v>
      </c>
      <c r="H36" s="4580"/>
      <c r="I36" s="4581">
        <f>G36*1.15</f>
        <v>0</v>
      </c>
      <c r="J36" s="3652"/>
      <c r="K36" s="3653"/>
      <c r="L36" s="3649"/>
    </row>
    <row r="37" spans="2:12" ht="12.75" customHeight="1">
      <c r="B37" s="46"/>
      <c r="C37" s="5637" t="s">
        <v>41</v>
      </c>
      <c r="D37" s="5638"/>
      <c r="E37" s="5638"/>
      <c r="F37" s="4580">
        <f>SUM(F38:F43)</f>
        <v>0</v>
      </c>
      <c r="G37" s="4580">
        <f>SUM(G38:G43)</f>
        <v>0</v>
      </c>
      <c r="H37" s="4580">
        <f>SUM(H38:H43)</f>
        <v>0</v>
      </c>
      <c r="I37" s="4581">
        <f>SUM(I38:I43)</f>
        <v>0</v>
      </c>
      <c r="J37" s="3652"/>
      <c r="K37" s="3648"/>
    </row>
    <row r="38" spans="2:12" ht="12.75" customHeight="1">
      <c r="B38" s="3062"/>
      <c r="C38" s="5648" t="s">
        <v>11568</v>
      </c>
      <c r="D38" s="5649"/>
      <c r="E38" s="5649"/>
      <c r="F38" s="4630">
        <f>'Rekapitulace stavby'!AG95</f>
        <v>0</v>
      </c>
      <c r="G38" s="4630"/>
      <c r="H38" s="4631">
        <f t="shared" ref="H38:H40" si="0">F38*1.15</f>
        <v>0</v>
      </c>
      <c r="I38" s="4632"/>
      <c r="J38" s="3652"/>
    </row>
    <row r="39" spans="2:12" ht="12.75" customHeight="1">
      <c r="B39" s="3062"/>
      <c r="C39" s="5648" t="s">
        <v>11569</v>
      </c>
      <c r="D39" s="5649"/>
      <c r="E39" s="5649"/>
      <c r="F39" s="4630">
        <f>'Rekapitulace stavby'!AG96</f>
        <v>0</v>
      </c>
      <c r="G39" s="4630"/>
      <c r="H39" s="4631">
        <f t="shared" si="0"/>
        <v>0</v>
      </c>
      <c r="I39" s="4632"/>
      <c r="J39" s="3652"/>
    </row>
    <row r="40" spans="2:12" ht="12.75" customHeight="1">
      <c r="B40" s="3062"/>
      <c r="C40" s="5648" t="s">
        <v>11570</v>
      </c>
      <c r="D40" s="5649"/>
      <c r="E40" s="5649"/>
      <c r="F40" s="4630">
        <f>'Rekapitulace stavby'!AG97</f>
        <v>0</v>
      </c>
      <c r="G40" s="4630"/>
      <c r="H40" s="4631">
        <f t="shared" si="0"/>
        <v>0</v>
      </c>
      <c r="I40" s="4632"/>
      <c r="J40" s="3652"/>
    </row>
    <row r="41" spans="2:12" ht="25.5" customHeight="1">
      <c r="B41" s="3062"/>
      <c r="C41" s="5648" t="s">
        <v>11571</v>
      </c>
      <c r="D41" s="5649"/>
      <c r="E41" s="5649"/>
      <c r="F41" s="4630"/>
      <c r="G41" s="4630">
        <f>'Rekapitulace stavby'!AG98</f>
        <v>0</v>
      </c>
      <c r="H41" s="4631"/>
      <c r="I41" s="4632">
        <f>G41*1.15</f>
        <v>0</v>
      </c>
      <c r="J41" s="3652"/>
    </row>
    <row r="42" spans="2:12" ht="12.75" customHeight="1">
      <c r="B42" s="3062"/>
      <c r="C42" s="5648" t="s">
        <v>11572</v>
      </c>
      <c r="D42" s="5649"/>
      <c r="E42" s="5649"/>
      <c r="F42" s="4630"/>
      <c r="G42" s="4630">
        <f>'Rekapitulace stavby'!AG99</f>
        <v>0</v>
      </c>
      <c r="H42" s="4631"/>
      <c r="I42" s="4632">
        <f>G42*1.15</f>
        <v>0</v>
      </c>
      <c r="J42" s="3652"/>
    </row>
    <row r="43" spans="2:12" ht="25.5" customHeight="1">
      <c r="B43" s="3062"/>
      <c r="C43" s="5648" t="s">
        <v>11573</v>
      </c>
      <c r="D43" s="5649"/>
      <c r="E43" s="5649"/>
      <c r="F43" s="4630"/>
      <c r="G43" s="4630">
        <f>'Rekapitulace stavby'!AG100</f>
        <v>0</v>
      </c>
      <c r="H43" s="4631"/>
      <c r="I43" s="4632">
        <f>G43*1.15</f>
        <v>0</v>
      </c>
      <c r="J43" s="3652"/>
    </row>
    <row r="44" spans="2:12" ht="12.75" customHeight="1">
      <c r="B44" s="46"/>
      <c r="C44" s="5637" t="s">
        <v>40</v>
      </c>
      <c r="D44" s="5638"/>
      <c r="E44" s="5638"/>
      <c r="F44" s="4580">
        <f>'D.1.4.1. ZTI'!H997</f>
        <v>0</v>
      </c>
      <c r="G44" s="4580">
        <f>'D.1.4.1. ZTI'!I998</f>
        <v>0</v>
      </c>
      <c r="H44" s="4604">
        <f t="shared" ref="H44:H48" si="1">F44*1.15</f>
        <v>0</v>
      </c>
      <c r="I44" s="4581">
        <f>G44*1.15</f>
        <v>0</v>
      </c>
      <c r="J44" s="3652"/>
    </row>
    <row r="45" spans="2:12" ht="12.75" customHeight="1">
      <c r="B45" s="46"/>
      <c r="C45" s="5637" t="s">
        <v>39</v>
      </c>
      <c r="D45" s="5638"/>
      <c r="E45" s="5638"/>
      <c r="F45" s="4580">
        <f>'D.1.4.2. ODBĚR. PLYN. ZAŘÍZ.'!H277</f>
        <v>0</v>
      </c>
      <c r="G45" s="4580"/>
      <c r="H45" s="4604">
        <f t="shared" si="1"/>
        <v>0</v>
      </c>
      <c r="I45" s="4581"/>
      <c r="J45" s="3652"/>
    </row>
    <row r="46" spans="2:12" ht="12.75" customHeight="1">
      <c r="B46" s="46"/>
      <c r="C46" s="5637" t="s">
        <v>38</v>
      </c>
      <c r="D46" s="5638"/>
      <c r="E46" s="5638"/>
      <c r="F46" s="4580">
        <f>'D.1.4.3. VZDUCHOTECHNIKA'!H1513</f>
        <v>0</v>
      </c>
      <c r="G46" s="4580">
        <f>'D.1.4.3. VZDUCHOTECHNIKA'!I1514</f>
        <v>0</v>
      </c>
      <c r="H46" s="4604">
        <f t="shared" si="1"/>
        <v>0</v>
      </c>
      <c r="I46" s="4581">
        <f>G46*1.15</f>
        <v>0</v>
      </c>
      <c r="J46" s="3652"/>
    </row>
    <row r="47" spans="2:12" ht="12.75" customHeight="1">
      <c r="B47" s="46"/>
      <c r="C47" s="5637" t="s">
        <v>37</v>
      </c>
      <c r="D47" s="5638"/>
      <c r="E47" s="5638"/>
      <c r="F47" s="4580">
        <f>'D.1.4.4. VYTÁPĚNÍ'!H600</f>
        <v>0</v>
      </c>
      <c r="G47" s="4580">
        <f>'D.1.4.4. VYTÁPĚNÍ'!I601</f>
        <v>0</v>
      </c>
      <c r="H47" s="4604">
        <f t="shared" si="1"/>
        <v>0</v>
      </c>
      <c r="I47" s="4581">
        <f>G47*1.15</f>
        <v>0</v>
      </c>
      <c r="J47" s="3652"/>
    </row>
    <row r="48" spans="2:12" ht="12.75" customHeight="1">
      <c r="B48" s="46"/>
      <c r="C48" s="5637" t="s">
        <v>36</v>
      </c>
      <c r="D48" s="5638"/>
      <c r="E48" s="5638"/>
      <c r="F48" s="4580">
        <f>'D.1.4.5. CHLAZENÍ'!H490</f>
        <v>0</v>
      </c>
      <c r="G48" s="4580"/>
      <c r="H48" s="4604">
        <f t="shared" si="1"/>
        <v>0</v>
      </c>
      <c r="I48" s="4581"/>
      <c r="J48" s="3652"/>
    </row>
    <row r="49" spans="2:11" ht="12.75" customHeight="1">
      <c r="B49" s="46"/>
      <c r="C49" s="5637" t="s">
        <v>35</v>
      </c>
      <c r="D49" s="5638"/>
      <c r="E49" s="5638"/>
      <c r="F49" s="5626" t="s">
        <v>10423</v>
      </c>
      <c r="G49" s="5627"/>
      <c r="H49" s="5627"/>
      <c r="I49" s="5628"/>
      <c r="J49" s="3654"/>
    </row>
    <row r="50" spans="2:11" ht="12.75" customHeight="1">
      <c r="B50" s="46"/>
      <c r="C50" s="5637" t="s">
        <v>34</v>
      </c>
      <c r="D50" s="5638"/>
      <c r="E50" s="5638"/>
      <c r="F50" s="4580">
        <f>'D.1.4.7. SILNOPROUD'!H482</f>
        <v>0</v>
      </c>
      <c r="G50" s="4580">
        <f>'D.1.4.7. SILNOPROUD'!I483</f>
        <v>0</v>
      </c>
      <c r="H50" s="4604">
        <f>F50*1.15</f>
        <v>0</v>
      </c>
      <c r="I50" s="4581">
        <f>G50*1.15</f>
        <v>0</v>
      </c>
      <c r="J50" s="3652"/>
    </row>
    <row r="51" spans="2:11" ht="12.75" customHeight="1">
      <c r="B51" s="46"/>
      <c r="C51" s="5637" t="s">
        <v>42</v>
      </c>
      <c r="D51" s="5638"/>
      <c r="E51" s="5638"/>
      <c r="F51" s="4580">
        <f>'D.1.4.7.1 FOTOVOLTAIKA'!H96</f>
        <v>0</v>
      </c>
      <c r="G51" s="4580"/>
      <c r="H51" s="4604">
        <f>F51*1.15</f>
        <v>0</v>
      </c>
      <c r="I51" s="4581"/>
      <c r="J51" s="3652"/>
    </row>
    <row r="52" spans="2:11">
      <c r="B52" s="46"/>
      <c r="C52" s="5637" t="s">
        <v>33</v>
      </c>
      <c r="D52" s="5638"/>
      <c r="E52" s="5638"/>
      <c r="F52" s="4580">
        <f>REKAPITULACE!C10</f>
        <v>0</v>
      </c>
      <c r="G52" s="4580">
        <f>REKAPITULACE!D10</f>
        <v>0</v>
      </c>
      <c r="H52" s="4604">
        <f>F52*1.15</f>
        <v>0</v>
      </c>
      <c r="I52" s="4581">
        <f>G52*1.15</f>
        <v>0</v>
      </c>
      <c r="J52" s="3652"/>
      <c r="K52" s="3648"/>
    </row>
    <row r="53" spans="2:11" ht="13.5" customHeight="1">
      <c r="B53" s="46"/>
      <c r="C53" s="5637" t="s">
        <v>45</v>
      </c>
      <c r="D53" s="5638"/>
      <c r="E53" s="5638"/>
      <c r="F53" s="4580"/>
      <c r="G53" s="4580">
        <f>'REKAPITULACE - SÚ'!C11</f>
        <v>0</v>
      </c>
      <c r="H53" s="4604"/>
      <c r="I53" s="4581">
        <f>G53*1.15</f>
        <v>0</v>
      </c>
      <c r="J53" s="3652"/>
    </row>
    <row r="54" spans="2:11" ht="13.5" customHeight="1">
      <c r="B54" s="46"/>
      <c r="C54" s="5637" t="s">
        <v>46</v>
      </c>
      <c r="D54" s="5638"/>
      <c r="E54" s="5638"/>
      <c r="F54" s="4580"/>
      <c r="G54" s="4580">
        <f>'D.1.4.10.2. ZP. PLOCHY A KOMUN.'!H428</f>
        <v>0</v>
      </c>
      <c r="H54" s="4604"/>
      <c r="I54" s="4581">
        <f>G54*1.15</f>
        <v>0</v>
      </c>
      <c r="J54" s="3652"/>
    </row>
    <row r="55" spans="2:11" ht="13.5" customHeight="1">
      <c r="B55" s="46"/>
      <c r="C55" s="5637" t="s">
        <v>47</v>
      </c>
      <c r="D55" s="5638"/>
      <c r="E55" s="5638"/>
      <c r="F55" s="4580"/>
      <c r="G55" s="4580">
        <f>'REKAPITULACE - DA'!C11</f>
        <v>0</v>
      </c>
      <c r="H55" s="4604"/>
      <c r="I55" s="4581">
        <f>G55*1.15</f>
        <v>0</v>
      </c>
      <c r="J55" s="3652"/>
    </row>
    <row r="56" spans="2:11">
      <c r="B56" s="46"/>
      <c r="C56" s="5637" t="s">
        <v>48</v>
      </c>
      <c r="D56" s="5638"/>
      <c r="E56" s="5638"/>
      <c r="F56" s="4580">
        <f>'D.2.1. PŘÍPOJKA VODOVODU'!H213</f>
        <v>0</v>
      </c>
      <c r="G56" s="4580"/>
      <c r="H56" s="4604">
        <f>F56*1.15</f>
        <v>0</v>
      </c>
      <c r="I56" s="4581"/>
      <c r="J56" s="3652"/>
    </row>
    <row r="57" spans="2:11">
      <c r="B57" s="46"/>
      <c r="C57" s="5637" t="s">
        <v>49</v>
      </c>
      <c r="D57" s="5638"/>
      <c r="E57" s="5638"/>
      <c r="F57" s="4580"/>
      <c r="G57" s="4580">
        <f>'D.2.1.1. AREÁLOVÝ VODOVOD'!H169</f>
        <v>0</v>
      </c>
      <c r="H57" s="4604"/>
      <c r="I57" s="4581">
        <f>G57*1.15</f>
        <v>0</v>
      </c>
      <c r="J57" s="3652"/>
    </row>
    <row r="58" spans="2:11">
      <c r="B58" s="46"/>
      <c r="C58" s="5637" t="s">
        <v>50</v>
      </c>
      <c r="D58" s="5638"/>
      <c r="E58" s="5638"/>
      <c r="F58" s="4580">
        <f>'D.2.2. PŘÍPOJKA KANALIZACE'!H240</f>
        <v>0</v>
      </c>
      <c r="G58" s="4580"/>
      <c r="H58" s="4604">
        <f>F58*1.15</f>
        <v>0</v>
      </c>
      <c r="I58" s="4581"/>
      <c r="J58" s="3652"/>
    </row>
    <row r="59" spans="2:11">
      <c r="B59" s="46"/>
      <c r="C59" s="5637" t="s">
        <v>51</v>
      </c>
      <c r="D59" s="5638"/>
      <c r="E59" s="5638"/>
      <c r="F59" s="4580">
        <f>'REKAPITULACE - AREÁL KAN'!C15</f>
        <v>0</v>
      </c>
      <c r="G59" s="4580"/>
      <c r="H59" s="4604">
        <f>F59*1.15</f>
        <v>0</v>
      </c>
      <c r="I59" s="4581"/>
      <c r="J59" s="3652"/>
    </row>
    <row r="60" spans="2:11">
      <c r="B60" s="46"/>
      <c r="C60" s="5637" t="s">
        <v>52</v>
      </c>
      <c r="D60" s="5638"/>
      <c r="E60" s="5638"/>
      <c r="F60" s="4580">
        <f>'D.2.4. PŘELOŽKA STL PLYNOVODU'!H208</f>
        <v>0</v>
      </c>
      <c r="G60" s="4580"/>
      <c r="H60" s="4604">
        <f>F60*1.15</f>
        <v>0</v>
      </c>
      <c r="I60" s="4581"/>
      <c r="J60" s="3652"/>
    </row>
    <row r="61" spans="2:11">
      <c r="B61" s="46"/>
      <c r="C61" s="5637" t="s">
        <v>53</v>
      </c>
      <c r="D61" s="5638"/>
      <c r="E61" s="5638"/>
      <c r="F61" s="5626" t="s">
        <v>6125</v>
      </c>
      <c r="G61" s="5627"/>
      <c r="H61" s="5627"/>
      <c r="I61" s="5628"/>
      <c r="J61" s="3652"/>
    </row>
    <row r="62" spans="2:11">
      <c r="B62" s="46"/>
      <c r="C62" s="5637" t="s">
        <v>54</v>
      </c>
      <c r="D62" s="5638"/>
      <c r="E62" s="5638"/>
      <c r="F62" s="4580">
        <f>'D.2.5. PŘÍPOJKA NN'!H214</f>
        <v>0</v>
      </c>
      <c r="G62" s="4580"/>
      <c r="H62" s="4604">
        <f>F62*1.15</f>
        <v>0</v>
      </c>
      <c r="I62" s="4581"/>
      <c r="J62" s="3652"/>
    </row>
    <row r="63" spans="2:11">
      <c r="B63" s="46"/>
      <c r="C63" s="5637" t="s">
        <v>55</v>
      </c>
      <c r="D63" s="5638"/>
      <c r="E63" s="5638"/>
      <c r="F63" s="4580">
        <f>'D.2.6. PŘÍPOJKA EL. KOMUNIKACE'!H200</f>
        <v>0</v>
      </c>
      <c r="G63" s="4580"/>
      <c r="H63" s="4604">
        <f>F63*1.15</f>
        <v>0</v>
      </c>
      <c r="I63" s="4581"/>
      <c r="J63" s="3652"/>
    </row>
    <row r="64" spans="2:11">
      <c r="B64" s="46"/>
      <c r="C64" s="5637" t="s">
        <v>56</v>
      </c>
      <c r="D64" s="5638"/>
      <c r="E64" s="5638"/>
      <c r="F64" s="4580"/>
      <c r="G64" s="4580">
        <f>'D.2.7. AREÁL OSVĚTLENÍ - TR. A1'!H128</f>
        <v>0</v>
      </c>
      <c r="H64" s="4604"/>
      <c r="I64" s="4581">
        <f>G64*1.15</f>
        <v>0</v>
      </c>
      <c r="J64" s="3652"/>
    </row>
    <row r="65" spans="1:15">
      <c r="B65" s="46"/>
      <c r="C65" s="5637" t="s">
        <v>57</v>
      </c>
      <c r="D65" s="5638"/>
      <c r="E65" s="5638"/>
      <c r="F65" s="4580"/>
      <c r="G65" s="4580">
        <f>'REKAPITULACE - AREÁL NN'!C16</f>
        <v>0</v>
      </c>
      <c r="H65" s="4604"/>
      <c r="I65" s="4581">
        <f>G65*1.15</f>
        <v>0</v>
      </c>
      <c r="J65" s="3652"/>
    </row>
    <row r="66" spans="1:15">
      <c r="B66" s="46"/>
      <c r="C66" s="5637" t="s">
        <v>58</v>
      </c>
      <c r="D66" s="5638"/>
      <c r="E66" s="5638"/>
      <c r="F66" s="4580">
        <f>'KOLEJNICOVÝ SYSTÉM'!F27</f>
        <v>0</v>
      </c>
      <c r="G66" s="4580"/>
      <c r="H66" s="4604">
        <f>F66*1.15</f>
        <v>0</v>
      </c>
      <c r="I66" s="4581"/>
      <c r="J66" s="3652"/>
    </row>
    <row r="67" spans="1:15">
      <c r="B67" s="3062"/>
      <c r="C67" s="5629" t="s">
        <v>10120</v>
      </c>
      <c r="D67" s="5630"/>
      <c r="E67" s="5630"/>
      <c r="F67" s="4604">
        <v>50000</v>
      </c>
      <c r="G67" s="4604"/>
      <c r="H67" s="4604">
        <f>F67*1</f>
        <v>50000</v>
      </c>
      <c r="I67" s="4581"/>
      <c r="J67" s="3652"/>
    </row>
    <row r="68" spans="1:15" ht="17.25" customHeight="1">
      <c r="B68" s="39" t="s">
        <v>13</v>
      </c>
      <c r="C68" s="40"/>
      <c r="D68" s="41"/>
      <c r="E68" s="42"/>
      <c r="F68" s="43">
        <f>SUM(F44:F48,F50:F60,F62:F67,F37)</f>
        <v>50000</v>
      </c>
      <c r="G68" s="43">
        <f>SUM(G44:G48,G50:G60,G62:G67,G36:G37)</f>
        <v>0</v>
      </c>
      <c r="H68" s="43">
        <f>SUM(H44:H48,H50:H60,H62:H67,H36:H37)</f>
        <v>50000</v>
      </c>
      <c r="I68" s="43">
        <f>SUM(I44:I48,I50:I60,I62:I67,I36:I37)</f>
        <v>0</v>
      </c>
      <c r="J68" s="3648"/>
      <c r="K68" s="3648"/>
      <c r="M68" s="3648"/>
    </row>
    <row r="69" spans="1:15">
      <c r="B69" s="3640"/>
      <c r="C69" s="3640"/>
      <c r="D69" s="3640"/>
      <c r="E69" s="3640"/>
      <c r="F69" s="3640"/>
      <c r="G69" s="3640"/>
      <c r="H69" s="3640"/>
      <c r="I69" s="3640"/>
      <c r="J69" s="3640"/>
    </row>
    <row r="70" spans="1:15" ht="2.25" customHeight="1"/>
    <row r="71" spans="1:15" ht="1.5" customHeight="1"/>
    <row r="72" spans="1:15" ht="0.75" customHeight="1"/>
    <row r="73" spans="1:15" ht="0.75" customHeight="1"/>
    <row r="74" spans="1:15" ht="0.75" customHeight="1"/>
    <row r="75" spans="1:15" ht="18">
      <c r="B75" s="30" t="s">
        <v>1</v>
      </c>
      <c r="C75" s="2"/>
      <c r="D75" s="2"/>
      <c r="E75" s="2"/>
      <c r="F75" s="2"/>
      <c r="G75" s="2"/>
      <c r="H75" s="2"/>
      <c r="I75" s="2"/>
    </row>
    <row r="76" spans="1:15" s="45" customFormat="1" ht="27" customHeight="1">
      <c r="A76" s="5634" t="s">
        <v>14</v>
      </c>
      <c r="B76" s="5635"/>
      <c r="C76" s="5635"/>
      <c r="D76" s="5635"/>
      <c r="E76" s="5635"/>
      <c r="F76" s="5635"/>
      <c r="G76" s="5635"/>
      <c r="H76" s="5635"/>
      <c r="I76" s="5635"/>
    </row>
    <row r="77" spans="1:15" s="44" customFormat="1" ht="24.6" customHeight="1">
      <c r="A77" s="5634" t="s">
        <v>29</v>
      </c>
      <c r="B77" s="5632"/>
      <c r="C77" s="5632"/>
      <c r="D77" s="5632"/>
      <c r="E77" s="5632"/>
      <c r="F77" s="5632"/>
      <c r="G77" s="5632"/>
      <c r="H77" s="5633"/>
      <c r="I77" s="5633"/>
      <c r="J77" s="3655"/>
      <c r="L77" s="3656"/>
    </row>
    <row r="78" spans="1:15" s="45" customFormat="1" ht="24.6" customHeight="1">
      <c r="B78" s="5636" t="s">
        <v>59</v>
      </c>
      <c r="C78" s="5636"/>
      <c r="D78" s="5636"/>
      <c r="E78" s="5636"/>
      <c r="F78" s="5636"/>
      <c r="G78" s="5636"/>
      <c r="H78" s="5636"/>
      <c r="I78" s="5636"/>
    </row>
    <row r="79" spans="1:15" s="44" customFormat="1" ht="24.6" customHeight="1">
      <c r="A79" s="5631" t="s">
        <v>30</v>
      </c>
      <c r="B79" s="5632"/>
      <c r="C79" s="5632"/>
      <c r="D79" s="5632"/>
      <c r="E79" s="5632"/>
      <c r="F79" s="5632"/>
      <c r="G79" s="5632"/>
      <c r="H79" s="5633"/>
      <c r="I79" s="5633"/>
      <c r="K79" s="3655"/>
      <c r="M79" s="3657"/>
      <c r="O79" s="3658"/>
    </row>
    <row r="80" spans="1:15" s="44" customFormat="1" ht="24.6" customHeight="1">
      <c r="A80" s="5631" t="s">
        <v>62</v>
      </c>
      <c r="B80" s="5632"/>
      <c r="C80" s="5632"/>
      <c r="D80" s="5632"/>
      <c r="E80" s="5632"/>
      <c r="F80" s="5632"/>
      <c r="G80" s="5632"/>
      <c r="H80" s="5633"/>
      <c r="I80" s="5633"/>
      <c r="J80" s="3655"/>
      <c r="L80" s="3656"/>
    </row>
  </sheetData>
  <mergeCells count="43">
    <mergeCell ref="C43:E43"/>
    <mergeCell ref="C42:E42"/>
    <mergeCell ref="C59:E59"/>
    <mergeCell ref="C60:E60"/>
    <mergeCell ref="C61:E61"/>
    <mergeCell ref="C52:E52"/>
    <mergeCell ref="C44:E44"/>
    <mergeCell ref="C45:E45"/>
    <mergeCell ref="C46:E46"/>
    <mergeCell ref="C53:E53"/>
    <mergeCell ref="C54:E54"/>
    <mergeCell ref="C55:E55"/>
    <mergeCell ref="C56:E56"/>
    <mergeCell ref="C57:E57"/>
    <mergeCell ref="C58:E58"/>
    <mergeCell ref="C37:E37"/>
    <mergeCell ref="C47:E47"/>
    <mergeCell ref="C48:E48"/>
    <mergeCell ref="C51:E51"/>
    <mergeCell ref="B2:I2"/>
    <mergeCell ref="B3:I3"/>
    <mergeCell ref="D5:H5"/>
    <mergeCell ref="C36:E36"/>
    <mergeCell ref="D7:G7"/>
    <mergeCell ref="C49:E49"/>
    <mergeCell ref="C50:E50"/>
    <mergeCell ref="F49:I49"/>
    <mergeCell ref="C38:E38"/>
    <mergeCell ref="C39:E39"/>
    <mergeCell ref="C40:E40"/>
    <mergeCell ref="C41:E41"/>
    <mergeCell ref="F61:I61"/>
    <mergeCell ref="C67:E67"/>
    <mergeCell ref="A80:I80"/>
    <mergeCell ref="A79:I79"/>
    <mergeCell ref="A76:I76"/>
    <mergeCell ref="A77:I77"/>
    <mergeCell ref="B78:I78"/>
    <mergeCell ref="C64:E64"/>
    <mergeCell ref="C66:E66"/>
    <mergeCell ref="C65:E65"/>
    <mergeCell ref="C62:E62"/>
    <mergeCell ref="C63:E63"/>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election activeCell="C23" sqref="C23"/>
    </sheetView>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653" t="s">
        <v>2</v>
      </c>
      <c r="B2" s="5654"/>
      <c r="C2" s="5657" t="s">
        <v>31</v>
      </c>
      <c r="D2" s="5658"/>
      <c r="E2" s="5658"/>
      <c r="F2" s="5658"/>
      <c r="G2" s="5659"/>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655"/>
      <c r="B3" s="5656"/>
      <c r="C3" s="5660"/>
      <c r="D3" s="5660"/>
      <c r="E3" s="5660"/>
      <c r="F3" s="5660"/>
      <c r="G3" s="5661"/>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662" t="s">
        <v>10572</v>
      </c>
      <c r="B4" s="5663"/>
      <c r="C4" s="5664" t="s">
        <v>10573</v>
      </c>
      <c r="D4" s="5665"/>
      <c r="E4" s="5665"/>
      <c r="F4" s="5665"/>
      <c r="G4" s="5666"/>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10574</v>
      </c>
      <c r="B7" s="4333" t="s">
        <v>10575</v>
      </c>
      <c r="C7" s="4334" t="s">
        <v>12</v>
      </c>
      <c r="D7" s="5667" t="s">
        <v>10576</v>
      </c>
      <c r="E7" s="5668"/>
      <c r="F7" s="5668"/>
      <c r="G7" s="5668"/>
      <c r="H7" s="4336" t="s">
        <v>22</v>
      </c>
      <c r="K7" s="4582"/>
      <c r="M7" s="4583"/>
    </row>
    <row r="8" spans="1:254" ht="33.75">
      <c r="A8" s="4335">
        <v>1</v>
      </c>
      <c r="B8" s="4337" t="s">
        <v>10577</v>
      </c>
      <c r="C8" s="4338" t="s">
        <v>10578</v>
      </c>
      <c r="D8" s="4339" t="s">
        <v>23</v>
      </c>
      <c r="E8" s="4340">
        <v>1</v>
      </c>
      <c r="F8" s="4340"/>
      <c r="G8" s="4350">
        <f t="shared" ref="G8:G16" si="0">ROUND(E8*F8,2)</f>
        <v>0</v>
      </c>
      <c r="H8" s="4341" t="s">
        <v>60</v>
      </c>
      <c r="K8" s="4584"/>
      <c r="L8" s="4585"/>
      <c r="M8" s="4584"/>
      <c r="Q8" s="4586"/>
      <c r="R8" s="4585"/>
      <c r="S8" s="4586"/>
    </row>
    <row r="9" spans="1:254" ht="22.5">
      <c r="A9" s="4335">
        <v>2</v>
      </c>
      <c r="B9" s="4337" t="s">
        <v>10579</v>
      </c>
      <c r="C9" s="4338" t="s">
        <v>10580</v>
      </c>
      <c r="D9" s="4339" t="s">
        <v>23</v>
      </c>
      <c r="E9" s="4340">
        <v>1</v>
      </c>
      <c r="F9" s="4340"/>
      <c r="G9" s="4350">
        <f t="shared" si="0"/>
        <v>0</v>
      </c>
      <c r="H9" s="4341" t="s">
        <v>60</v>
      </c>
      <c r="J9" s="4587"/>
      <c r="K9" s="4584"/>
      <c r="L9" s="4585"/>
      <c r="M9" s="4584"/>
      <c r="Q9" s="4586"/>
      <c r="R9" s="4585"/>
      <c r="S9" s="4586"/>
    </row>
    <row r="10" spans="1:254" ht="33.75">
      <c r="A10" s="4335">
        <v>3</v>
      </c>
      <c r="B10" s="4337" t="s">
        <v>10581</v>
      </c>
      <c r="C10" s="4338" t="s">
        <v>10582</v>
      </c>
      <c r="D10" s="4339" t="s">
        <v>23</v>
      </c>
      <c r="E10" s="4340">
        <v>1</v>
      </c>
      <c r="F10" s="4340"/>
      <c r="G10" s="4350">
        <f t="shared" si="0"/>
        <v>0</v>
      </c>
      <c r="H10" s="4341" t="s">
        <v>60</v>
      </c>
      <c r="K10" s="4584"/>
      <c r="L10" s="4585"/>
      <c r="M10" s="4584"/>
      <c r="Q10" s="4586"/>
      <c r="R10" s="4585"/>
      <c r="S10" s="4586"/>
    </row>
    <row r="11" spans="1:254" ht="45">
      <c r="A11" s="4335">
        <v>4</v>
      </c>
      <c r="B11" s="4337" t="s">
        <v>10583</v>
      </c>
      <c r="C11" s="4338" t="s">
        <v>10584</v>
      </c>
      <c r="D11" s="4339" t="s">
        <v>23</v>
      </c>
      <c r="E11" s="4340">
        <v>1</v>
      </c>
      <c r="F11" s="4340"/>
      <c r="G11" s="4350">
        <f t="shared" si="0"/>
        <v>0</v>
      </c>
      <c r="H11" s="4341" t="s">
        <v>60</v>
      </c>
      <c r="K11" s="4584"/>
      <c r="L11" s="4585"/>
      <c r="M11" s="4584"/>
      <c r="Q11" s="4586"/>
      <c r="R11" s="4585"/>
      <c r="S11" s="4586"/>
    </row>
    <row r="12" spans="1:254" ht="22.5">
      <c r="A12" s="4335">
        <v>5</v>
      </c>
      <c r="B12" s="4337" t="s">
        <v>10585</v>
      </c>
      <c r="C12" s="4338" t="s">
        <v>10586</v>
      </c>
      <c r="D12" s="4339" t="s">
        <v>23</v>
      </c>
      <c r="E12" s="4340">
        <v>1</v>
      </c>
      <c r="F12" s="4340"/>
      <c r="G12" s="4350">
        <f t="shared" si="0"/>
        <v>0</v>
      </c>
      <c r="H12" s="4341" t="s">
        <v>60</v>
      </c>
      <c r="I12" s="4331"/>
      <c r="K12" s="4584"/>
      <c r="L12" s="4585"/>
      <c r="M12" s="4584"/>
      <c r="Q12" s="4586"/>
      <c r="R12" s="4585"/>
      <c r="S12" s="4586"/>
    </row>
    <row r="13" spans="1:254" ht="22.5">
      <c r="A13" s="4335">
        <v>6</v>
      </c>
      <c r="B13" s="4337" t="s">
        <v>10587</v>
      </c>
      <c r="C13" s="4338" t="s">
        <v>10588</v>
      </c>
      <c r="D13" s="4339" t="s">
        <v>23</v>
      </c>
      <c r="E13" s="4340">
        <v>1</v>
      </c>
      <c r="F13" s="4340"/>
      <c r="G13" s="4350">
        <f t="shared" si="0"/>
        <v>0</v>
      </c>
      <c r="H13" s="4341" t="s">
        <v>60</v>
      </c>
      <c r="I13" s="4331"/>
      <c r="K13" s="4584"/>
      <c r="L13" s="4585"/>
      <c r="M13" s="4584"/>
      <c r="Q13" s="4586"/>
      <c r="R13" s="4585"/>
      <c r="S13" s="4586"/>
    </row>
    <row r="14" spans="1:254" ht="22.5">
      <c r="A14" s="4335">
        <v>7</v>
      </c>
      <c r="B14" s="4337" t="s">
        <v>10589</v>
      </c>
      <c r="C14" s="4338" t="s">
        <v>10590</v>
      </c>
      <c r="D14" s="4339" t="s">
        <v>23</v>
      </c>
      <c r="E14" s="4340">
        <v>1</v>
      </c>
      <c r="F14" s="4340"/>
      <c r="G14" s="4350">
        <f t="shared" si="0"/>
        <v>0</v>
      </c>
      <c r="H14" s="4341" t="s">
        <v>60</v>
      </c>
      <c r="I14" s="4331"/>
      <c r="K14" s="4584"/>
      <c r="L14" s="4585"/>
      <c r="M14" s="4584"/>
      <c r="Q14" s="4586"/>
      <c r="R14" s="4585"/>
      <c r="S14" s="4586"/>
    </row>
    <row r="15" spans="1:254" ht="22.5">
      <c r="A15" s="4335">
        <v>8</v>
      </c>
      <c r="B15" s="4337" t="s">
        <v>10591</v>
      </c>
      <c r="C15" s="4338" t="s">
        <v>10592</v>
      </c>
      <c r="D15" s="4339" t="s">
        <v>23</v>
      </c>
      <c r="E15" s="4340">
        <v>1</v>
      </c>
      <c r="F15" s="4340"/>
      <c r="G15" s="4350">
        <f t="shared" si="0"/>
        <v>0</v>
      </c>
      <c r="H15" s="4341" t="s">
        <v>60</v>
      </c>
      <c r="I15" s="4331"/>
      <c r="K15" s="4584"/>
      <c r="L15" s="4585"/>
      <c r="M15" s="4584"/>
      <c r="Q15" s="4586"/>
      <c r="R15" s="4585"/>
      <c r="S15" s="4586"/>
    </row>
    <row r="16" spans="1:254">
      <c r="A16" s="4335">
        <v>9</v>
      </c>
      <c r="B16" s="4337" t="s">
        <v>10593</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10594</v>
      </c>
      <c r="D17" s="4339"/>
      <c r="E17" s="4340"/>
      <c r="F17" s="4340"/>
      <c r="G17" s="4350"/>
      <c r="H17" s="4342"/>
      <c r="K17" s="4584"/>
      <c r="L17" s="4585"/>
      <c r="M17" s="4584"/>
      <c r="Q17" s="4586"/>
    </row>
    <row r="18" spans="1:19" ht="22.5">
      <c r="A18" s="4335">
        <v>10</v>
      </c>
      <c r="B18" s="4337" t="s">
        <v>10595</v>
      </c>
      <c r="C18" s="4338" t="s">
        <v>10596</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10597</v>
      </c>
      <c r="C19" s="4338" t="s">
        <v>10598</v>
      </c>
      <c r="D19" s="4339" t="s">
        <v>23</v>
      </c>
      <c r="E19" s="4340">
        <v>1</v>
      </c>
      <c r="F19" s="4340"/>
      <c r="G19" s="4350">
        <f t="shared" si="1"/>
        <v>0</v>
      </c>
      <c r="H19" s="4341" t="s">
        <v>60</v>
      </c>
      <c r="I19" s="4331"/>
      <c r="K19" s="4584"/>
      <c r="L19" s="4585"/>
      <c r="M19" s="4584"/>
      <c r="Q19" s="4586"/>
      <c r="R19" s="4585"/>
      <c r="S19" s="4586"/>
    </row>
    <row r="20" spans="1:19" ht="33.75">
      <c r="A20" s="4335">
        <v>12</v>
      </c>
      <c r="B20" s="4337" t="s">
        <v>10599</v>
      </c>
      <c r="C20" s="4338" t="s">
        <v>10600</v>
      </c>
      <c r="D20" s="4339" t="s">
        <v>23</v>
      </c>
      <c r="E20" s="4340">
        <v>1</v>
      </c>
      <c r="F20" s="4340"/>
      <c r="G20" s="4350">
        <f t="shared" si="1"/>
        <v>0</v>
      </c>
      <c r="H20" s="4341" t="s">
        <v>60</v>
      </c>
      <c r="K20" s="4584"/>
      <c r="L20" s="4585"/>
      <c r="M20" s="4584"/>
      <c r="Q20" s="4586"/>
      <c r="R20" s="4585"/>
      <c r="S20" s="4586"/>
    </row>
    <row r="21" spans="1:19" ht="45">
      <c r="A21" s="4335">
        <v>13</v>
      </c>
      <c r="B21" s="4337" t="s">
        <v>10601</v>
      </c>
      <c r="C21" s="4338" t="s">
        <v>10602</v>
      </c>
      <c r="D21" s="4339" t="s">
        <v>23</v>
      </c>
      <c r="E21" s="4340">
        <v>1</v>
      </c>
      <c r="F21" s="4340"/>
      <c r="G21" s="4350">
        <f t="shared" si="1"/>
        <v>0</v>
      </c>
      <c r="H21" s="4341" t="s">
        <v>60</v>
      </c>
      <c r="K21" s="4584"/>
      <c r="L21" s="4585"/>
      <c r="M21" s="4584"/>
      <c r="Q21" s="4586"/>
      <c r="R21" s="4585"/>
      <c r="S21" s="4586"/>
    </row>
    <row r="22" spans="1:19" ht="33.75">
      <c r="A22" s="4335">
        <v>14</v>
      </c>
      <c r="B22" s="4337" t="s">
        <v>10603</v>
      </c>
      <c r="C22" s="4338" t="s">
        <v>10604</v>
      </c>
      <c r="D22" s="4339" t="s">
        <v>23</v>
      </c>
      <c r="E22" s="4340">
        <v>1</v>
      </c>
      <c r="F22" s="4340"/>
      <c r="G22" s="4350">
        <f t="shared" si="1"/>
        <v>0</v>
      </c>
      <c r="H22" s="4341" t="s">
        <v>60</v>
      </c>
      <c r="K22" s="4584"/>
      <c r="L22" s="4585"/>
      <c r="M22" s="4584"/>
      <c r="Q22" s="4586"/>
      <c r="R22" s="4585"/>
      <c r="S22" s="4586"/>
    </row>
    <row r="23" spans="1:19" ht="22.5">
      <c r="A23" s="4335">
        <v>15</v>
      </c>
      <c r="B23" s="4337" t="s">
        <v>10605</v>
      </c>
      <c r="C23" s="4338" t="s">
        <v>10606</v>
      </c>
      <c r="D23" s="4339" t="s">
        <v>23</v>
      </c>
      <c r="E23" s="4340">
        <v>1</v>
      </c>
      <c r="F23" s="4340"/>
      <c r="G23" s="4350">
        <f t="shared" si="1"/>
        <v>0</v>
      </c>
      <c r="H23" s="4341" t="s">
        <v>60</v>
      </c>
      <c r="I23" s="4331"/>
      <c r="K23" s="4584"/>
      <c r="L23" s="4585"/>
      <c r="M23" s="4584"/>
      <c r="Q23" s="4586"/>
      <c r="R23" s="4585"/>
      <c r="S23" s="4586"/>
    </row>
    <row r="24" spans="1:19" ht="22.5">
      <c r="A24" s="4335">
        <v>16</v>
      </c>
      <c r="B24" s="4337" t="s">
        <v>10607</v>
      </c>
      <c r="C24" s="4338" t="s">
        <v>10608</v>
      </c>
      <c r="D24" s="4339" t="s">
        <v>23</v>
      </c>
      <c r="E24" s="4340">
        <v>1</v>
      </c>
      <c r="F24" s="4340"/>
      <c r="G24" s="4350">
        <f t="shared" si="1"/>
        <v>0</v>
      </c>
      <c r="H24" s="4341" t="s">
        <v>60</v>
      </c>
      <c r="I24" s="4331"/>
      <c r="K24" s="4584"/>
      <c r="L24" s="4585"/>
      <c r="M24" s="4584"/>
      <c r="Q24" s="4586"/>
      <c r="R24" s="4585"/>
      <c r="S24" s="4586"/>
    </row>
    <row r="25" spans="1:19" ht="45">
      <c r="A25" s="4335">
        <v>17</v>
      </c>
      <c r="B25" s="4337" t="s">
        <v>10609</v>
      </c>
      <c r="C25" s="4338" t="s">
        <v>10610</v>
      </c>
      <c r="D25" s="4339" t="s">
        <v>23</v>
      </c>
      <c r="E25" s="4340">
        <v>1</v>
      </c>
      <c r="F25" s="4340"/>
      <c r="G25" s="4350">
        <f t="shared" si="1"/>
        <v>0</v>
      </c>
      <c r="H25" s="4341" t="s">
        <v>60</v>
      </c>
      <c r="K25" s="4584"/>
      <c r="L25" s="4585"/>
      <c r="M25" s="4584"/>
      <c r="Q25" s="4586"/>
      <c r="R25" s="4585"/>
      <c r="S25" s="4586"/>
    </row>
    <row r="26" spans="1:19" ht="45">
      <c r="A26" s="4335">
        <v>18</v>
      </c>
      <c r="B26" s="4337" t="s">
        <v>10611</v>
      </c>
      <c r="C26" s="4338" t="s">
        <v>10612</v>
      </c>
      <c r="D26" s="4339" t="s">
        <v>23</v>
      </c>
      <c r="E26" s="4340">
        <v>1</v>
      </c>
      <c r="F26" s="4340"/>
      <c r="G26" s="4350">
        <f t="shared" si="1"/>
        <v>0</v>
      </c>
      <c r="H26" s="4341" t="s">
        <v>60</v>
      </c>
      <c r="K26" s="4584"/>
      <c r="L26" s="4585"/>
      <c r="M26" s="4584"/>
      <c r="Q26" s="4586"/>
      <c r="R26" s="4585"/>
      <c r="S26" s="4586"/>
    </row>
    <row r="27" spans="1:19">
      <c r="A27" s="4335">
        <v>19</v>
      </c>
      <c r="B27" s="4337" t="s">
        <v>10613</v>
      </c>
      <c r="C27" s="4558" t="s">
        <v>10614</v>
      </c>
      <c r="D27" s="4339" t="s">
        <v>23</v>
      </c>
      <c r="E27" s="4340">
        <v>1</v>
      </c>
      <c r="F27" s="4340"/>
      <c r="G27" s="4350">
        <f t="shared" si="1"/>
        <v>0</v>
      </c>
      <c r="H27" s="4341" t="s">
        <v>60</v>
      </c>
      <c r="K27" s="4584"/>
      <c r="L27" s="4585"/>
      <c r="M27" s="4584"/>
      <c r="Q27" s="4586"/>
      <c r="R27" s="4585"/>
      <c r="S27" s="4586"/>
    </row>
    <row r="28" spans="1:19" ht="123.75">
      <c r="A28" s="4335"/>
      <c r="B28" s="4337"/>
      <c r="C28" s="4559" t="s">
        <v>10638</v>
      </c>
      <c r="D28" s="4339"/>
      <c r="E28" s="4340"/>
      <c r="F28" s="4340"/>
      <c r="G28" s="4350"/>
      <c r="H28" s="4562"/>
      <c r="K28" s="4584"/>
      <c r="L28" s="4585"/>
      <c r="M28" s="4584"/>
      <c r="Q28" s="4586"/>
    </row>
    <row r="29" spans="1:19">
      <c r="A29" s="4335">
        <v>20</v>
      </c>
      <c r="B29" s="4337" t="s">
        <v>10615</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10616</v>
      </c>
      <c r="D30" s="4339"/>
      <c r="E30" s="4340"/>
      <c r="F30" s="4340"/>
      <c r="G30" s="4350"/>
      <c r="H30" s="4562"/>
      <c r="K30" s="4584"/>
      <c r="L30" s="4585"/>
      <c r="M30" s="4584"/>
      <c r="Q30" s="4586"/>
    </row>
    <row r="31" spans="1:19" ht="27" customHeight="1">
      <c r="A31" s="4335">
        <v>21</v>
      </c>
      <c r="B31" s="4337" t="s">
        <v>10617</v>
      </c>
      <c r="C31" s="4338" t="s">
        <v>10618</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10619</v>
      </c>
      <c r="D32" s="4339"/>
      <c r="E32" s="4340"/>
      <c r="F32" s="4340"/>
      <c r="G32" s="4350"/>
      <c r="H32" s="4562"/>
      <c r="I32" s="4589"/>
      <c r="K32" s="4584"/>
      <c r="L32" s="4590"/>
      <c r="M32" s="4584"/>
      <c r="Q32" s="4586"/>
    </row>
    <row r="33" spans="1:19" ht="27" customHeight="1">
      <c r="A33" s="4335">
        <v>22</v>
      </c>
      <c r="B33" s="4337" t="s">
        <v>10620</v>
      </c>
      <c r="C33" s="4338" t="s">
        <v>10621</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10622</v>
      </c>
      <c r="D34" s="4339"/>
      <c r="E34" s="4340"/>
      <c r="F34" s="4340"/>
      <c r="G34" s="4350"/>
      <c r="H34" s="4562"/>
      <c r="I34" s="4589"/>
      <c r="K34" s="4584"/>
      <c r="L34" s="4590"/>
      <c r="M34" s="4584"/>
      <c r="Q34" s="4586"/>
    </row>
    <row r="35" spans="1:19" ht="33.75">
      <c r="A35" s="4335">
        <v>23</v>
      </c>
      <c r="B35" s="4337" t="s">
        <v>10623</v>
      </c>
      <c r="C35" s="4338" t="s">
        <v>10639</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10624</v>
      </c>
      <c r="C36" s="4338" t="s">
        <v>10625</v>
      </c>
      <c r="D36" s="4339" t="s">
        <v>23</v>
      </c>
      <c r="E36" s="4340">
        <v>1</v>
      </c>
      <c r="F36" s="4340"/>
      <c r="G36" s="4350">
        <f t="shared" si="2"/>
        <v>0</v>
      </c>
      <c r="H36" s="4341" t="s">
        <v>60</v>
      </c>
      <c r="I36" s="4331"/>
      <c r="K36" s="4584"/>
      <c r="L36" s="4585"/>
      <c r="M36" s="4584"/>
      <c r="Q36" s="4586"/>
      <c r="R36" s="4585"/>
      <c r="S36" s="4586"/>
    </row>
    <row r="37" spans="1:19">
      <c r="A37" s="4335">
        <v>25</v>
      </c>
      <c r="B37" s="4337" t="s">
        <v>10626</v>
      </c>
      <c r="C37" s="4338" t="s">
        <v>10627</v>
      </c>
      <c r="D37" s="4339" t="s">
        <v>23</v>
      </c>
      <c r="E37" s="4340">
        <v>1</v>
      </c>
      <c r="F37" s="4340"/>
      <c r="G37" s="4350">
        <f t="shared" si="2"/>
        <v>0</v>
      </c>
      <c r="H37" s="4341" t="s">
        <v>60</v>
      </c>
      <c r="K37" s="4584"/>
      <c r="L37" s="4585"/>
      <c r="M37" s="4584"/>
      <c r="Q37" s="4586"/>
      <c r="R37" s="4585"/>
      <c r="S37" s="4586"/>
    </row>
    <row r="38" spans="1:19" ht="56.25">
      <c r="A38" s="4335">
        <v>26</v>
      </c>
      <c r="B38" s="4337" t="s">
        <v>10628</v>
      </c>
      <c r="C38" s="4338" t="s">
        <v>10629</v>
      </c>
      <c r="D38" s="4339" t="s">
        <v>23</v>
      </c>
      <c r="E38" s="4340">
        <v>1</v>
      </c>
      <c r="F38" s="4340"/>
      <c r="G38" s="4350">
        <f t="shared" si="2"/>
        <v>0</v>
      </c>
      <c r="H38" s="4341" t="s">
        <v>60</v>
      </c>
      <c r="K38" s="4584"/>
      <c r="L38" s="4585"/>
      <c r="M38" s="4584"/>
      <c r="Q38" s="4586"/>
      <c r="R38" s="4585"/>
      <c r="S38" s="4586"/>
    </row>
    <row r="39" spans="1:19" ht="56.25">
      <c r="A39" s="4560">
        <v>27</v>
      </c>
      <c r="B39" s="4337" t="s">
        <v>10630</v>
      </c>
      <c r="C39" s="4338" t="s">
        <v>10631</v>
      </c>
      <c r="D39" s="4339" t="s">
        <v>23</v>
      </c>
      <c r="E39" s="4340">
        <v>1</v>
      </c>
      <c r="F39" s="4561"/>
      <c r="G39" s="4350">
        <f t="shared" si="2"/>
        <v>0</v>
      </c>
      <c r="H39" s="4341" t="s">
        <v>60</v>
      </c>
      <c r="K39" s="4584"/>
      <c r="L39" s="4585"/>
      <c r="M39" s="4584"/>
      <c r="Q39" s="4586"/>
      <c r="R39" s="4585"/>
      <c r="S39" s="4586"/>
    </row>
    <row r="40" spans="1:19">
      <c r="A40" s="4335">
        <v>28</v>
      </c>
      <c r="B40" s="4337" t="s">
        <v>10632</v>
      </c>
      <c r="C40" s="4338" t="s">
        <v>10633</v>
      </c>
      <c r="D40" s="4339" t="s">
        <v>23</v>
      </c>
      <c r="E40" s="4340">
        <v>1</v>
      </c>
      <c r="F40" s="4340"/>
      <c r="G40" s="4350">
        <f t="shared" si="2"/>
        <v>0</v>
      </c>
      <c r="H40" s="4341" t="s">
        <v>60</v>
      </c>
      <c r="K40" s="4584"/>
      <c r="L40" s="4585"/>
      <c r="M40" s="4584"/>
      <c r="Q40" s="4586"/>
      <c r="R40" s="4585"/>
      <c r="S40" s="4586"/>
    </row>
    <row r="41" spans="1:19" ht="22.5">
      <c r="A41" s="4335">
        <v>29</v>
      </c>
      <c r="B41" s="4337" t="s">
        <v>10634</v>
      </c>
      <c r="C41" s="4338" t="s">
        <v>10635</v>
      </c>
      <c r="D41" s="4339" t="s">
        <v>23</v>
      </c>
      <c r="E41" s="4340">
        <v>1</v>
      </c>
      <c r="F41" s="4340"/>
      <c r="G41" s="4350">
        <f t="shared" si="2"/>
        <v>0</v>
      </c>
      <c r="H41" s="4341" t="s">
        <v>60</v>
      </c>
      <c r="K41" s="4584"/>
      <c r="L41" s="4585"/>
      <c r="M41" s="4584"/>
      <c r="Q41" s="4586"/>
      <c r="R41" s="4585"/>
      <c r="S41" s="4586"/>
    </row>
    <row r="42" spans="1:19">
      <c r="A42" s="4343"/>
      <c r="B42" s="4344" t="s">
        <v>10636</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650" t="s">
        <v>10637</v>
      </c>
      <c r="B45" s="5669"/>
      <c r="C45" s="5669"/>
      <c r="D45" s="5669"/>
      <c r="E45" s="5669"/>
      <c r="F45" s="5669"/>
      <c r="G45" s="5669"/>
      <c r="H45" s="4331"/>
    </row>
    <row r="46" spans="1:19" ht="100.5" customHeight="1">
      <c r="A46" s="5650" t="s">
        <v>26</v>
      </c>
      <c r="B46" s="5650"/>
      <c r="C46" s="5650"/>
      <c r="D46" s="5650"/>
      <c r="E46" s="5650"/>
      <c r="F46" s="5650"/>
      <c r="G46" s="5650"/>
      <c r="H46" s="4331"/>
    </row>
    <row r="47" spans="1:19" ht="13.5" customHeight="1">
      <c r="A47" s="5650" t="s">
        <v>27</v>
      </c>
      <c r="B47" s="5651"/>
      <c r="C47" s="5651"/>
      <c r="D47" s="5651"/>
      <c r="E47" s="5651"/>
      <c r="F47" s="5651"/>
      <c r="G47" s="5651"/>
      <c r="H47" s="4331"/>
    </row>
    <row r="48" spans="1:19" ht="13.5" customHeight="1">
      <c r="A48" s="5650" t="s">
        <v>28</v>
      </c>
      <c r="B48" s="5651"/>
      <c r="C48" s="5651"/>
      <c r="D48" s="5651"/>
      <c r="E48" s="5651"/>
      <c r="F48" s="5651"/>
      <c r="G48" s="5651"/>
      <c r="H48" s="4331"/>
    </row>
    <row r="49" spans="1:9" s="52" customFormat="1" ht="40.5" customHeight="1">
      <c r="A49" s="5652" t="s">
        <v>61</v>
      </c>
      <c r="B49" s="5652"/>
      <c r="C49" s="5652"/>
      <c r="D49" s="5652"/>
      <c r="E49" s="5652"/>
      <c r="F49" s="5652"/>
      <c r="G49" s="5652"/>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671" t="s">
        <v>10718</v>
      </c>
      <c r="AS2" s="5672"/>
      <c r="AT2" s="5672"/>
      <c r="AU2" s="5672"/>
      <c r="AV2" s="5672"/>
      <c r="AW2" s="5672"/>
      <c r="AX2" s="5672"/>
      <c r="AY2" s="5672"/>
      <c r="AZ2" s="5672"/>
      <c r="BA2" s="5672"/>
      <c r="BB2" s="5672"/>
      <c r="BC2" s="5672"/>
      <c r="BD2" s="5672"/>
      <c r="BE2" s="5672"/>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673" t="s">
        <v>3155</v>
      </c>
      <c r="L5" s="5672"/>
      <c r="M5" s="5672"/>
      <c r="N5" s="5672"/>
      <c r="O5" s="5672"/>
      <c r="P5" s="5672"/>
      <c r="Q5" s="5672"/>
      <c r="R5" s="5672"/>
      <c r="S5" s="5672"/>
      <c r="T5" s="5672"/>
      <c r="U5" s="5672"/>
      <c r="V5" s="5672"/>
      <c r="W5" s="5672"/>
      <c r="X5" s="5672"/>
      <c r="Y5" s="5672"/>
      <c r="Z5" s="5672"/>
      <c r="AA5" s="5672"/>
      <c r="AB5" s="5672"/>
      <c r="AC5" s="5672"/>
      <c r="AD5" s="5672"/>
      <c r="AE5" s="5672"/>
      <c r="AF5" s="5672"/>
      <c r="AG5" s="5672"/>
      <c r="AH5" s="5672"/>
      <c r="AI5" s="5672"/>
      <c r="AJ5" s="5672"/>
      <c r="AK5" s="5672"/>
      <c r="AL5" s="5672"/>
      <c r="AM5" s="5672"/>
      <c r="AN5" s="5672"/>
      <c r="AO5" s="5672"/>
      <c r="AR5" s="2059"/>
      <c r="BS5" s="2056" t="s">
        <v>3150</v>
      </c>
    </row>
    <row r="6" spans="1:74" ht="36.950000000000003" customHeight="1">
      <c r="B6" s="2059"/>
      <c r="D6" s="2064" t="s">
        <v>3156</v>
      </c>
      <c r="K6" s="5674" t="s">
        <v>3157</v>
      </c>
      <c r="L6" s="5672"/>
      <c r="M6" s="5672"/>
      <c r="N6" s="5672"/>
      <c r="O6" s="5672"/>
      <c r="P6" s="5672"/>
      <c r="Q6" s="5672"/>
      <c r="R6" s="5672"/>
      <c r="S6" s="5672"/>
      <c r="T6" s="5672"/>
      <c r="U6" s="5672"/>
      <c r="V6" s="5672"/>
      <c r="W6" s="5672"/>
      <c r="X6" s="5672"/>
      <c r="Y6" s="5672"/>
      <c r="Z6" s="5672"/>
      <c r="AA6" s="5672"/>
      <c r="AB6" s="5672"/>
      <c r="AC6" s="5672"/>
      <c r="AD6" s="5672"/>
      <c r="AE6" s="5672"/>
      <c r="AF6" s="5672"/>
      <c r="AG6" s="5672"/>
      <c r="AH6" s="5672"/>
      <c r="AI6" s="5672"/>
      <c r="AJ6" s="5672"/>
      <c r="AK6" s="5672"/>
      <c r="AL6" s="5672"/>
      <c r="AM6" s="5672"/>
      <c r="AN6" s="5672"/>
      <c r="AO6" s="5672"/>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675" t="s">
        <v>3146</v>
      </c>
      <c r="F23" s="5675"/>
      <c r="G23" s="5675"/>
      <c r="H23" s="5675"/>
      <c r="I23" s="5675"/>
      <c r="J23" s="5675"/>
      <c r="K23" s="5675"/>
      <c r="L23" s="5675"/>
      <c r="M23" s="5675"/>
      <c r="N23" s="5675"/>
      <c r="O23" s="5675"/>
      <c r="P23" s="5675"/>
      <c r="Q23" s="5675"/>
      <c r="R23" s="5675"/>
      <c r="S23" s="5675"/>
      <c r="T23" s="5675"/>
      <c r="U23" s="5675"/>
      <c r="V23" s="5675"/>
      <c r="W23" s="5675"/>
      <c r="X23" s="5675"/>
      <c r="Y23" s="5675"/>
      <c r="Z23" s="5675"/>
      <c r="AA23" s="5675"/>
      <c r="AB23" s="5675"/>
      <c r="AC23" s="5675"/>
      <c r="AD23" s="5675"/>
      <c r="AE23" s="5675"/>
      <c r="AF23" s="5675"/>
      <c r="AG23" s="5675"/>
      <c r="AH23" s="5675"/>
      <c r="AI23" s="5675"/>
      <c r="AJ23" s="5675"/>
      <c r="AK23" s="5675"/>
      <c r="AL23" s="5675"/>
      <c r="AM23" s="5675"/>
      <c r="AN23" s="5675"/>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670">
        <f>ROUND(AG94,2)</f>
        <v>0</v>
      </c>
      <c r="AL26" s="5672"/>
      <c r="AM26" s="5672"/>
      <c r="AN26" s="5672"/>
      <c r="AO26" s="5672"/>
      <c r="AR26" s="2059"/>
    </row>
    <row r="27" spans="2:71" ht="14.45" customHeight="1">
      <c r="B27" s="2059"/>
      <c r="D27" s="2068" t="s">
        <v>3174</v>
      </c>
      <c r="AK27" s="5670">
        <f>ROUND(AG102, 2)</f>
        <v>0</v>
      </c>
      <c r="AL27" s="5670"/>
      <c r="AM27" s="5670"/>
      <c r="AN27" s="5670"/>
      <c r="AO27" s="5670"/>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676">
        <f>ROUND(AK26 + AK27, 2)</f>
        <v>0</v>
      </c>
      <c r="AL29" s="5677"/>
      <c r="AM29" s="5677"/>
      <c r="AN29" s="5677"/>
      <c r="AO29" s="5677"/>
      <c r="AR29" s="2071"/>
    </row>
    <row r="30" spans="2:71" s="2070" customFormat="1" ht="6.95" customHeight="1">
      <c r="B30" s="2071"/>
      <c r="AR30" s="2071"/>
    </row>
    <row r="31" spans="2:71" s="2070" customFormat="1" ht="12.75">
      <c r="B31" s="2071"/>
      <c r="L31" s="5678" t="s">
        <v>3176</v>
      </c>
      <c r="M31" s="5678"/>
      <c r="N31" s="5678"/>
      <c r="O31" s="5678"/>
      <c r="P31" s="5678"/>
      <c r="W31" s="5678" t="s">
        <v>3177</v>
      </c>
      <c r="X31" s="5678"/>
      <c r="Y31" s="5678"/>
      <c r="Z31" s="5678"/>
      <c r="AA31" s="5678"/>
      <c r="AB31" s="5678"/>
      <c r="AC31" s="5678"/>
      <c r="AD31" s="5678"/>
      <c r="AE31" s="5678"/>
      <c r="AK31" s="5678" t="s">
        <v>3178</v>
      </c>
      <c r="AL31" s="5678"/>
      <c r="AM31" s="5678"/>
      <c r="AN31" s="5678"/>
      <c r="AO31" s="5678"/>
      <c r="AR31" s="2071"/>
    </row>
    <row r="32" spans="2:71" s="2075" customFormat="1" ht="14.45" customHeight="1">
      <c r="B32" s="2076"/>
      <c r="D32" s="2065" t="s">
        <v>3179</v>
      </c>
      <c r="F32" s="2065" t="s">
        <v>3180</v>
      </c>
      <c r="L32" s="5679">
        <v>0.21</v>
      </c>
      <c r="M32" s="5680"/>
      <c r="N32" s="5680"/>
      <c r="O32" s="5680"/>
      <c r="P32" s="5680"/>
      <c r="W32" s="5681">
        <f>ROUND(AZ94 + SUM(CD102), 2)</f>
        <v>0</v>
      </c>
      <c r="X32" s="5680"/>
      <c r="Y32" s="5680"/>
      <c r="Z32" s="5680"/>
      <c r="AA32" s="5680"/>
      <c r="AB32" s="5680"/>
      <c r="AC32" s="5680"/>
      <c r="AD32" s="5680"/>
      <c r="AE32" s="5680"/>
      <c r="AK32" s="5681">
        <f>ROUND(AV94 + SUM(BY102), 2)</f>
        <v>0</v>
      </c>
      <c r="AL32" s="5680"/>
      <c r="AM32" s="5680"/>
      <c r="AN32" s="5680"/>
      <c r="AO32" s="5680"/>
      <c r="AR32" s="2076"/>
    </row>
    <row r="33" spans="2:44" s="2075" customFormat="1" ht="14.45" customHeight="1">
      <c r="B33" s="2076"/>
      <c r="F33" s="2065" t="s">
        <v>3181</v>
      </c>
      <c r="L33" s="5679">
        <v>0.15</v>
      </c>
      <c r="M33" s="5680"/>
      <c r="N33" s="5680"/>
      <c r="O33" s="5680"/>
      <c r="P33" s="5680"/>
      <c r="W33" s="5681">
        <f>ROUND(BA94 + SUM(CE102), 2)</f>
        <v>0</v>
      </c>
      <c r="X33" s="5680"/>
      <c r="Y33" s="5680"/>
      <c r="Z33" s="5680"/>
      <c r="AA33" s="5680"/>
      <c r="AB33" s="5680"/>
      <c r="AC33" s="5680"/>
      <c r="AD33" s="5680"/>
      <c r="AE33" s="5680"/>
      <c r="AK33" s="5681">
        <f>ROUND(AW94 + SUM(BZ102), 2)</f>
        <v>0</v>
      </c>
      <c r="AL33" s="5680"/>
      <c r="AM33" s="5680"/>
      <c r="AN33" s="5680"/>
      <c r="AO33" s="5680"/>
      <c r="AR33" s="2076"/>
    </row>
    <row r="34" spans="2:44" s="2075" customFormat="1" ht="14.45" hidden="1" customHeight="1">
      <c r="B34" s="2076"/>
      <c r="F34" s="2065" t="s">
        <v>3182</v>
      </c>
      <c r="L34" s="5679">
        <v>0.21</v>
      </c>
      <c r="M34" s="5680"/>
      <c r="N34" s="5680"/>
      <c r="O34" s="5680"/>
      <c r="P34" s="5680"/>
      <c r="W34" s="5681">
        <f>ROUND(BB94 + SUM(CF102), 2)</f>
        <v>0</v>
      </c>
      <c r="X34" s="5680"/>
      <c r="Y34" s="5680"/>
      <c r="Z34" s="5680"/>
      <c r="AA34" s="5680"/>
      <c r="AB34" s="5680"/>
      <c r="AC34" s="5680"/>
      <c r="AD34" s="5680"/>
      <c r="AE34" s="5680"/>
      <c r="AK34" s="5681">
        <v>0</v>
      </c>
      <c r="AL34" s="5680"/>
      <c r="AM34" s="5680"/>
      <c r="AN34" s="5680"/>
      <c r="AO34" s="5680"/>
      <c r="AR34" s="2076"/>
    </row>
    <row r="35" spans="2:44" s="2075" customFormat="1" ht="14.45" hidden="1" customHeight="1">
      <c r="B35" s="2076"/>
      <c r="F35" s="2065" t="s">
        <v>3183</v>
      </c>
      <c r="L35" s="5679">
        <v>0.15</v>
      </c>
      <c r="M35" s="5680"/>
      <c r="N35" s="5680"/>
      <c r="O35" s="5680"/>
      <c r="P35" s="5680"/>
      <c r="W35" s="5681">
        <f>ROUND(BC94 + SUM(CG102), 2)</f>
        <v>0</v>
      </c>
      <c r="X35" s="5680"/>
      <c r="Y35" s="5680"/>
      <c r="Z35" s="5680"/>
      <c r="AA35" s="5680"/>
      <c r="AB35" s="5680"/>
      <c r="AC35" s="5680"/>
      <c r="AD35" s="5680"/>
      <c r="AE35" s="5680"/>
      <c r="AK35" s="5681">
        <v>0</v>
      </c>
      <c r="AL35" s="5680"/>
      <c r="AM35" s="5680"/>
      <c r="AN35" s="5680"/>
      <c r="AO35" s="5680"/>
      <c r="AR35" s="2076"/>
    </row>
    <row r="36" spans="2:44" s="2075" customFormat="1" ht="14.45" hidden="1" customHeight="1">
      <c r="B36" s="2076"/>
      <c r="F36" s="2065" t="s">
        <v>3184</v>
      </c>
      <c r="L36" s="5679">
        <v>0</v>
      </c>
      <c r="M36" s="5680"/>
      <c r="N36" s="5680"/>
      <c r="O36" s="5680"/>
      <c r="P36" s="5680"/>
      <c r="W36" s="5681">
        <f>ROUND(BD94 + SUM(CH102), 2)</f>
        <v>0</v>
      </c>
      <c r="X36" s="5680"/>
      <c r="Y36" s="5680"/>
      <c r="Z36" s="5680"/>
      <c r="AA36" s="5680"/>
      <c r="AB36" s="5680"/>
      <c r="AC36" s="5680"/>
      <c r="AD36" s="5680"/>
      <c r="AE36" s="5680"/>
      <c r="AK36" s="5681">
        <v>0</v>
      </c>
      <c r="AL36" s="5680"/>
      <c r="AM36" s="5680"/>
      <c r="AN36" s="5680"/>
      <c r="AO36" s="5680"/>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688" t="s">
        <v>3187</v>
      </c>
      <c r="Y38" s="5689"/>
      <c r="Z38" s="5689"/>
      <c r="AA38" s="5689"/>
      <c r="AB38" s="5689"/>
      <c r="AC38" s="2079"/>
      <c r="AD38" s="2079"/>
      <c r="AE38" s="2079"/>
      <c r="AF38" s="2079"/>
      <c r="AG38" s="2079"/>
      <c r="AH38" s="2079"/>
      <c r="AI38" s="2079"/>
      <c r="AJ38" s="2079"/>
      <c r="AK38" s="5690">
        <f>SUM(AK29:AK36)</f>
        <v>0</v>
      </c>
      <c r="AL38" s="5689"/>
      <c r="AM38" s="5689"/>
      <c r="AN38" s="5689"/>
      <c r="AO38" s="5691"/>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692" t="str">
        <f>K6</f>
        <v>Dostavba domova pro seniory ve Vrchlabí - PD</v>
      </c>
      <c r="M85" s="5693"/>
      <c r="N85" s="5693"/>
      <c r="O85" s="5693"/>
      <c r="P85" s="5693"/>
      <c r="Q85" s="5693"/>
      <c r="R85" s="5693"/>
      <c r="S85" s="5693"/>
      <c r="T85" s="5693"/>
      <c r="U85" s="5693"/>
      <c r="V85" s="5693"/>
      <c r="W85" s="5693"/>
      <c r="X85" s="5693"/>
      <c r="Y85" s="5693"/>
      <c r="Z85" s="5693"/>
      <c r="AA85" s="5693"/>
      <c r="AB85" s="5693"/>
      <c r="AC85" s="5693"/>
      <c r="AD85" s="5693"/>
      <c r="AE85" s="5693"/>
      <c r="AF85" s="5693"/>
      <c r="AG85" s="5693"/>
      <c r="AH85" s="5693"/>
      <c r="AI85" s="5693"/>
      <c r="AJ85" s="5693"/>
      <c r="AK85" s="5693"/>
      <c r="AL85" s="5693"/>
      <c r="AM85" s="5693"/>
      <c r="AN85" s="5693"/>
      <c r="AO85" s="5693"/>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694" t="str">
        <f>IF(AN8= "","",AN8)</f>
        <v>15. 5. 2023</v>
      </c>
      <c r="AN87" s="5694"/>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686" t="str">
        <f>IF(E17="","",E17)</f>
        <v xml:space="preserve"> </v>
      </c>
      <c r="AN89" s="5687"/>
      <c r="AO89" s="5687"/>
      <c r="AP89" s="5687"/>
      <c r="AR89" s="2071"/>
      <c r="AS89" s="5682" t="s">
        <v>3195</v>
      </c>
      <c r="AT89" s="5683"/>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686" t="str">
        <f>IF(E20="","",E20)</f>
        <v xml:space="preserve"> </v>
      </c>
      <c r="AN90" s="5687"/>
      <c r="AO90" s="5687"/>
      <c r="AP90" s="5687"/>
      <c r="AR90" s="2071"/>
      <c r="AS90" s="5684"/>
      <c r="AT90" s="5685"/>
      <c r="BD90" s="2098"/>
    </row>
    <row r="91" spans="1:91" s="2070" customFormat="1" ht="10.9" customHeight="1">
      <c r="B91" s="2071"/>
      <c r="AR91" s="2071"/>
      <c r="AS91" s="5684"/>
      <c r="AT91" s="5685"/>
      <c r="BD91" s="2098"/>
    </row>
    <row r="92" spans="1:91" s="2070" customFormat="1" ht="29.25" customHeight="1">
      <c r="B92" s="2071"/>
      <c r="C92" s="5695" t="s">
        <v>116</v>
      </c>
      <c r="D92" s="5696"/>
      <c r="E92" s="5696"/>
      <c r="F92" s="5696"/>
      <c r="G92" s="5696"/>
      <c r="H92" s="2099"/>
      <c r="I92" s="5697" t="s">
        <v>68</v>
      </c>
      <c r="J92" s="5696"/>
      <c r="K92" s="5696"/>
      <c r="L92" s="5696"/>
      <c r="M92" s="5696"/>
      <c r="N92" s="5696"/>
      <c r="O92" s="5696"/>
      <c r="P92" s="5696"/>
      <c r="Q92" s="5696"/>
      <c r="R92" s="5696"/>
      <c r="S92" s="5696"/>
      <c r="T92" s="5696"/>
      <c r="U92" s="5696"/>
      <c r="V92" s="5696"/>
      <c r="W92" s="5696"/>
      <c r="X92" s="5696"/>
      <c r="Y92" s="5696"/>
      <c r="Z92" s="5696"/>
      <c r="AA92" s="5696"/>
      <c r="AB92" s="5696"/>
      <c r="AC92" s="5696"/>
      <c r="AD92" s="5696"/>
      <c r="AE92" s="5696"/>
      <c r="AF92" s="5696"/>
      <c r="AG92" s="5698" t="s">
        <v>3196</v>
      </c>
      <c r="AH92" s="5696"/>
      <c r="AI92" s="5696"/>
      <c r="AJ92" s="5696"/>
      <c r="AK92" s="5696"/>
      <c r="AL92" s="5696"/>
      <c r="AM92" s="5696"/>
      <c r="AN92" s="5697" t="s">
        <v>3197</v>
      </c>
      <c r="AO92" s="5696"/>
      <c r="AP92" s="5699"/>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700">
        <f>ROUND(SUM(AG95:AG100),2)</f>
        <v>0</v>
      </c>
      <c r="AH94" s="5700"/>
      <c r="AI94" s="5700"/>
      <c r="AJ94" s="5700"/>
      <c r="AK94" s="5700"/>
      <c r="AL94" s="5700"/>
      <c r="AM94" s="5700"/>
      <c r="AN94" s="5701">
        <f t="shared" ref="AN94:AN100" si="0">SUM(AG94,AT94)</f>
        <v>0</v>
      </c>
      <c r="AO94" s="5701"/>
      <c r="AP94" s="5701"/>
      <c r="AQ94" s="2110" t="s">
        <v>3146</v>
      </c>
      <c r="AR94" s="2106"/>
      <c r="AS94" s="2111">
        <f>ROUND(SUM(AS95:AS100),2)</f>
        <v>0</v>
      </c>
      <c r="AT94" s="2112">
        <f t="shared" ref="AT94:AT100" si="1">ROUND(SUM(AV94:AW94),2)</f>
        <v>0</v>
      </c>
      <c r="AU94" s="2113">
        <f>ROUND(SUM(AU95:AU100),5)</f>
        <v>95274.866410000002</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702" t="s">
        <v>3218</v>
      </c>
      <c r="E95" s="5702"/>
      <c r="F95" s="5702"/>
      <c r="G95" s="5702"/>
      <c r="H95" s="5702"/>
      <c r="I95" s="2120"/>
      <c r="J95" s="5702" t="s">
        <v>3219</v>
      </c>
      <c r="K95" s="5702"/>
      <c r="L95" s="5702"/>
      <c r="M95" s="5702"/>
      <c r="N95" s="5702"/>
      <c r="O95" s="5702"/>
      <c r="P95" s="5702"/>
      <c r="Q95" s="5702"/>
      <c r="R95" s="5702"/>
      <c r="S95" s="5702"/>
      <c r="T95" s="5702"/>
      <c r="U95" s="5702"/>
      <c r="V95" s="5702"/>
      <c r="W95" s="5702"/>
      <c r="X95" s="5702"/>
      <c r="Y95" s="5702"/>
      <c r="Z95" s="5702"/>
      <c r="AA95" s="5702"/>
      <c r="AB95" s="5702"/>
      <c r="AC95" s="5702"/>
      <c r="AD95" s="5702"/>
      <c r="AE95" s="5702"/>
      <c r="AF95" s="5702"/>
      <c r="AG95" s="5703">
        <f>'01 - Novostavba'!J32</f>
        <v>0</v>
      </c>
      <c r="AH95" s="5704"/>
      <c r="AI95" s="5704"/>
      <c r="AJ95" s="5704"/>
      <c r="AK95" s="5704"/>
      <c r="AL95" s="5704"/>
      <c r="AM95" s="5704"/>
      <c r="AN95" s="5705">
        <f t="shared" si="0"/>
        <v>0</v>
      </c>
      <c r="AO95" s="5706"/>
      <c r="AP95" s="5706"/>
      <c r="AQ95" s="2121" t="s">
        <v>3220</v>
      </c>
      <c r="AR95" s="2118"/>
      <c r="AS95" s="2122">
        <v>0</v>
      </c>
      <c r="AT95" s="2123">
        <f t="shared" si="1"/>
        <v>0</v>
      </c>
      <c r="AU95" s="2124">
        <f>'01 - Novostavba'!P147</f>
        <v>64980.252714239075</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702" t="s">
        <v>3222</v>
      </c>
      <c r="E96" s="5702"/>
      <c r="F96" s="5702"/>
      <c r="G96" s="5702"/>
      <c r="H96" s="5702"/>
      <c r="I96" s="2120"/>
      <c r="J96" s="5702" t="s">
        <v>3223</v>
      </c>
      <c r="K96" s="5702"/>
      <c r="L96" s="5702"/>
      <c r="M96" s="5702"/>
      <c r="N96" s="5702"/>
      <c r="O96" s="5702"/>
      <c r="P96" s="5702"/>
      <c r="Q96" s="5702"/>
      <c r="R96" s="5702"/>
      <c r="S96" s="5702"/>
      <c r="T96" s="5702"/>
      <c r="U96" s="5702"/>
      <c r="V96" s="5702"/>
      <c r="W96" s="5702"/>
      <c r="X96" s="5702"/>
      <c r="Y96" s="5702"/>
      <c r="Z96" s="5702"/>
      <c r="AA96" s="5702"/>
      <c r="AB96" s="5702"/>
      <c r="AC96" s="5702"/>
      <c r="AD96" s="5702"/>
      <c r="AE96" s="5702"/>
      <c r="AF96" s="5702"/>
      <c r="AG96" s="5703">
        <f>'01.1 - Novostavba - podlahy'!J32</f>
        <v>0</v>
      </c>
      <c r="AH96" s="5704"/>
      <c r="AI96" s="5704"/>
      <c r="AJ96" s="5704"/>
      <c r="AK96" s="5704"/>
      <c r="AL96" s="5704"/>
      <c r="AM96" s="5704"/>
      <c r="AN96" s="5705">
        <f t="shared" si="0"/>
        <v>0</v>
      </c>
      <c r="AO96" s="5706"/>
      <c r="AP96" s="5706"/>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702" t="s">
        <v>3225</v>
      </c>
      <c r="E97" s="5702"/>
      <c r="F97" s="5702"/>
      <c r="G97" s="5702"/>
      <c r="H97" s="5702"/>
      <c r="I97" s="2120"/>
      <c r="J97" s="5702" t="s">
        <v>3226</v>
      </c>
      <c r="K97" s="5702"/>
      <c r="L97" s="5702"/>
      <c r="M97" s="5702"/>
      <c r="N97" s="5702"/>
      <c r="O97" s="5702"/>
      <c r="P97" s="5702"/>
      <c r="Q97" s="5702"/>
      <c r="R97" s="5702"/>
      <c r="S97" s="5702"/>
      <c r="T97" s="5702"/>
      <c r="U97" s="5702"/>
      <c r="V97" s="5702"/>
      <c r="W97" s="5702"/>
      <c r="X97" s="5702"/>
      <c r="Y97" s="5702"/>
      <c r="Z97" s="5702"/>
      <c r="AA97" s="5702"/>
      <c r="AB97" s="5702"/>
      <c r="AC97" s="5702"/>
      <c r="AD97" s="5702"/>
      <c r="AE97" s="5702"/>
      <c r="AF97" s="5702"/>
      <c r="AG97" s="5703">
        <f>'01.2 - Vyýpisy prvků - ta...'!J32</f>
        <v>0</v>
      </c>
      <c r="AH97" s="5704"/>
      <c r="AI97" s="5704"/>
      <c r="AJ97" s="5704"/>
      <c r="AK97" s="5704"/>
      <c r="AL97" s="5704"/>
      <c r="AM97" s="5704"/>
      <c r="AN97" s="5705">
        <f t="shared" si="0"/>
        <v>0</v>
      </c>
      <c r="AO97" s="5706"/>
      <c r="AP97" s="5706"/>
      <c r="AQ97" s="2121" t="s">
        <v>3220</v>
      </c>
      <c r="AR97" s="2118"/>
      <c r="AS97" s="2122">
        <v>0</v>
      </c>
      <c r="AT97" s="2123">
        <f t="shared" si="1"/>
        <v>0</v>
      </c>
      <c r="AU97" s="2124">
        <f>'01.2 - Vyýpisy prvků - ta...'!P148</f>
        <v>14396.426042999996</v>
      </c>
      <c r="AV97" s="2123">
        <f>'01.2 - Vyýpisy prvků - ta...'!J35</f>
        <v>0</v>
      </c>
      <c r="AW97" s="2123">
        <f>'01.2 - Vyýpisy prvků - ta...'!J36</f>
        <v>0</v>
      </c>
      <c r="AX97" s="2123">
        <f>'01.2 - Vyýpisy prvků - ta...'!J37</f>
        <v>0</v>
      </c>
      <c r="AY97" s="2123">
        <f>'01.2 - Vyýpisy prvků - ta...'!J38</f>
        <v>0</v>
      </c>
      <c r="AZ97" s="2123">
        <f>'01.2 - Vyýpisy prvků - ta...'!F35</f>
        <v>0</v>
      </c>
      <c r="BA97" s="2123">
        <f>'01.2 - Vyýpisy prvků - ta...'!F36</f>
        <v>0</v>
      </c>
      <c r="BB97" s="2123">
        <f>'01.2 - Vyýpisy prvků - ta...'!F37</f>
        <v>0</v>
      </c>
      <c r="BC97" s="2123">
        <f>'01.2 - Vyýpisy prvků - ta...'!F38</f>
        <v>0</v>
      </c>
      <c r="BD97" s="2125">
        <f>'01.2 - Vyýpisy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702" t="s">
        <v>3228</v>
      </c>
      <c r="E98" s="5702"/>
      <c r="F98" s="5702"/>
      <c r="G98" s="5702"/>
      <c r="H98" s="5702"/>
      <c r="I98" s="2120"/>
      <c r="J98" s="5702" t="s">
        <v>3229</v>
      </c>
      <c r="K98" s="5702"/>
      <c r="L98" s="5702"/>
      <c r="M98" s="5702"/>
      <c r="N98" s="5702"/>
      <c r="O98" s="5702"/>
      <c r="P98" s="5702"/>
      <c r="Q98" s="5702"/>
      <c r="R98" s="5702"/>
      <c r="S98" s="5702"/>
      <c r="T98" s="5702"/>
      <c r="U98" s="5702"/>
      <c r="V98" s="5702"/>
      <c r="W98" s="5702"/>
      <c r="X98" s="5702"/>
      <c r="Y98" s="5702"/>
      <c r="Z98" s="5702"/>
      <c r="AA98" s="5702"/>
      <c r="AB98" s="5702"/>
      <c r="AC98" s="5702"/>
      <c r="AD98" s="5702"/>
      <c r="AE98" s="5702"/>
      <c r="AF98" s="5702"/>
      <c r="AG98" s="5707">
        <f>'01.3 - Gabionové stěny'!J32</f>
        <v>0</v>
      </c>
      <c r="AH98" s="5708"/>
      <c r="AI98" s="5708"/>
      <c r="AJ98" s="5708"/>
      <c r="AK98" s="5708"/>
      <c r="AL98" s="5708"/>
      <c r="AM98" s="5708"/>
      <c r="AN98" s="5705">
        <f t="shared" si="0"/>
        <v>0</v>
      </c>
      <c r="AO98" s="5706"/>
      <c r="AP98" s="5706"/>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702" t="s">
        <v>3231</v>
      </c>
      <c r="E99" s="5702"/>
      <c r="F99" s="5702"/>
      <c r="G99" s="5702"/>
      <c r="H99" s="5702"/>
      <c r="I99" s="2120"/>
      <c r="J99" s="5702" t="s">
        <v>3232</v>
      </c>
      <c r="K99" s="5702"/>
      <c r="L99" s="5702"/>
      <c r="M99" s="5702"/>
      <c r="N99" s="5702"/>
      <c r="O99" s="5702"/>
      <c r="P99" s="5702"/>
      <c r="Q99" s="5702"/>
      <c r="R99" s="5702"/>
      <c r="S99" s="5702"/>
      <c r="T99" s="5702"/>
      <c r="U99" s="5702"/>
      <c r="V99" s="5702"/>
      <c r="W99" s="5702"/>
      <c r="X99" s="5702"/>
      <c r="Y99" s="5702"/>
      <c r="Z99" s="5702"/>
      <c r="AA99" s="5702"/>
      <c r="AB99" s="5702"/>
      <c r="AC99" s="5702"/>
      <c r="AD99" s="5702"/>
      <c r="AE99" s="5702"/>
      <c r="AF99" s="5702"/>
      <c r="AG99" s="5707">
        <f>'01.4 - Opěrná stěna schod...'!J32</f>
        <v>0</v>
      </c>
      <c r="AH99" s="5708"/>
      <c r="AI99" s="5708"/>
      <c r="AJ99" s="5708"/>
      <c r="AK99" s="5708"/>
      <c r="AL99" s="5708"/>
      <c r="AM99" s="5708"/>
      <c r="AN99" s="5705">
        <f t="shared" si="0"/>
        <v>0</v>
      </c>
      <c r="AO99" s="5706"/>
      <c r="AP99" s="5706"/>
      <c r="AQ99" s="2121" t="s">
        <v>3220</v>
      </c>
      <c r="AR99" s="2118"/>
      <c r="AS99" s="2122">
        <v>0</v>
      </c>
      <c r="AT99" s="2123">
        <f t="shared" si="1"/>
        <v>0</v>
      </c>
      <c r="AU99" s="2124">
        <f>'01.4 - Opěrná stěna schod...'!P133</f>
        <v>1010.5209440000001</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702" t="s">
        <v>10719</v>
      </c>
      <c r="E100" s="5702"/>
      <c r="F100" s="5702"/>
      <c r="G100" s="5702"/>
      <c r="H100" s="5702"/>
      <c r="I100" s="2120"/>
      <c r="J100" s="5702" t="s">
        <v>10720</v>
      </c>
      <c r="K100" s="5702"/>
      <c r="L100" s="5702"/>
      <c r="M100" s="5702"/>
      <c r="N100" s="5702"/>
      <c r="O100" s="5702"/>
      <c r="P100" s="5702"/>
      <c r="Q100" s="5702"/>
      <c r="R100" s="5702"/>
      <c r="S100" s="5702"/>
      <c r="T100" s="5702"/>
      <c r="U100" s="5702"/>
      <c r="V100" s="5702"/>
      <c r="W100" s="5702"/>
      <c r="X100" s="5702"/>
      <c r="Y100" s="5702"/>
      <c r="Z100" s="5702"/>
      <c r="AA100" s="5702"/>
      <c r="AB100" s="5702"/>
      <c r="AC100" s="5702"/>
      <c r="AD100" s="5702"/>
      <c r="AE100" s="5702"/>
      <c r="AF100" s="5702"/>
      <c r="AG100" s="5707">
        <f>'01.5 - Náklady souvisejíc...'!J32</f>
        <v>0</v>
      </c>
      <c r="AH100" s="5708"/>
      <c r="AI100" s="5708"/>
      <c r="AJ100" s="5708"/>
      <c r="AK100" s="5708"/>
      <c r="AL100" s="5708"/>
      <c r="AM100" s="5708"/>
      <c r="AN100" s="5705">
        <f t="shared" si="0"/>
        <v>0</v>
      </c>
      <c r="AO100" s="5706"/>
      <c r="AP100" s="5706"/>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10721</v>
      </c>
      <c r="BX100" s="2127" t="s">
        <v>3149</v>
      </c>
      <c r="CL100" s="2127" t="s">
        <v>3146</v>
      </c>
      <c r="CM100" s="2127" t="s">
        <v>133</v>
      </c>
    </row>
    <row r="101" spans="1:91">
      <c r="B101" s="2059"/>
      <c r="AR101" s="2059"/>
    </row>
    <row r="102" spans="1:91" s="2070" customFormat="1" ht="30" customHeight="1">
      <c r="B102" s="2071"/>
      <c r="C102" s="2107" t="s">
        <v>3234</v>
      </c>
      <c r="AG102" s="5701">
        <v>0</v>
      </c>
      <c r="AH102" s="5701"/>
      <c r="AI102" s="5701"/>
      <c r="AJ102" s="5701"/>
      <c r="AK102" s="5701"/>
      <c r="AL102" s="5701"/>
      <c r="AM102" s="5701"/>
      <c r="AN102" s="5701">
        <v>0</v>
      </c>
      <c r="AO102" s="5701"/>
      <c r="AP102" s="5701"/>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709">
        <f>ROUND(AG94 + AG102, 2)</f>
        <v>0</v>
      </c>
      <c r="AH104" s="5709"/>
      <c r="AI104" s="5709"/>
      <c r="AJ104" s="5709"/>
      <c r="AK104" s="5709"/>
      <c r="AL104" s="5709"/>
      <c r="AM104" s="5709"/>
      <c r="AN104" s="5709">
        <f>ROUND(AN94 + AN102, 2)</f>
        <v>0</v>
      </c>
      <c r="AO104" s="5709"/>
      <c r="AP104" s="5709"/>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O5"/>
    <mergeCell ref="K6:AO6"/>
    <mergeCell ref="E23:AN23"/>
    <mergeCell ref="AK26:AO26"/>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127"/>
  <sheetViews>
    <sheetView showGridLines="0" tabSelected="1" zoomScaleNormal="100" workbookViewId="0"/>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62" width="9.33203125" style="2055"/>
    <col min="63" max="63" width="11" style="2055" bestFit="1" customWidth="1"/>
    <col min="64" max="16384" width="9.33203125" style="2055"/>
  </cols>
  <sheetData>
    <row r="2" spans="2:46" ht="36.950000000000003" customHeight="1">
      <c r="L2" s="5671" t="s">
        <v>10718</v>
      </c>
      <c r="M2" s="5672"/>
      <c r="N2" s="5672"/>
      <c r="O2" s="5672"/>
      <c r="P2" s="5672"/>
      <c r="Q2" s="5672"/>
      <c r="R2" s="5672"/>
      <c r="S2" s="5672"/>
      <c r="T2" s="5672"/>
      <c r="U2" s="5672"/>
      <c r="V2" s="5672"/>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13" t="str">
        <f>'Rekapitulace stavby'!K6</f>
        <v>Dostavba domova pro seniory ve Vrchlabí - PD</v>
      </c>
      <c r="F7" s="5714"/>
      <c r="G7" s="5714"/>
      <c r="H7" s="5714"/>
      <c r="L7" s="2059"/>
    </row>
    <row r="8" spans="2:46" s="2070" customFormat="1" ht="12" customHeight="1">
      <c r="B8" s="2071"/>
      <c r="D8" s="2065" t="s">
        <v>3239</v>
      </c>
      <c r="L8" s="2071"/>
    </row>
    <row r="9" spans="2:46" s="2070" customFormat="1" ht="16.5" customHeight="1">
      <c r="B9" s="2071"/>
      <c r="E9" s="5692" t="s">
        <v>3240</v>
      </c>
      <c r="F9" s="5712"/>
      <c r="G9" s="5712"/>
      <c r="H9" s="5712"/>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75" t="s">
        <v>3146</v>
      </c>
      <c r="F27" s="5675"/>
      <c r="G27" s="5675"/>
      <c r="H27" s="567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SUM(BE147:BE1126)),  2)</f>
        <v>0</v>
      </c>
      <c r="I35" s="2141">
        <v>0.21</v>
      </c>
      <c r="J35" s="2140">
        <f>ROUND(((SUM(BE122:BE127) + SUM(BE147:BE1126))*I35),  2)</f>
        <v>0</v>
      </c>
      <c r="L35" s="2071"/>
    </row>
    <row r="36" spans="2:12" s="2070" customFormat="1" ht="14.45" customHeight="1">
      <c r="B36" s="2071"/>
      <c r="E36" s="2065" t="s">
        <v>3181</v>
      </c>
      <c r="F36" s="2140">
        <f>ROUND((SUM(BF122:BF127) + SUM(BF147:BF1126)),  2)</f>
        <v>0</v>
      </c>
      <c r="I36" s="2141">
        <v>0.15</v>
      </c>
      <c r="J36" s="2140">
        <f>ROUND(((SUM(BF122:BF127) + SUM(BF147:BF1126))*I36),  2)</f>
        <v>0</v>
      </c>
      <c r="L36" s="2071"/>
    </row>
    <row r="37" spans="2:12" s="2070" customFormat="1" ht="14.45" hidden="1" customHeight="1">
      <c r="B37" s="2071"/>
      <c r="E37" s="2065" t="s">
        <v>3182</v>
      </c>
      <c r="F37" s="2140">
        <f>ROUND((SUM(BG122:BG127) + SUM(BG147:BG1126)),  2)</f>
        <v>0</v>
      </c>
      <c r="I37" s="2141">
        <v>0.21</v>
      </c>
      <c r="J37" s="2140">
        <f>0</f>
        <v>0</v>
      </c>
      <c r="L37" s="2071"/>
    </row>
    <row r="38" spans="2:12" s="2070" customFormat="1" ht="14.45" hidden="1" customHeight="1">
      <c r="B38" s="2071"/>
      <c r="E38" s="2065" t="s">
        <v>3183</v>
      </c>
      <c r="F38" s="2140">
        <f>ROUND((SUM(BH122:BH127) + SUM(BH147:BH1126)),  2)</f>
        <v>0</v>
      </c>
      <c r="I38" s="2141">
        <v>0.15</v>
      </c>
      <c r="J38" s="2140">
        <f>0</f>
        <v>0</v>
      </c>
      <c r="L38" s="2071"/>
    </row>
    <row r="39" spans="2:12" s="2070" customFormat="1" ht="14.45" hidden="1" customHeight="1">
      <c r="B39" s="2071"/>
      <c r="E39" s="2065" t="s">
        <v>3184</v>
      </c>
      <c r="F39" s="2140">
        <f>ROUND((SUM(BI122:BI127) + SUM(BI147:BI1126)),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13" t="str">
        <f>E7</f>
        <v>Dostavba domova pro seniory ve Vrchlabí - PD</v>
      </c>
      <c r="F85" s="5714"/>
      <c r="G85" s="5714"/>
      <c r="H85" s="5714"/>
      <c r="L85" s="2071"/>
    </row>
    <row r="86" spans="2:47" s="2070" customFormat="1" ht="12" customHeight="1">
      <c r="B86" s="2071"/>
      <c r="C86" s="2065" t="s">
        <v>3239</v>
      </c>
      <c r="L86" s="2071"/>
    </row>
    <row r="87" spans="2:47" s="2070" customFormat="1" ht="16.5" customHeight="1">
      <c r="B87" s="2071"/>
      <c r="E87" s="5692" t="str">
        <f>E9</f>
        <v>01 - Novostavba</v>
      </c>
      <c r="F87" s="5712"/>
      <c r="G87" s="5712"/>
      <c r="H87" s="5712"/>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J219</f>
        <v>0</v>
      </c>
      <c r="L99" s="2158"/>
    </row>
    <row r="100" spans="2:12" s="2157" customFormat="1" ht="19.899999999999999" customHeight="1">
      <c r="B100" s="2158"/>
      <c r="D100" s="2159" t="s">
        <v>3251</v>
      </c>
      <c r="E100" s="2160"/>
      <c r="F100" s="2160"/>
      <c r="G100" s="2160"/>
      <c r="H100" s="2160"/>
      <c r="I100" s="2160"/>
      <c r="J100" s="2161">
        <f>J368</f>
        <v>0</v>
      </c>
      <c r="L100" s="2158"/>
    </row>
    <row r="101" spans="2:12" s="2157" customFormat="1" ht="19.899999999999999" customHeight="1">
      <c r="B101" s="2158"/>
      <c r="D101" s="2159" t="s">
        <v>3252</v>
      </c>
      <c r="E101" s="2160"/>
      <c r="F101" s="2160"/>
      <c r="G101" s="2160"/>
      <c r="H101" s="2160"/>
      <c r="I101" s="2160"/>
      <c r="J101" s="2161">
        <f>J442</f>
        <v>0</v>
      </c>
      <c r="L101" s="2158"/>
    </row>
    <row r="102" spans="2:12" s="2157" customFormat="1" ht="19.899999999999999" customHeight="1">
      <c r="B102" s="2158"/>
      <c r="D102" s="2159" t="s">
        <v>3253</v>
      </c>
      <c r="E102" s="2160"/>
      <c r="F102" s="2160"/>
      <c r="G102" s="2160"/>
      <c r="H102" s="2160"/>
      <c r="I102" s="2160"/>
      <c r="J102" s="2161">
        <f>J534</f>
        <v>0</v>
      </c>
      <c r="L102" s="2158"/>
    </row>
    <row r="103" spans="2:12" s="2157" customFormat="1" ht="19.899999999999999" customHeight="1">
      <c r="B103" s="2158"/>
      <c r="D103" s="2159" t="s">
        <v>3254</v>
      </c>
      <c r="E103" s="2160"/>
      <c r="F103" s="2160"/>
      <c r="G103" s="2160"/>
      <c r="H103" s="2160"/>
      <c r="I103" s="2160"/>
      <c r="J103" s="2161">
        <f>J675</f>
        <v>0</v>
      </c>
      <c r="L103" s="2158"/>
    </row>
    <row r="104" spans="2:12" s="2157" customFormat="1" ht="19.899999999999999" customHeight="1">
      <c r="B104" s="2158"/>
      <c r="D104" s="2159" t="s">
        <v>3255</v>
      </c>
      <c r="E104" s="2160"/>
      <c r="F104" s="2160"/>
      <c r="G104" s="2160"/>
      <c r="H104" s="2160"/>
      <c r="I104" s="2160"/>
      <c r="J104" s="2161">
        <f>J718</f>
        <v>0</v>
      </c>
      <c r="L104" s="2158"/>
    </row>
    <row r="105" spans="2:12" s="2157" customFormat="1" ht="19.899999999999999" customHeight="1">
      <c r="B105" s="2158"/>
      <c r="D105" s="2159" t="s">
        <v>3256</v>
      </c>
      <c r="E105" s="2160"/>
      <c r="F105" s="2160"/>
      <c r="G105" s="2160"/>
      <c r="H105" s="2160"/>
      <c r="I105" s="2160"/>
      <c r="J105" s="2161">
        <f>J726</f>
        <v>0</v>
      </c>
      <c r="L105" s="2158"/>
    </row>
    <row r="106" spans="2:12" s="2152" customFormat="1" ht="24.95" customHeight="1">
      <c r="B106" s="2153"/>
      <c r="D106" s="2154" t="s">
        <v>3257</v>
      </c>
      <c r="E106" s="2155"/>
      <c r="F106" s="2155"/>
      <c r="G106" s="2155"/>
      <c r="H106" s="2155"/>
      <c r="I106" s="2155"/>
      <c r="J106" s="2156">
        <f>J733</f>
        <v>0</v>
      </c>
      <c r="L106" s="2153"/>
    </row>
    <row r="107" spans="2:12" s="2157" customFormat="1" ht="19.899999999999999" customHeight="1">
      <c r="B107" s="2158"/>
      <c r="D107" s="2159" t="s">
        <v>3258</v>
      </c>
      <c r="E107" s="2160"/>
      <c r="F107" s="2160"/>
      <c r="G107" s="2160"/>
      <c r="H107" s="2160"/>
      <c r="I107" s="2160"/>
      <c r="J107" s="2161">
        <f>J734</f>
        <v>0</v>
      </c>
      <c r="L107" s="2158"/>
    </row>
    <row r="108" spans="2:12" s="2157" customFormat="1" ht="19.899999999999999" customHeight="1">
      <c r="B108" s="2158"/>
      <c r="D108" s="2159" t="s">
        <v>4295</v>
      </c>
      <c r="E108" s="2160"/>
      <c r="F108" s="2160"/>
      <c r="G108" s="2160"/>
      <c r="H108" s="2160"/>
      <c r="I108" s="2160"/>
      <c r="J108" s="2161">
        <f>J767</f>
        <v>0</v>
      </c>
      <c r="L108" s="2158"/>
    </row>
    <row r="109" spans="2:12" s="2157" customFormat="1" ht="19.899999999999999" customHeight="1">
      <c r="B109" s="2158"/>
      <c r="D109" s="2159" t="s">
        <v>3259</v>
      </c>
      <c r="E109" s="2160"/>
      <c r="F109" s="2160"/>
      <c r="G109" s="2160"/>
      <c r="H109" s="2160"/>
      <c r="I109" s="2160"/>
      <c r="J109" s="2161">
        <f>J859</f>
        <v>0</v>
      </c>
      <c r="L109" s="2158"/>
    </row>
    <row r="110" spans="2:12" s="2157" customFormat="1" ht="19.899999999999999" customHeight="1">
      <c r="B110" s="2158"/>
      <c r="D110" s="2159" t="s">
        <v>3260</v>
      </c>
      <c r="E110" s="2160"/>
      <c r="F110" s="2160"/>
      <c r="G110" s="2160"/>
      <c r="H110" s="2160"/>
      <c r="I110" s="2160"/>
      <c r="J110" s="2161">
        <f>J950</f>
        <v>0</v>
      </c>
      <c r="L110" s="2158"/>
    </row>
    <row r="111" spans="2:12" s="2157" customFormat="1" ht="19.899999999999999" customHeight="1">
      <c r="B111" s="2158"/>
      <c r="D111" s="2159" t="s">
        <v>3261</v>
      </c>
      <c r="E111" s="2160"/>
      <c r="F111" s="2160"/>
      <c r="G111" s="2160"/>
      <c r="H111" s="2160"/>
      <c r="I111" s="2160"/>
      <c r="J111" s="2161">
        <f>J1019</f>
        <v>0</v>
      </c>
      <c r="L111" s="2158"/>
    </row>
    <row r="112" spans="2:12" s="2157" customFormat="1" ht="19.899999999999999" customHeight="1">
      <c r="B112" s="2158"/>
      <c r="D112" s="2159" t="s">
        <v>3262</v>
      </c>
      <c r="E112" s="2160"/>
      <c r="F112" s="2160"/>
      <c r="G112" s="2160"/>
      <c r="H112" s="2160"/>
      <c r="I112" s="2160"/>
      <c r="J112" s="2161">
        <f>J1021</f>
        <v>0</v>
      </c>
      <c r="L112" s="2158"/>
    </row>
    <row r="113" spans="2:65" s="2157" customFormat="1" ht="19.899999999999999" customHeight="1">
      <c r="B113" s="2158"/>
      <c r="D113" s="2159" t="s">
        <v>3263</v>
      </c>
      <c r="E113" s="2160"/>
      <c r="F113" s="2160"/>
      <c r="G113" s="2160"/>
      <c r="H113" s="2160"/>
      <c r="I113" s="2160"/>
      <c r="J113" s="2161">
        <f>J1032</f>
        <v>0</v>
      </c>
      <c r="L113" s="2158"/>
    </row>
    <row r="114" spans="2:65" s="2157" customFormat="1" ht="19.899999999999999" customHeight="1">
      <c r="B114" s="2158"/>
      <c r="D114" s="2159" t="s">
        <v>3264</v>
      </c>
      <c r="E114" s="2160"/>
      <c r="F114" s="2160"/>
      <c r="G114" s="2160"/>
      <c r="H114" s="2160"/>
      <c r="I114" s="2160"/>
      <c r="J114" s="2161">
        <f>J1054</f>
        <v>0</v>
      </c>
      <c r="L114" s="2158"/>
    </row>
    <row r="115" spans="2:65" s="2157" customFormat="1" ht="19.899999999999999" customHeight="1">
      <c r="B115" s="2158"/>
      <c r="D115" s="2159" t="s">
        <v>3265</v>
      </c>
      <c r="E115" s="2160"/>
      <c r="F115" s="2160"/>
      <c r="G115" s="2160"/>
      <c r="H115" s="2160"/>
      <c r="I115" s="2160"/>
      <c r="J115" s="2161">
        <f>J1069</f>
        <v>0</v>
      </c>
      <c r="L115" s="2158"/>
    </row>
    <row r="116" spans="2:65" s="2157" customFormat="1" ht="19.899999999999999" customHeight="1">
      <c r="B116" s="2158"/>
      <c r="D116" s="2159" t="s">
        <v>3266</v>
      </c>
      <c r="E116" s="2160"/>
      <c r="F116" s="2160"/>
      <c r="G116" s="2160"/>
      <c r="H116" s="2160"/>
      <c r="I116" s="2160"/>
      <c r="J116" s="2161">
        <f>J1088</f>
        <v>0</v>
      </c>
      <c r="L116" s="2158"/>
    </row>
    <row r="117" spans="2:65" s="2152" customFormat="1" ht="24.95" customHeight="1">
      <c r="B117" s="2153"/>
      <c r="D117" s="2154" t="s">
        <v>3267</v>
      </c>
      <c r="E117" s="2155"/>
      <c r="F117" s="2155"/>
      <c r="G117" s="2155"/>
      <c r="H117" s="2155"/>
      <c r="I117" s="2155"/>
      <c r="J117" s="2156">
        <f>J1108</f>
        <v>0</v>
      </c>
      <c r="L117" s="2153"/>
    </row>
    <row r="118" spans="2:65" s="2152" customFormat="1" ht="24.95" customHeight="1">
      <c r="B118" s="2153"/>
      <c r="D118" s="2154" t="s">
        <v>3268</v>
      </c>
      <c r="E118" s="2155"/>
      <c r="F118" s="2155"/>
      <c r="G118" s="2155"/>
      <c r="H118" s="2155"/>
      <c r="I118" s="2155"/>
      <c r="J118" s="2156">
        <f>J1115</f>
        <v>0</v>
      </c>
      <c r="L118" s="2153"/>
    </row>
    <row r="119" spans="2:65" s="2152" customFormat="1" ht="24.95" customHeight="1">
      <c r="B119" s="2153"/>
      <c r="D119" s="2154" t="s">
        <v>3269</v>
      </c>
      <c r="E119" s="2155"/>
      <c r="F119" s="2155"/>
      <c r="G119" s="2155"/>
      <c r="H119" s="2155"/>
      <c r="I119" s="2155"/>
      <c r="J119" s="2156">
        <f>J1124</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715" t="s">
        <v>24</v>
      </c>
      <c r="E123" s="5715"/>
      <c r="F123" s="5715"/>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715" t="s">
        <v>25</v>
      </c>
      <c r="E124" s="5715"/>
      <c r="F124" s="5715"/>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15" t="s">
        <v>3272</v>
      </c>
      <c r="E125" s="5715"/>
      <c r="F125" s="5715"/>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713" t="str">
        <f>E7</f>
        <v>Dostavba domova pro seniory ve Vrchlabí - PD</v>
      </c>
      <c r="F137" s="5714"/>
      <c r="G137" s="5714"/>
      <c r="H137" s="5714"/>
      <c r="L137" s="2071"/>
    </row>
    <row r="138" spans="2:12" s="2070" customFormat="1" ht="12" customHeight="1">
      <c r="B138" s="2071"/>
      <c r="C138" s="2065" t="s">
        <v>3239</v>
      </c>
      <c r="L138" s="2071"/>
    </row>
    <row r="139" spans="2:12" s="2070" customFormat="1" ht="16.5" customHeight="1">
      <c r="B139" s="2071"/>
      <c r="E139" s="5692" t="str">
        <f>E9</f>
        <v>01 - Novostavba</v>
      </c>
      <c r="F139" s="5712"/>
      <c r="G139" s="5712"/>
      <c r="H139" s="5712"/>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SUM(J148+J733)</f>
        <v>0</v>
      </c>
      <c r="L147" s="2071"/>
      <c r="M147" s="2104"/>
      <c r="N147" s="2095"/>
      <c r="O147" s="2095"/>
      <c r="P147" s="2175">
        <f>P148+P733+P1108+P1115+P1124</f>
        <v>64980.252714239075</v>
      </c>
      <c r="Q147" s="2095"/>
      <c r="R147" s="2175">
        <f>R148+R733+R1108+R1115+R1124</f>
        <v>8784.1737118241217</v>
      </c>
      <c r="S147" s="2095"/>
      <c r="T147" s="2176">
        <f>T148+T733+T1108+T1115+T1124</f>
        <v>433.27170000000001</v>
      </c>
      <c r="AT147" s="2056" t="s">
        <v>3212</v>
      </c>
      <c r="AU147" s="2056" t="s">
        <v>3247</v>
      </c>
      <c r="BK147" s="2177">
        <f>BK148+BK733+BK1108+BK1115+BK1124</f>
        <v>0</v>
      </c>
    </row>
    <row r="148" spans="2:65" s="2178" customFormat="1" ht="25.9" customHeight="1">
      <c r="B148" s="2179"/>
      <c r="D148" s="2180" t="s">
        <v>3212</v>
      </c>
      <c r="E148" s="2181" t="s">
        <v>847</v>
      </c>
      <c r="F148" s="2181" t="s">
        <v>848</v>
      </c>
      <c r="J148" s="2182">
        <f>SUM(J149+J219+J368+J442+J534+J675+J726)</f>
        <v>0</v>
      </c>
      <c r="L148" s="2179"/>
      <c r="M148" s="2183"/>
      <c r="P148" s="2184">
        <f>P149+P219+P368+P442+P534+P675+P718+P726</f>
        <v>54927.793007239074</v>
      </c>
      <c r="R148" s="2184">
        <f>R149+R219+R368+R442+R534+R675+R718+R726</f>
        <v>8485.3155777341217</v>
      </c>
      <c r="T148" s="2185">
        <f>T149+T219+T368+T442+T534+T675+T718+T726</f>
        <v>433.27170000000001</v>
      </c>
      <c r="AR148" s="2180" t="s">
        <v>133</v>
      </c>
      <c r="AT148" s="2186" t="s">
        <v>3212</v>
      </c>
      <c r="AU148" s="2186" t="s">
        <v>3213</v>
      </c>
      <c r="AY148" s="2180" t="s">
        <v>3285</v>
      </c>
      <c r="BK148" s="2187">
        <f>BK149+BK219+BK368+BK442+BK534+BK675+BK718+BK726</f>
        <v>0</v>
      </c>
    </row>
    <row r="149" spans="2:65" s="2178" customFormat="1" ht="22.9" customHeight="1">
      <c r="B149" s="2179"/>
      <c r="D149" s="2180" t="s">
        <v>3212</v>
      </c>
      <c r="E149" s="2188" t="s">
        <v>133</v>
      </c>
      <c r="F149" s="2188" t="s">
        <v>849</v>
      </c>
      <c r="J149" s="2189">
        <f>BK149</f>
        <v>0</v>
      </c>
      <c r="L149" s="2179"/>
      <c r="M149" s="2183"/>
      <c r="P149" s="2184">
        <f>SUM(P150:P218)</f>
        <v>2776.4847298663494</v>
      </c>
      <c r="R149" s="2184">
        <f>SUM(R150:R218)</f>
        <v>641.31385</v>
      </c>
      <c r="T149" s="2185">
        <f>SUM(T150:T218)</f>
        <v>418</v>
      </c>
      <c r="AR149" s="2180" t="s">
        <v>133</v>
      </c>
      <c r="AT149" s="2186" t="s">
        <v>3212</v>
      </c>
      <c r="AU149" s="2186" t="s">
        <v>133</v>
      </c>
      <c r="AY149" s="2180" t="s">
        <v>3285</v>
      </c>
      <c r="BK149" s="2187">
        <f>SUM(BK150:BK217)</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10722</v>
      </c>
    </row>
    <row r="151" spans="2:65" s="2195" customFormat="1">
      <c r="B151" s="2196"/>
      <c r="D151" s="2197" t="s">
        <v>3303</v>
      </c>
      <c r="E151" s="2198" t="s">
        <v>3146</v>
      </c>
      <c r="F151" s="2199" t="s">
        <v>10723</v>
      </c>
      <c r="H151" s="2198" t="s">
        <v>3146</v>
      </c>
      <c r="L151" s="2196"/>
      <c r="M151" s="2200"/>
      <c r="T151" s="2201"/>
      <c r="AT151" s="2198" t="s">
        <v>3303</v>
      </c>
      <c r="AU151" s="2198" t="s">
        <v>134</v>
      </c>
      <c r="AV151" s="2195" t="s">
        <v>133</v>
      </c>
      <c r="AW151" s="2195" t="s">
        <v>3171</v>
      </c>
      <c r="AX151" s="2195" t="s">
        <v>3213</v>
      </c>
      <c r="AY151" s="2198" t="s">
        <v>3285</v>
      </c>
    </row>
    <row r="152" spans="2:65" s="2209" customFormat="1">
      <c r="B152" s="2210"/>
      <c r="D152" s="2197" t="s">
        <v>3303</v>
      </c>
      <c r="E152" s="2211" t="s">
        <v>3146</v>
      </c>
      <c r="F152" s="2212" t="s">
        <v>4209</v>
      </c>
      <c r="H152" s="2213">
        <v>220</v>
      </c>
      <c r="L152" s="2210"/>
      <c r="M152" s="2214"/>
      <c r="T152" s="2215"/>
      <c r="AT152" s="2211" t="s">
        <v>3303</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10724</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10725</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10726</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5561" t="s">
        <v>1363</v>
      </c>
      <c r="D159" s="5561" t="s">
        <v>3286</v>
      </c>
      <c r="E159" s="5567" t="s">
        <v>11673</v>
      </c>
      <c r="F159" s="5566" t="s">
        <v>11674</v>
      </c>
      <c r="G159" s="5570" t="s">
        <v>221</v>
      </c>
      <c r="H159" s="5568">
        <f>H163</f>
        <v>2749.4749999999999</v>
      </c>
      <c r="I159" s="4613"/>
      <c r="J159" s="4613">
        <f t="shared" si="0"/>
        <v>0</v>
      </c>
      <c r="K159" s="4610" t="s">
        <v>142</v>
      </c>
      <c r="L159" s="2071"/>
      <c r="M159" s="2190" t="s">
        <v>3146</v>
      </c>
      <c r="N159" s="2163" t="s">
        <v>3181</v>
      </c>
      <c r="O159" s="2191">
        <v>7.4999999999999997E-2</v>
      </c>
      <c r="P159" s="2191">
        <f t="shared" si="1"/>
        <v>206.21062499999999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3302</v>
      </c>
    </row>
    <row r="160" spans="2:65" s="2195" customFormat="1">
      <c r="B160" s="2196"/>
      <c r="D160" s="2197" t="s">
        <v>3303</v>
      </c>
      <c r="E160" s="2198" t="s">
        <v>3146</v>
      </c>
      <c r="F160" s="2199" t="s">
        <v>3304</v>
      </c>
      <c r="H160" s="2198" t="s">
        <v>3146</v>
      </c>
      <c r="L160" s="2196"/>
      <c r="M160" s="2200"/>
      <c r="T160" s="2201"/>
      <c r="AT160" s="2198" t="s">
        <v>3303</v>
      </c>
      <c r="AU160" s="2198" t="s">
        <v>134</v>
      </c>
      <c r="AV160" s="2195" t="s">
        <v>133</v>
      </c>
      <c r="AW160" s="2195" t="s">
        <v>3171</v>
      </c>
      <c r="AX160" s="2195" t="s">
        <v>3213</v>
      </c>
      <c r="AY160" s="2198" t="s">
        <v>3285</v>
      </c>
    </row>
    <row r="161" spans="2:65" s="2202" customFormat="1">
      <c r="B161" s="2203"/>
      <c r="D161" s="2197" t="s">
        <v>3303</v>
      </c>
      <c r="E161" s="2204" t="s">
        <v>3146</v>
      </c>
      <c r="F161" s="5560">
        <v>5498.95</v>
      </c>
      <c r="H161" s="5569">
        <v>5498.95</v>
      </c>
      <c r="L161" s="2203"/>
      <c r="M161" s="2207"/>
      <c r="T161" s="2208"/>
      <c r="AT161" s="2204" t="s">
        <v>3303</v>
      </c>
      <c r="AU161" s="2204" t="s">
        <v>134</v>
      </c>
      <c r="AV161" s="2202" t="s">
        <v>854</v>
      </c>
      <c r="AW161" s="2202" t="s">
        <v>3171</v>
      </c>
      <c r="AX161" s="2202" t="s">
        <v>3213</v>
      </c>
      <c r="AY161" s="2204" t="s">
        <v>3285</v>
      </c>
    </row>
    <row r="162" spans="2:65" s="2216" customFormat="1">
      <c r="B162" s="2217"/>
      <c r="D162" s="2197" t="s">
        <v>3303</v>
      </c>
      <c r="E162" s="2218" t="s">
        <v>3146</v>
      </c>
      <c r="F162" s="2219" t="s">
        <v>3306</v>
      </c>
      <c r="H162" s="5569">
        <f>H161</f>
        <v>5498.95</v>
      </c>
      <c r="L162" s="2217"/>
      <c r="M162" s="2221"/>
      <c r="T162" s="2222"/>
      <c r="AT162" s="2218" t="s">
        <v>3303</v>
      </c>
      <c r="AU162" s="2218" t="s">
        <v>134</v>
      </c>
      <c r="AV162" s="2216" t="s">
        <v>856</v>
      </c>
      <c r="AW162" s="2216" t="s">
        <v>3171</v>
      </c>
      <c r="AX162" s="2216" t="s">
        <v>133</v>
      </c>
      <c r="AY162" s="2218" t="s">
        <v>3285</v>
      </c>
    </row>
    <row r="163" spans="2:65" s="2209" customFormat="1">
      <c r="B163" s="2210"/>
      <c r="D163" s="2197" t="s">
        <v>3303</v>
      </c>
      <c r="F163" s="5560" t="s">
        <v>11709</v>
      </c>
      <c r="H163" s="5569">
        <f>5498.95*0.5</f>
        <v>2749.4749999999999</v>
      </c>
      <c r="L163" s="2210"/>
      <c r="M163" s="2214"/>
      <c r="T163" s="2215"/>
      <c r="AT163" s="2211" t="s">
        <v>3303</v>
      </c>
      <c r="AU163" s="2211" t="s">
        <v>134</v>
      </c>
      <c r="AV163" s="2209" t="s">
        <v>134</v>
      </c>
      <c r="AW163" s="2209" t="s">
        <v>3148</v>
      </c>
      <c r="AX163" s="2209" t="s">
        <v>133</v>
      </c>
      <c r="AY163" s="2211" t="s">
        <v>3285</v>
      </c>
    </row>
    <row r="164" spans="2:65" s="2070" customFormat="1" ht="33" customHeight="1">
      <c r="B164" s="2164"/>
      <c r="C164" s="5561" t="s">
        <v>2071</v>
      </c>
      <c r="D164" s="5561" t="s">
        <v>3286</v>
      </c>
      <c r="E164" s="5567" t="s">
        <v>11675</v>
      </c>
      <c r="F164" s="5566" t="s">
        <v>11676</v>
      </c>
      <c r="G164" s="5570" t="s">
        <v>221</v>
      </c>
      <c r="H164" s="5568">
        <f>H168</f>
        <v>2749.4749999999999</v>
      </c>
      <c r="I164" s="4613"/>
      <c r="J164" s="4613">
        <f>ROUND(I164*H164,2)</f>
        <v>0</v>
      </c>
      <c r="K164" s="4610" t="s">
        <v>142</v>
      </c>
      <c r="L164" s="2071"/>
      <c r="M164" s="2190" t="s">
        <v>3146</v>
      </c>
      <c r="N164" s="2163" t="s">
        <v>3181</v>
      </c>
      <c r="O164" s="2191">
        <v>0.113</v>
      </c>
      <c r="P164" s="2191">
        <f>O164*H164</f>
        <v>310.690675</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3307</v>
      </c>
    </row>
    <row r="165" spans="2:65" s="2195" customFormat="1">
      <c r="B165" s="2196"/>
      <c r="D165" s="2197" t="s">
        <v>3303</v>
      </c>
      <c r="E165" s="2198" t="s">
        <v>3146</v>
      </c>
      <c r="F165" s="2199" t="s">
        <v>3304</v>
      </c>
      <c r="H165" s="5608" t="s">
        <v>3146</v>
      </c>
      <c r="L165" s="2196"/>
      <c r="M165" s="2200"/>
      <c r="T165" s="2201"/>
      <c r="AT165" s="2198" t="s">
        <v>3303</v>
      </c>
      <c r="AU165" s="2198" t="s">
        <v>134</v>
      </c>
      <c r="AV165" s="2195" t="s">
        <v>133</v>
      </c>
      <c r="AW165" s="2195" t="s">
        <v>3171</v>
      </c>
      <c r="AX165" s="2195" t="s">
        <v>3213</v>
      </c>
      <c r="AY165" s="2198" t="s">
        <v>3285</v>
      </c>
    </row>
    <row r="166" spans="2:65" s="2209" customFormat="1">
      <c r="B166" s="2210"/>
      <c r="D166" s="2197" t="s">
        <v>3303</v>
      </c>
      <c r="E166" s="2211" t="s">
        <v>3146</v>
      </c>
      <c r="F166" s="5560">
        <v>5498.95</v>
      </c>
      <c r="H166" s="5569">
        <f>5498.95</f>
        <v>5498.95</v>
      </c>
      <c r="L166" s="2210"/>
      <c r="M166" s="2214"/>
      <c r="T166" s="2215"/>
      <c r="AT166" s="2211" t="s">
        <v>3303</v>
      </c>
      <c r="AU166" s="2211" t="s">
        <v>134</v>
      </c>
      <c r="AV166" s="2209" t="s">
        <v>134</v>
      </c>
      <c r="AW166" s="2209" t="s">
        <v>3171</v>
      </c>
      <c r="AX166" s="2209" t="s">
        <v>3213</v>
      </c>
      <c r="AY166" s="2211" t="s">
        <v>3285</v>
      </c>
    </row>
    <row r="167" spans="2:65" s="2216" customFormat="1">
      <c r="B167" s="2217"/>
      <c r="D167" s="2197" t="s">
        <v>3303</v>
      </c>
      <c r="E167" s="2218" t="s">
        <v>3146</v>
      </c>
      <c r="F167" s="2219" t="s">
        <v>3306</v>
      </c>
      <c r="H167" s="5569">
        <f>H166</f>
        <v>5498.95</v>
      </c>
      <c r="L167" s="2217"/>
      <c r="M167" s="2221"/>
      <c r="T167" s="2222"/>
      <c r="AT167" s="2218" t="s">
        <v>3303</v>
      </c>
      <c r="AU167" s="2218" t="s">
        <v>134</v>
      </c>
      <c r="AV167" s="2216" t="s">
        <v>856</v>
      </c>
      <c r="AW167" s="2216" t="s">
        <v>3171</v>
      </c>
      <c r="AX167" s="2216" t="s">
        <v>133</v>
      </c>
      <c r="AY167" s="2218" t="s">
        <v>3285</v>
      </c>
    </row>
    <row r="168" spans="2:65" s="2209" customFormat="1">
      <c r="B168" s="2210"/>
      <c r="D168" s="2197" t="s">
        <v>3303</v>
      </c>
      <c r="F168" s="5560" t="s">
        <v>11709</v>
      </c>
      <c r="H168" s="5569">
        <f>5498.95*0.5</f>
        <v>2749.4749999999999</v>
      </c>
      <c r="L168" s="2210"/>
      <c r="M168" s="2214"/>
      <c r="T168" s="2215"/>
      <c r="AT168" s="2211" t="s">
        <v>3303</v>
      </c>
      <c r="AU168" s="2211" t="s">
        <v>134</v>
      </c>
      <c r="AV168" s="2209" t="s">
        <v>134</v>
      </c>
      <c r="AW168" s="2209" t="s">
        <v>3148</v>
      </c>
      <c r="AX168" s="2209" t="s">
        <v>133</v>
      </c>
      <c r="AY168" s="2211" t="s">
        <v>3285</v>
      </c>
    </row>
    <row r="169" spans="2:65" s="2070" customFormat="1" ht="24.2" customHeight="1">
      <c r="B169" s="2164"/>
      <c r="C169" s="5561" t="s">
        <v>2098</v>
      </c>
      <c r="D169" s="4608" t="s">
        <v>3286</v>
      </c>
      <c r="E169" s="4609" t="s">
        <v>3308</v>
      </c>
      <c r="F169" s="4610" t="s">
        <v>3309</v>
      </c>
      <c r="G169" s="4611" t="s">
        <v>221</v>
      </c>
      <c r="H169" s="5568">
        <f>H172</f>
        <v>36.44</v>
      </c>
      <c r="I169" s="4613"/>
      <c r="J169" s="4613">
        <f>ROUND(I169*H169,2)</f>
        <v>0</v>
      </c>
      <c r="K169" s="4610" t="s">
        <v>142</v>
      </c>
      <c r="L169" s="2071"/>
      <c r="M169" s="2190" t="s">
        <v>3146</v>
      </c>
      <c r="N169" s="2163" t="s">
        <v>3181</v>
      </c>
      <c r="O169" s="2191">
        <v>6.8150000000000004</v>
      </c>
      <c r="P169" s="2191">
        <f>O169*H169</f>
        <v>248.33859999999999</v>
      </c>
      <c r="Q169" s="2191">
        <v>0</v>
      </c>
      <c r="R169" s="2191">
        <f>Q169*H169</f>
        <v>0</v>
      </c>
      <c r="S169" s="2191">
        <v>0</v>
      </c>
      <c r="T169" s="2192">
        <f>S169*H169</f>
        <v>0</v>
      </c>
      <c r="AR169" s="2193" t="s">
        <v>856</v>
      </c>
      <c r="AT169" s="2193" t="s">
        <v>3286</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3310</v>
      </c>
    </row>
    <row r="170" spans="2:65" s="2195" customFormat="1">
      <c r="B170" s="2196"/>
      <c r="D170" s="2197" t="s">
        <v>3303</v>
      </c>
      <c r="E170" s="2198" t="s">
        <v>3146</v>
      </c>
      <c r="F170" s="2199" t="s">
        <v>3311</v>
      </c>
      <c r="H170" s="2198" t="s">
        <v>3146</v>
      </c>
      <c r="L170" s="2196"/>
      <c r="M170" s="2200"/>
      <c r="T170" s="2201"/>
      <c r="AT170" s="2198" t="s">
        <v>3303</v>
      </c>
      <c r="AU170" s="2198" t="s">
        <v>134</v>
      </c>
      <c r="AV170" s="2195" t="s">
        <v>133</v>
      </c>
      <c r="AW170" s="2195" t="s">
        <v>3171</v>
      </c>
      <c r="AX170" s="2195" t="s">
        <v>3213</v>
      </c>
      <c r="AY170" s="2198" t="s">
        <v>3285</v>
      </c>
    </row>
    <row r="171" spans="2:65" s="2209" customFormat="1">
      <c r="B171" s="2210"/>
      <c r="D171" s="2197" t="s">
        <v>3303</v>
      </c>
      <c r="E171" s="2211" t="s">
        <v>3146</v>
      </c>
      <c r="F171" s="5560">
        <v>36.44</v>
      </c>
      <c r="G171" s="5574"/>
      <c r="H171" s="5569">
        <f>36.44</f>
        <v>36.44</v>
      </c>
      <c r="L171" s="2210"/>
      <c r="M171" s="2214"/>
      <c r="T171" s="2215"/>
      <c r="AT171" s="2211" t="s">
        <v>3303</v>
      </c>
      <c r="AU171" s="2211" t="s">
        <v>134</v>
      </c>
      <c r="AV171" s="2209" t="s">
        <v>134</v>
      </c>
      <c r="AW171" s="2209" t="s">
        <v>3171</v>
      </c>
      <c r="AX171" s="2209" t="s">
        <v>3213</v>
      </c>
      <c r="AY171" s="2211" t="s">
        <v>3285</v>
      </c>
    </row>
    <row r="172" spans="2:65" s="2216" customFormat="1">
      <c r="B172" s="2217"/>
      <c r="D172" s="2197" t="s">
        <v>3303</v>
      </c>
      <c r="E172" s="2218" t="s">
        <v>3146</v>
      </c>
      <c r="F172" s="2219" t="s">
        <v>3306</v>
      </c>
      <c r="H172" s="5569">
        <f>H171</f>
        <v>36.44</v>
      </c>
      <c r="L172" s="2217"/>
      <c r="M172" s="2221"/>
      <c r="T172" s="2222"/>
      <c r="AT172" s="2218" t="s">
        <v>3303</v>
      </c>
      <c r="AU172" s="2218" t="s">
        <v>134</v>
      </c>
      <c r="AV172" s="2216" t="s">
        <v>856</v>
      </c>
      <c r="AW172" s="2216" t="s">
        <v>3171</v>
      </c>
      <c r="AX172" s="2216" t="s">
        <v>133</v>
      </c>
      <c r="AY172" s="2218" t="s">
        <v>3285</v>
      </c>
    </row>
    <row r="173" spans="2:65" s="2070" customFormat="1" ht="33" customHeight="1">
      <c r="B173" s="2164"/>
      <c r="C173" s="5561" t="s">
        <v>1812</v>
      </c>
      <c r="D173" s="4608" t="s">
        <v>3286</v>
      </c>
      <c r="E173" s="4609" t="s">
        <v>3313</v>
      </c>
      <c r="F173" s="4610" t="s">
        <v>3314</v>
      </c>
      <c r="G173" s="4611" t="s">
        <v>221</v>
      </c>
      <c r="H173" s="5568">
        <f>H176</f>
        <v>9.5082000000000004</v>
      </c>
      <c r="I173" s="4613"/>
      <c r="J173" s="4613">
        <f>ROUND(I173*H173,2)</f>
        <v>0</v>
      </c>
      <c r="K173" s="4610" t="s">
        <v>142</v>
      </c>
      <c r="L173" s="2071"/>
      <c r="M173" s="2190" t="s">
        <v>3146</v>
      </c>
      <c r="N173" s="2163" t="s">
        <v>3181</v>
      </c>
      <c r="O173" s="2191">
        <v>3.77</v>
      </c>
      <c r="P173" s="2191">
        <f>O173*H173</f>
        <v>35.845914</v>
      </c>
      <c r="Q173" s="2191">
        <v>0</v>
      </c>
      <c r="R173" s="2191">
        <f>Q173*H173</f>
        <v>0</v>
      </c>
      <c r="S173" s="2191">
        <v>0</v>
      </c>
      <c r="T173" s="2192">
        <f>S173*H173</f>
        <v>0</v>
      </c>
      <c r="AR173" s="2193" t="s">
        <v>856</v>
      </c>
      <c r="AT173" s="2193" t="s">
        <v>3286</v>
      </c>
      <c r="AU173" s="2193" t="s">
        <v>134</v>
      </c>
      <c r="AY173" s="2056" t="s">
        <v>3285</v>
      </c>
      <c r="BE173" s="2194">
        <f>IF(N173="základní",J173,0)</f>
        <v>0</v>
      </c>
      <c r="BF173" s="2194">
        <f>IF(N173="snížená",J173,0)</f>
        <v>0</v>
      </c>
      <c r="BG173" s="2194">
        <f>IF(N173="zákl. přenesená",J173,0)</f>
        <v>0</v>
      </c>
      <c r="BH173" s="2194">
        <f>IF(N173="sníž. přenesená",J173,0)</f>
        <v>0</v>
      </c>
      <c r="BI173" s="2194">
        <f>IF(N173="nulová",J173,0)</f>
        <v>0</v>
      </c>
      <c r="BJ173" s="2056" t="s">
        <v>134</v>
      </c>
      <c r="BK173" s="2194">
        <f>ROUND(I173*H173,2)</f>
        <v>0</v>
      </c>
      <c r="BL173" s="2056" t="s">
        <v>856</v>
      </c>
      <c r="BM173" s="2193" t="s">
        <v>3315</v>
      </c>
    </row>
    <row r="174" spans="2:65" s="2195" customFormat="1">
      <c r="B174" s="2196"/>
      <c r="D174" s="2197" t="s">
        <v>3303</v>
      </c>
      <c r="E174" s="2198" t="s">
        <v>3146</v>
      </c>
      <c r="F174" s="2199" t="s">
        <v>10727</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5560" t="s">
        <v>11710</v>
      </c>
      <c r="G175" s="5574"/>
      <c r="H175" s="5569">
        <f>475.41*0.2*0.1</f>
        <v>9.5082000000000004</v>
      </c>
      <c r="L175" s="2210"/>
      <c r="M175" s="2214"/>
      <c r="T175" s="2215"/>
      <c r="AT175" s="2211" t="s">
        <v>3303</v>
      </c>
      <c r="AU175" s="2211" t="s">
        <v>134</v>
      </c>
      <c r="AV175" s="2209" t="s">
        <v>134</v>
      </c>
      <c r="AW175" s="2209" t="s">
        <v>3171</v>
      </c>
      <c r="AX175" s="2209" t="s">
        <v>3213</v>
      </c>
      <c r="AY175" s="2211" t="s">
        <v>3285</v>
      </c>
    </row>
    <row r="176" spans="2:65" s="2216" customFormat="1">
      <c r="B176" s="2217"/>
      <c r="D176" s="2197" t="s">
        <v>3303</v>
      </c>
      <c r="E176" s="2218" t="s">
        <v>3146</v>
      </c>
      <c r="F176" s="2219" t="s">
        <v>3306</v>
      </c>
      <c r="G176" s="5574"/>
      <c r="H176" s="5569">
        <f>H175</f>
        <v>9.5082000000000004</v>
      </c>
      <c r="L176" s="2217"/>
      <c r="M176" s="2221"/>
      <c r="T176" s="2222"/>
      <c r="AT176" s="2218" t="s">
        <v>3303</v>
      </c>
      <c r="AU176" s="2218" t="s">
        <v>134</v>
      </c>
      <c r="AV176" s="2216" t="s">
        <v>856</v>
      </c>
      <c r="AW176" s="2216" t="s">
        <v>3171</v>
      </c>
      <c r="AX176" s="2216" t="s">
        <v>133</v>
      </c>
      <c r="AY176" s="2218" t="s">
        <v>3285</v>
      </c>
    </row>
    <row r="177" spans="2:65" s="2070" customFormat="1" ht="33" customHeight="1">
      <c r="B177" s="2164"/>
      <c r="C177" s="5561" t="s">
        <v>874</v>
      </c>
      <c r="D177" s="4608" t="s">
        <v>3286</v>
      </c>
      <c r="E177" s="4609" t="s">
        <v>3316</v>
      </c>
      <c r="F177" s="4610" t="s">
        <v>2506</v>
      </c>
      <c r="G177" s="4611" t="s">
        <v>221</v>
      </c>
      <c r="H177" s="4612">
        <v>118.85</v>
      </c>
      <c r="I177" s="5710" t="s">
        <v>11578</v>
      </c>
      <c r="J177" s="5711"/>
      <c r="K177" s="4610" t="s">
        <v>142</v>
      </c>
      <c r="L177" s="2071"/>
      <c r="M177" s="2190" t="s">
        <v>3146</v>
      </c>
      <c r="N177" s="2163" t="s">
        <v>3181</v>
      </c>
      <c r="O177" s="2191">
        <v>1.72</v>
      </c>
      <c r="P177" s="2191">
        <f>O177*H177</f>
        <v>204.422</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v>0</v>
      </c>
      <c r="BL177" s="2056" t="s">
        <v>856</v>
      </c>
      <c r="BM177" s="2193" t="s">
        <v>3317</v>
      </c>
    </row>
    <row r="178" spans="2:65" s="2209" customFormat="1">
      <c r="B178" s="2210"/>
      <c r="D178" s="2197" t="s">
        <v>3303</v>
      </c>
      <c r="E178" s="2211" t="s">
        <v>3146</v>
      </c>
      <c r="F178" s="2212" t="s">
        <v>3318</v>
      </c>
      <c r="H178" s="2213">
        <v>118.85</v>
      </c>
      <c r="L178" s="2210"/>
      <c r="M178" s="2214"/>
      <c r="T178" s="2215"/>
      <c r="AT178" s="2211" t="s">
        <v>3303</v>
      </c>
      <c r="AU178" s="2211" t="s">
        <v>134</v>
      </c>
      <c r="AV178" s="2209" t="s">
        <v>134</v>
      </c>
      <c r="AW178" s="2209" t="s">
        <v>3171</v>
      </c>
      <c r="AX178" s="2209" t="s">
        <v>133</v>
      </c>
      <c r="AY178" s="2211" t="s">
        <v>3285</v>
      </c>
    </row>
    <row r="179" spans="2:65" s="2070" customFormat="1" ht="24.2" customHeight="1">
      <c r="B179" s="2164"/>
      <c r="C179" s="4608" t="s">
        <v>1924</v>
      </c>
      <c r="D179" s="4608" t="s">
        <v>3286</v>
      </c>
      <c r="E179" s="4609" t="s">
        <v>3319</v>
      </c>
      <c r="F179" s="4610" t="s">
        <v>3320</v>
      </c>
      <c r="G179" s="4611" t="s">
        <v>221</v>
      </c>
      <c r="H179" s="4612">
        <f>H182</f>
        <v>11.25</v>
      </c>
      <c r="I179" s="4613"/>
      <c r="J179" s="4613">
        <f>ROUND(I179*H179,2)</f>
        <v>0</v>
      </c>
      <c r="K179" s="4610" t="s">
        <v>142</v>
      </c>
      <c r="L179" s="2071"/>
      <c r="M179" s="2190" t="s">
        <v>3146</v>
      </c>
      <c r="N179" s="2163" t="s">
        <v>3181</v>
      </c>
      <c r="O179" s="2191">
        <v>2.0190000000000001</v>
      </c>
      <c r="P179" s="2191">
        <f>O179*H179</f>
        <v>22.713750000000001</v>
      </c>
      <c r="Q179" s="2191">
        <v>0</v>
      </c>
      <c r="R179" s="2191">
        <f>Q179*H179</f>
        <v>0</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3321</v>
      </c>
    </row>
    <row r="180" spans="2:65" s="2195" customFormat="1">
      <c r="B180" s="2196"/>
      <c r="D180" s="2197" t="s">
        <v>3303</v>
      </c>
      <c r="E180" s="2198" t="s">
        <v>3146</v>
      </c>
      <c r="F180" s="2199" t="s">
        <v>3322</v>
      </c>
      <c r="H180" s="2198" t="s">
        <v>3146</v>
      </c>
      <c r="L180" s="2196"/>
      <c r="M180" s="2200"/>
      <c r="T180" s="2201"/>
      <c r="AT180" s="2198" t="s">
        <v>3303</v>
      </c>
      <c r="AU180" s="2198" t="s">
        <v>134</v>
      </c>
      <c r="AV180" s="2195" t="s">
        <v>133</v>
      </c>
      <c r="AW180" s="2195" t="s">
        <v>3171</v>
      </c>
      <c r="AX180" s="2195" t="s">
        <v>3213</v>
      </c>
      <c r="AY180" s="2198" t="s">
        <v>3285</v>
      </c>
    </row>
    <row r="181" spans="2:65" s="2209" customFormat="1">
      <c r="B181" s="2210"/>
      <c r="D181" s="2197" t="s">
        <v>3303</v>
      </c>
      <c r="E181" s="2211" t="s">
        <v>3146</v>
      </c>
      <c r="F181" s="2212" t="s">
        <v>3323</v>
      </c>
      <c r="H181" s="2213">
        <f>1.5*1.5*1*5</f>
        <v>11.25</v>
      </c>
      <c r="L181" s="2210"/>
      <c r="M181" s="2214"/>
      <c r="T181" s="2215"/>
      <c r="AT181" s="2211" t="s">
        <v>3303</v>
      </c>
      <c r="AU181" s="2211" t="s">
        <v>134</v>
      </c>
      <c r="AV181" s="2209" t="s">
        <v>134</v>
      </c>
      <c r="AW181" s="2209" t="s">
        <v>3171</v>
      </c>
      <c r="AX181" s="2209" t="s">
        <v>3213</v>
      </c>
      <c r="AY181" s="2211" t="s">
        <v>3285</v>
      </c>
    </row>
    <row r="182" spans="2:65" s="2216" customFormat="1">
      <c r="B182" s="2217"/>
      <c r="D182" s="2197" t="s">
        <v>3303</v>
      </c>
      <c r="E182" s="2218" t="s">
        <v>3146</v>
      </c>
      <c r="F182" s="2219" t="s">
        <v>3306</v>
      </c>
      <c r="H182" s="2220">
        <f>H181</f>
        <v>11.25</v>
      </c>
      <c r="L182" s="2217"/>
      <c r="M182" s="2221"/>
      <c r="T182" s="2222"/>
      <c r="AT182" s="2218" t="s">
        <v>3303</v>
      </c>
      <c r="AU182" s="2218" t="s">
        <v>134</v>
      </c>
      <c r="AV182" s="2216" t="s">
        <v>856</v>
      </c>
      <c r="AW182" s="2216" t="s">
        <v>3171</v>
      </c>
      <c r="AX182" s="2216" t="s">
        <v>133</v>
      </c>
      <c r="AY182" s="2218" t="s">
        <v>3285</v>
      </c>
    </row>
    <row r="183" spans="2:65" s="2070" customFormat="1" ht="37.9" customHeight="1">
      <c r="B183" s="2164"/>
      <c r="C183" s="4608" t="s">
        <v>1823</v>
      </c>
      <c r="D183" s="4608" t="s">
        <v>3286</v>
      </c>
      <c r="E183" s="4609" t="s">
        <v>3324</v>
      </c>
      <c r="F183" s="4610" t="s">
        <v>3325</v>
      </c>
      <c r="G183" s="4611" t="s">
        <v>221</v>
      </c>
      <c r="H183" s="4612">
        <f>H184</f>
        <v>3083.17</v>
      </c>
      <c r="I183" s="4613"/>
      <c r="J183" s="4613">
        <f>ROUND(I183*H183,2)</f>
        <v>0</v>
      </c>
      <c r="K183" s="4610" t="s">
        <v>142</v>
      </c>
      <c r="L183" s="2071"/>
      <c r="M183" s="2190" t="s">
        <v>3146</v>
      </c>
      <c r="N183" s="2163" t="s">
        <v>3181</v>
      </c>
      <c r="O183" s="2191">
        <v>4.9000000000000002E-2</v>
      </c>
      <c r="P183" s="2191">
        <f>O183*H183</f>
        <v>151.07533000000001</v>
      </c>
      <c r="Q183" s="2191">
        <v>0</v>
      </c>
      <c r="R183" s="2191">
        <f>Q183*H183</f>
        <v>0</v>
      </c>
      <c r="S183" s="2191">
        <v>0</v>
      </c>
      <c r="T183" s="2192">
        <f>S183*H183</f>
        <v>0</v>
      </c>
      <c r="AR183" s="2193" t="s">
        <v>856</v>
      </c>
      <c r="AT183" s="2193" t="s">
        <v>3286</v>
      </c>
      <c r="AU183" s="2193" t="s">
        <v>134</v>
      </c>
      <c r="AY183" s="2056" t="s">
        <v>3285</v>
      </c>
      <c r="BE183" s="2194">
        <f>IF(N183="základní",J183,0)</f>
        <v>0</v>
      </c>
      <c r="BF183" s="2194">
        <f>IF(N183="snížená",J183,0)</f>
        <v>0</v>
      </c>
      <c r="BG183" s="2194">
        <f>IF(N183="zákl. přenesená",J183,0)</f>
        <v>0</v>
      </c>
      <c r="BH183" s="2194">
        <f>IF(N183="sníž. přenesená",J183,0)</f>
        <v>0</v>
      </c>
      <c r="BI183" s="2194">
        <f>IF(N183="nulová",J183,0)</f>
        <v>0</v>
      </c>
      <c r="BJ183" s="2056" t="s">
        <v>134</v>
      </c>
      <c r="BK183" s="2194">
        <f>ROUND(I183*H183,2)</f>
        <v>0</v>
      </c>
      <c r="BL183" s="2056" t="s">
        <v>856</v>
      </c>
      <c r="BM183" s="2193" t="s">
        <v>3326</v>
      </c>
    </row>
    <row r="184" spans="2:65" s="2209" customFormat="1">
      <c r="B184" s="2210"/>
      <c r="D184" s="2197" t="s">
        <v>3303</v>
      </c>
      <c r="F184" s="2212" t="s">
        <v>3327</v>
      </c>
      <c r="H184" s="2213">
        <f>1541.585*2</f>
        <v>3083.17</v>
      </c>
      <c r="L184" s="2210"/>
      <c r="M184" s="2214"/>
      <c r="T184" s="2215"/>
      <c r="AT184" s="2211" t="s">
        <v>3303</v>
      </c>
      <c r="AU184" s="2211" t="s">
        <v>134</v>
      </c>
      <c r="AV184" s="2209" t="s">
        <v>134</v>
      </c>
      <c r="AW184" s="2209" t="s">
        <v>3148</v>
      </c>
      <c r="AX184" s="2209" t="s">
        <v>133</v>
      </c>
      <c r="AY184" s="2211" t="s">
        <v>3285</v>
      </c>
    </row>
    <row r="185" spans="2:65" s="2070" customFormat="1" ht="37.9" customHeight="1">
      <c r="B185" s="2164"/>
      <c r="C185" s="5561" t="s">
        <v>1827</v>
      </c>
      <c r="D185" s="4608" t="s">
        <v>3286</v>
      </c>
      <c r="E185" s="4609" t="s">
        <v>3328</v>
      </c>
      <c r="F185" s="4610" t="s">
        <v>3329</v>
      </c>
      <c r="G185" s="4611" t="s">
        <v>221</v>
      </c>
      <c r="H185" s="5568">
        <f>H191</f>
        <v>4430.9059986499988</v>
      </c>
      <c r="I185" s="4613"/>
      <c r="J185" s="4613">
        <f>ROUND(I185*H185,2)</f>
        <v>0</v>
      </c>
      <c r="K185" s="4610" t="s">
        <v>142</v>
      </c>
      <c r="L185" s="2071"/>
      <c r="M185" s="2190" t="s">
        <v>3146</v>
      </c>
      <c r="N185" s="2163" t="s">
        <v>3181</v>
      </c>
      <c r="O185" s="2191">
        <v>9.9000000000000005E-2</v>
      </c>
      <c r="P185" s="2191">
        <f>O185*H185</f>
        <v>438.65969386634993</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3330</v>
      </c>
    </row>
    <row r="186" spans="2:65" s="2209" customFormat="1">
      <c r="B186" s="2210"/>
      <c r="D186" s="2197" t="s">
        <v>3303</v>
      </c>
      <c r="E186" s="2211" t="s">
        <v>3146</v>
      </c>
      <c r="F186" s="5560" t="s">
        <v>11711</v>
      </c>
      <c r="H186" s="5569">
        <f>(2749.475+2749.475+36.44+9.508+11.25)-(1541.585-38.5)</f>
        <v>4053.0629999999992</v>
      </c>
      <c r="L186" s="2210"/>
      <c r="M186" s="2214"/>
      <c r="T186" s="2215"/>
      <c r="AT186" s="2211" t="s">
        <v>3303</v>
      </c>
      <c r="AU186" s="2211" t="s">
        <v>134</v>
      </c>
      <c r="AV186" s="2209" t="s">
        <v>134</v>
      </c>
      <c r="AW186" s="2209" t="s">
        <v>3171</v>
      </c>
      <c r="AX186" s="2209" t="s">
        <v>3213</v>
      </c>
      <c r="AY186" s="2211" t="s">
        <v>3285</v>
      </c>
    </row>
    <row r="187" spans="2:65" s="2202" customFormat="1">
      <c r="B187" s="2203"/>
      <c r="D187" s="2197" t="s">
        <v>3303</v>
      </c>
      <c r="E187" s="2204" t="s">
        <v>3146</v>
      </c>
      <c r="F187" s="2205" t="s">
        <v>3305</v>
      </c>
      <c r="H187" s="2206">
        <f>H186</f>
        <v>4053.0629999999992</v>
      </c>
      <c r="L187" s="2203"/>
      <c r="M187" s="2207"/>
      <c r="T187" s="2208"/>
      <c r="AT187" s="2204" t="s">
        <v>3303</v>
      </c>
      <c r="AU187" s="2204" t="s">
        <v>134</v>
      </c>
      <c r="AV187" s="2202" t="s">
        <v>854</v>
      </c>
      <c r="AW187" s="2202" t="s">
        <v>3171</v>
      </c>
      <c r="AX187" s="2202" t="s">
        <v>3213</v>
      </c>
      <c r="AY187" s="2204" t="s">
        <v>3285</v>
      </c>
    </row>
    <row r="188" spans="2:65" s="2209" customFormat="1">
      <c r="B188" s="2210"/>
      <c r="D188" s="2197" t="s">
        <v>3303</v>
      </c>
      <c r="E188" s="2211" t="s">
        <v>3146</v>
      </c>
      <c r="F188" s="5560" t="s">
        <v>11670</v>
      </c>
      <c r="G188" s="5574"/>
      <c r="H188" s="5569">
        <f>(3.14*0.315*0.315*(7.5*15+8.9*4))</f>
        <v>46.142998650000003</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5560" t="s">
        <v>11671</v>
      </c>
      <c r="G189" s="5574"/>
      <c r="H189" s="5569">
        <v>331.7</v>
      </c>
      <c r="L189" s="2210"/>
      <c r="M189" s="2214"/>
      <c r="T189" s="2215"/>
      <c r="AT189" s="2211" t="s">
        <v>3303</v>
      </c>
      <c r="AU189" s="2211" t="s">
        <v>134</v>
      </c>
      <c r="AV189" s="2209" t="s">
        <v>134</v>
      </c>
      <c r="AW189" s="2209" t="s">
        <v>3171</v>
      </c>
      <c r="AX189" s="2209" t="s">
        <v>3213</v>
      </c>
      <c r="AY189" s="2211" t="s">
        <v>3285</v>
      </c>
    </row>
    <row r="190" spans="2:65" s="2202" customFormat="1">
      <c r="B190" s="2203"/>
      <c r="D190" s="2197" t="s">
        <v>3303</v>
      </c>
      <c r="E190" s="2204" t="s">
        <v>3146</v>
      </c>
      <c r="F190" s="2205" t="s">
        <v>3305</v>
      </c>
      <c r="H190" s="2206">
        <f>SUM(H188:H189)</f>
        <v>377.84299864999997</v>
      </c>
      <c r="L190" s="2203"/>
      <c r="M190" s="2207"/>
      <c r="T190" s="2208"/>
      <c r="AT190" s="2204" t="s">
        <v>3303</v>
      </c>
      <c r="AU190" s="2204" t="s">
        <v>134</v>
      </c>
      <c r="AV190" s="2202" t="s">
        <v>854</v>
      </c>
      <c r="AW190" s="2202" t="s">
        <v>3171</v>
      </c>
      <c r="AX190" s="2202" t="s">
        <v>3213</v>
      </c>
      <c r="AY190" s="2204" t="s">
        <v>3285</v>
      </c>
    </row>
    <row r="191" spans="2:65" s="2216" customFormat="1">
      <c r="B191" s="2217"/>
      <c r="D191" s="2197" t="s">
        <v>3303</v>
      </c>
      <c r="E191" s="2218" t="s">
        <v>3146</v>
      </c>
      <c r="F191" s="2219" t="s">
        <v>3306</v>
      </c>
      <c r="H191" s="2220">
        <f>H187+H190</f>
        <v>4430.9059986499988</v>
      </c>
      <c r="L191" s="2217"/>
      <c r="M191" s="2221"/>
      <c r="T191" s="2222"/>
      <c r="AT191" s="2218" t="s">
        <v>3303</v>
      </c>
      <c r="AU191" s="2218" t="s">
        <v>134</v>
      </c>
      <c r="AV191" s="2216" t="s">
        <v>856</v>
      </c>
      <c r="AW191" s="2216" t="s">
        <v>3171</v>
      </c>
      <c r="AX191" s="2216" t="s">
        <v>133</v>
      </c>
      <c r="AY191" s="2218" t="s">
        <v>3285</v>
      </c>
    </row>
    <row r="192" spans="2:65" s="2070" customFormat="1" ht="24.2" customHeight="1">
      <c r="B192" s="2164"/>
      <c r="C192" s="4608" t="s">
        <v>2894</v>
      </c>
      <c r="D192" s="4608" t="s">
        <v>3286</v>
      </c>
      <c r="E192" s="4609" t="s">
        <v>3331</v>
      </c>
      <c r="F192" s="4610" t="s">
        <v>3332</v>
      </c>
      <c r="G192" s="4611" t="s">
        <v>221</v>
      </c>
      <c r="H192" s="4612">
        <v>1541.585</v>
      </c>
      <c r="I192" s="4613"/>
      <c r="J192" s="4613">
        <f>ROUND(I192*H192,2)</f>
        <v>0</v>
      </c>
      <c r="K192" s="4610" t="s">
        <v>142</v>
      </c>
      <c r="L192" s="2071"/>
      <c r="M192" s="2190" t="s">
        <v>3146</v>
      </c>
      <c r="N192" s="2163" t="s">
        <v>3181</v>
      </c>
      <c r="O192" s="2191">
        <v>7.1999999999999995E-2</v>
      </c>
      <c r="P192" s="2191">
        <f>O192*H192</f>
        <v>110.99412</v>
      </c>
      <c r="Q192" s="2191">
        <v>0</v>
      </c>
      <c r="R192" s="2191">
        <f>Q192*H192</f>
        <v>0</v>
      </c>
      <c r="S192" s="2191">
        <v>0</v>
      </c>
      <c r="T192" s="2192">
        <f>S192*H192</f>
        <v>0</v>
      </c>
      <c r="AR192" s="2193" t="s">
        <v>856</v>
      </c>
      <c r="AT192" s="2193" t="s">
        <v>3286</v>
      </c>
      <c r="AU192" s="2193" t="s">
        <v>134</v>
      </c>
      <c r="AY192" s="2056" t="s">
        <v>3285</v>
      </c>
      <c r="BE192" s="2194">
        <f>IF(N192="základní",J192,0)</f>
        <v>0</v>
      </c>
      <c r="BF192" s="2194">
        <f>IF(N192="snížená",J192,0)</f>
        <v>0</v>
      </c>
      <c r="BG192" s="2194">
        <f>IF(N192="zákl. přenesená",J192,0)</f>
        <v>0</v>
      </c>
      <c r="BH192" s="2194">
        <f>IF(N192="sníž. přenesená",J192,0)</f>
        <v>0</v>
      </c>
      <c r="BI192" s="2194">
        <f>IF(N192="nulová",J192,0)</f>
        <v>0</v>
      </c>
      <c r="BJ192" s="2056" t="s">
        <v>134</v>
      </c>
      <c r="BK192" s="2194">
        <f>ROUND(I192*H192,2)</f>
        <v>0</v>
      </c>
      <c r="BL192" s="2056" t="s">
        <v>856</v>
      </c>
      <c r="BM192" s="2193" t="s">
        <v>3333</v>
      </c>
    </row>
    <row r="193" spans="2:65" s="2209" customFormat="1">
      <c r="B193" s="2210"/>
      <c r="D193" s="2197" t="s">
        <v>3303</v>
      </c>
      <c r="E193" s="2211" t="s">
        <v>3146</v>
      </c>
      <c r="F193" s="2212" t="s">
        <v>3334</v>
      </c>
      <c r="H193" s="2213">
        <v>1541.585</v>
      </c>
      <c r="L193" s="2210"/>
      <c r="M193" s="2214"/>
      <c r="T193" s="2215"/>
      <c r="AT193" s="2211" t="s">
        <v>3303</v>
      </c>
      <c r="AU193" s="2211" t="s">
        <v>134</v>
      </c>
      <c r="AV193" s="2209" t="s">
        <v>134</v>
      </c>
      <c r="AW193" s="2209" t="s">
        <v>3171</v>
      </c>
      <c r="AX193" s="2209" t="s">
        <v>133</v>
      </c>
      <c r="AY193" s="2211" t="s">
        <v>3285</v>
      </c>
    </row>
    <row r="194" spans="2:65" s="2070" customFormat="1" ht="24.2" customHeight="1">
      <c r="B194" s="2164"/>
      <c r="C194" s="5561" t="s">
        <v>2897</v>
      </c>
      <c r="D194" s="4608" t="s">
        <v>3286</v>
      </c>
      <c r="E194" s="4609" t="s">
        <v>3335</v>
      </c>
      <c r="F194" s="4610" t="s">
        <v>3336</v>
      </c>
      <c r="G194" s="4611" t="s">
        <v>221</v>
      </c>
      <c r="H194" s="5568">
        <f>H195</f>
        <v>377.84299999999996</v>
      </c>
      <c r="I194" s="4613"/>
      <c r="J194" s="4613">
        <f>ROUND(I194*H194,2)</f>
        <v>0</v>
      </c>
      <c r="K194" s="4610" t="s">
        <v>142</v>
      </c>
      <c r="L194" s="2071"/>
      <c r="M194" s="2190" t="s">
        <v>3146</v>
      </c>
      <c r="N194" s="2163" t="s">
        <v>3181</v>
      </c>
      <c r="O194" s="2191">
        <v>9.6000000000000002E-2</v>
      </c>
      <c r="P194" s="2191">
        <f>O194*H194</f>
        <v>36.272928</v>
      </c>
      <c r="Q194" s="2191">
        <v>0</v>
      </c>
      <c r="R194" s="2191">
        <f>Q194*H194</f>
        <v>0</v>
      </c>
      <c r="S194" s="2191">
        <v>0</v>
      </c>
      <c r="T194" s="2192">
        <f>S194*H194</f>
        <v>0</v>
      </c>
      <c r="AR194" s="2193" t="s">
        <v>856</v>
      </c>
      <c r="AT194" s="2193" t="s">
        <v>3286</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856</v>
      </c>
      <c r="BM194" s="2193" t="s">
        <v>3337</v>
      </c>
    </row>
    <row r="195" spans="2:65" s="2209" customFormat="1">
      <c r="B195" s="2210"/>
      <c r="D195" s="2197" t="s">
        <v>3303</v>
      </c>
      <c r="E195" s="2211" t="s">
        <v>3146</v>
      </c>
      <c r="F195" s="5560" t="s">
        <v>11672</v>
      </c>
      <c r="G195" s="5574"/>
      <c r="H195" s="5569">
        <f>46.143+331.7</f>
        <v>377.84299999999996</v>
      </c>
      <c r="L195" s="2210"/>
      <c r="M195" s="2214"/>
      <c r="T195" s="2215"/>
      <c r="AT195" s="2211" t="s">
        <v>3303</v>
      </c>
      <c r="AU195" s="2211" t="s">
        <v>134</v>
      </c>
      <c r="AV195" s="2209" t="s">
        <v>134</v>
      </c>
      <c r="AW195" s="2209" t="s">
        <v>3171</v>
      </c>
      <c r="AX195" s="2209" t="s">
        <v>133</v>
      </c>
      <c r="AY195" s="2211" t="s">
        <v>3285</v>
      </c>
    </row>
    <row r="196" spans="2:65" s="2070" customFormat="1" ht="24.2" customHeight="1">
      <c r="B196" s="2164"/>
      <c r="C196" s="5561" t="s">
        <v>2475</v>
      </c>
      <c r="D196" s="4608" t="s">
        <v>3286</v>
      </c>
      <c r="E196" s="4609" t="s">
        <v>10728</v>
      </c>
      <c r="F196" s="4610" t="s">
        <v>10729</v>
      </c>
      <c r="G196" s="4611" t="s">
        <v>302</v>
      </c>
      <c r="H196" s="5568">
        <f>H198</f>
        <v>8861.8119999999999</v>
      </c>
      <c r="I196" s="4613"/>
      <c r="J196" s="4613">
        <f>ROUND(I196*H196,2)</f>
        <v>0</v>
      </c>
      <c r="K196" s="4610" t="s">
        <v>142</v>
      </c>
      <c r="L196" s="2071"/>
      <c r="M196" s="2190" t="s">
        <v>3146</v>
      </c>
      <c r="N196" s="2163" t="s">
        <v>3181</v>
      </c>
      <c r="O196" s="2191">
        <v>0</v>
      </c>
      <c r="P196" s="2191">
        <f>O196*H196</f>
        <v>0</v>
      </c>
      <c r="Q196" s="2191">
        <v>0</v>
      </c>
      <c r="R196" s="2191">
        <f>Q196*H196</f>
        <v>0</v>
      </c>
      <c r="S196" s="2191">
        <v>0</v>
      </c>
      <c r="T196" s="2192">
        <f>S196*H196</f>
        <v>0</v>
      </c>
      <c r="AR196" s="2193" t="s">
        <v>856</v>
      </c>
      <c r="AT196" s="2193" t="s">
        <v>3286</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3340</v>
      </c>
    </row>
    <row r="197" spans="2:65" s="2209" customFormat="1">
      <c r="B197" s="2210"/>
      <c r="D197" s="2197" t="s">
        <v>3303</v>
      </c>
      <c r="E197" s="2211" t="s">
        <v>3146</v>
      </c>
      <c r="F197" s="5560">
        <v>4430.9059999999999</v>
      </c>
      <c r="G197" s="5574"/>
      <c r="H197" s="5569">
        <v>4330.8029999999999</v>
      </c>
      <c r="L197" s="2210"/>
      <c r="M197" s="2214"/>
      <c r="T197" s="2215"/>
      <c r="AT197" s="2211" t="s">
        <v>3303</v>
      </c>
      <c r="AU197" s="2211" t="s">
        <v>134</v>
      </c>
      <c r="AV197" s="2209" t="s">
        <v>134</v>
      </c>
      <c r="AW197" s="2209" t="s">
        <v>3171</v>
      </c>
      <c r="AX197" s="2209" t="s">
        <v>133</v>
      </c>
      <c r="AY197" s="2211" t="s">
        <v>3285</v>
      </c>
    </row>
    <row r="198" spans="2:65" s="2209" customFormat="1">
      <c r="B198" s="2210"/>
      <c r="D198" s="2197" t="s">
        <v>3303</v>
      </c>
      <c r="F198" s="5560" t="s">
        <v>11712</v>
      </c>
      <c r="G198" s="5574"/>
      <c r="H198" s="5569">
        <f>4430.906*2</f>
        <v>8861.8119999999999</v>
      </c>
      <c r="L198" s="2210"/>
      <c r="M198" s="2214"/>
      <c r="T198" s="2215"/>
      <c r="AT198" s="2211" t="s">
        <v>3303</v>
      </c>
      <c r="AU198" s="2211" t="s">
        <v>134</v>
      </c>
      <c r="AV198" s="2209" t="s">
        <v>134</v>
      </c>
      <c r="AW198" s="2209" t="s">
        <v>3148</v>
      </c>
      <c r="AX198" s="2209" t="s">
        <v>133</v>
      </c>
      <c r="AY198" s="2211" t="s">
        <v>3285</v>
      </c>
    </row>
    <row r="199" spans="2:65" s="2070" customFormat="1" ht="24.2" customHeight="1">
      <c r="B199" s="2164"/>
      <c r="C199" s="5561" t="s">
        <v>1846</v>
      </c>
      <c r="D199" s="4608" t="s">
        <v>3286</v>
      </c>
      <c r="E199" s="4609" t="s">
        <v>3341</v>
      </c>
      <c r="F199" s="4610" t="s">
        <v>3342</v>
      </c>
      <c r="G199" s="4611" t="s">
        <v>221</v>
      </c>
      <c r="H199" s="4612">
        <v>125.893</v>
      </c>
      <c r="I199" s="5716" t="s">
        <v>11578</v>
      </c>
      <c r="J199" s="5717"/>
      <c r="K199" s="4610" t="s">
        <v>142</v>
      </c>
      <c r="L199" s="2071"/>
      <c r="M199" s="2190" t="s">
        <v>3146</v>
      </c>
      <c r="N199" s="2163" t="s">
        <v>3181</v>
      </c>
      <c r="O199" s="2191">
        <v>1.37</v>
      </c>
      <c r="P199" s="2191">
        <f>O199*H199</f>
        <v>172.47341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v>0</v>
      </c>
      <c r="BL199" s="2056" t="s">
        <v>856</v>
      </c>
      <c r="BM199" s="2193" t="s">
        <v>3343</v>
      </c>
    </row>
    <row r="200" spans="2:65" s="2209" customFormat="1">
      <c r="B200" s="2210"/>
      <c r="D200" s="2197" t="s">
        <v>3303</v>
      </c>
      <c r="E200" s="2211" t="s">
        <v>3146</v>
      </c>
      <c r="F200" s="2212" t="s">
        <v>3344</v>
      </c>
      <c r="H200" s="2213">
        <v>125.893</v>
      </c>
      <c r="L200" s="2210"/>
      <c r="M200" s="2214"/>
      <c r="T200" s="2215"/>
      <c r="AT200" s="2211" t="s">
        <v>3303</v>
      </c>
      <c r="AU200" s="2211" t="s">
        <v>134</v>
      </c>
      <c r="AV200" s="2209" t="s">
        <v>134</v>
      </c>
      <c r="AW200" s="2209" t="s">
        <v>3171</v>
      </c>
      <c r="AX200" s="2209" t="s">
        <v>3213</v>
      </c>
      <c r="AY200" s="2211" t="s">
        <v>3285</v>
      </c>
    </row>
    <row r="201" spans="2:65" s="2216" customFormat="1">
      <c r="B201" s="2217"/>
      <c r="D201" s="2197" t="s">
        <v>3303</v>
      </c>
      <c r="E201" s="2218" t="s">
        <v>3146</v>
      </c>
      <c r="F201" s="2219" t="s">
        <v>3306</v>
      </c>
      <c r="H201" s="2220">
        <v>125.893</v>
      </c>
      <c r="L201" s="2217"/>
      <c r="M201" s="2221"/>
      <c r="T201" s="2222"/>
      <c r="AT201" s="2218" t="s">
        <v>3303</v>
      </c>
      <c r="AU201" s="2218" t="s">
        <v>134</v>
      </c>
      <c r="AV201" s="2216" t="s">
        <v>856</v>
      </c>
      <c r="AW201" s="2216" t="s">
        <v>3171</v>
      </c>
      <c r="AX201" s="2216" t="s">
        <v>133</v>
      </c>
      <c r="AY201" s="2218" t="s">
        <v>3285</v>
      </c>
    </row>
    <row r="202" spans="2:65" s="2070" customFormat="1" ht="16.5" customHeight="1">
      <c r="B202" s="2164"/>
      <c r="C202" s="5609" t="s">
        <v>2272</v>
      </c>
      <c r="D202" s="4614" t="s">
        <v>135</v>
      </c>
      <c r="E202" s="4615" t="s">
        <v>3345</v>
      </c>
      <c r="F202" s="4616" t="s">
        <v>3346</v>
      </c>
      <c r="G202" s="4617" t="s">
        <v>302</v>
      </c>
      <c r="H202" s="4618">
        <v>235.87299999999999</v>
      </c>
      <c r="I202" s="5710" t="s">
        <v>11578</v>
      </c>
      <c r="J202" s="5711"/>
      <c r="K202" s="4616" t="s">
        <v>142</v>
      </c>
      <c r="L202" s="2223"/>
      <c r="M202" s="2224" t="s">
        <v>3146</v>
      </c>
      <c r="N202" s="2225" t="s">
        <v>3181</v>
      </c>
      <c r="O202" s="2191">
        <v>0</v>
      </c>
      <c r="P202" s="2191">
        <f>O202*H202</f>
        <v>0</v>
      </c>
      <c r="Q202" s="2191">
        <v>1</v>
      </c>
      <c r="R202" s="2191">
        <f>Q202*H202</f>
        <v>235.87299999999999</v>
      </c>
      <c r="S202" s="2191">
        <v>0</v>
      </c>
      <c r="T202" s="2192">
        <f>S202*H202</f>
        <v>0</v>
      </c>
      <c r="AR202" s="2193" t="s">
        <v>1363</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v>0</v>
      </c>
      <c r="BL202" s="2056" t="s">
        <v>856</v>
      </c>
      <c r="BM202" s="2193" t="s">
        <v>3347</v>
      </c>
    </row>
    <row r="203" spans="2:65" s="2209" customFormat="1">
      <c r="B203" s="2210"/>
      <c r="D203" s="2197" t="s">
        <v>3303</v>
      </c>
      <c r="F203" s="2212" t="s">
        <v>3348</v>
      </c>
      <c r="H203" s="2213">
        <v>235.87299999999999</v>
      </c>
      <c r="L203" s="2210"/>
      <c r="M203" s="2214"/>
      <c r="T203" s="2215"/>
      <c r="AT203" s="2211" t="s">
        <v>3303</v>
      </c>
      <c r="AU203" s="2211" t="s">
        <v>134</v>
      </c>
      <c r="AV203" s="2209" t="s">
        <v>134</v>
      </c>
      <c r="AW203" s="2209" t="s">
        <v>3148</v>
      </c>
      <c r="AX203" s="2209" t="s">
        <v>133</v>
      </c>
      <c r="AY203" s="2211" t="s">
        <v>3285</v>
      </c>
    </row>
    <row r="204" spans="2:65" s="2070" customFormat="1" ht="24.2" customHeight="1">
      <c r="B204" s="2164"/>
      <c r="C204" s="4608" t="s">
        <v>989</v>
      </c>
      <c r="D204" s="4608" t="s">
        <v>3286</v>
      </c>
      <c r="E204" s="4609" t="s">
        <v>3349</v>
      </c>
      <c r="F204" s="4610" t="s">
        <v>877</v>
      </c>
      <c r="G204" s="4611" t="s">
        <v>221</v>
      </c>
      <c r="H204" s="4612">
        <v>1718.973</v>
      </c>
      <c r="I204" s="4613"/>
      <c r="J204" s="4613">
        <f>ROUND(I204*H204,2)</f>
        <v>0</v>
      </c>
      <c r="K204" s="4610" t="s">
        <v>142</v>
      </c>
      <c r="L204" s="2071"/>
      <c r="M204" s="2190" t="s">
        <v>3146</v>
      </c>
      <c r="N204" s="2163" t="s">
        <v>3181</v>
      </c>
      <c r="O204" s="2191">
        <v>0.32800000000000001</v>
      </c>
      <c r="P204" s="2191">
        <f>O204*H204</f>
        <v>563.82314399999996</v>
      </c>
      <c r="Q204" s="2191">
        <v>0</v>
      </c>
      <c r="R204" s="2191">
        <f>Q204*H204</f>
        <v>0</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3350</v>
      </c>
    </row>
    <row r="205" spans="2:65" s="2209" customFormat="1">
      <c r="B205" s="2210"/>
      <c r="D205" s="2197" t="s">
        <v>3303</v>
      </c>
      <c r="E205" s="2211" t="s">
        <v>3146</v>
      </c>
      <c r="F205" s="2212" t="s">
        <v>3351</v>
      </c>
      <c r="H205" s="2213">
        <v>1503.085</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3352</v>
      </c>
      <c r="H206" s="2213">
        <v>215.88800000000001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1718.973</v>
      </c>
      <c r="L207" s="2217"/>
      <c r="M207" s="2221"/>
      <c r="T207" s="2222"/>
      <c r="AT207" s="2218" t="s">
        <v>3303</v>
      </c>
      <c r="AU207" s="2218" t="s">
        <v>134</v>
      </c>
      <c r="AV207" s="2216" t="s">
        <v>856</v>
      </c>
      <c r="AW207" s="2216" t="s">
        <v>3171</v>
      </c>
      <c r="AX207" s="2216" t="s">
        <v>133</v>
      </c>
      <c r="AY207" s="2218" t="s">
        <v>3285</v>
      </c>
    </row>
    <row r="208" spans="2:65" s="2070" customFormat="1" ht="16.5" customHeight="1">
      <c r="B208" s="2164"/>
      <c r="C208" s="4614" t="s">
        <v>2917</v>
      </c>
      <c r="D208" s="4614" t="s">
        <v>135</v>
      </c>
      <c r="E208" s="4615" t="s">
        <v>3345</v>
      </c>
      <c r="F208" s="4616" t="s">
        <v>3346</v>
      </c>
      <c r="G208" s="4617" t="s">
        <v>302</v>
      </c>
      <c r="H208" s="4618">
        <v>404.34300000000002</v>
      </c>
      <c r="I208" s="4619"/>
      <c r="J208" s="4619">
        <f>ROUND(I208*H208,2)</f>
        <v>0</v>
      </c>
      <c r="K208" s="4616" t="s">
        <v>142</v>
      </c>
      <c r="L208" s="2223"/>
      <c r="M208" s="2224" t="s">
        <v>3146</v>
      </c>
      <c r="N208" s="2225" t="s">
        <v>3181</v>
      </c>
      <c r="O208" s="2191">
        <v>0</v>
      </c>
      <c r="P208" s="2191">
        <f>O208*H208</f>
        <v>0</v>
      </c>
      <c r="Q208" s="2191">
        <v>1</v>
      </c>
      <c r="R208" s="2191">
        <f>Q208*H208</f>
        <v>404.34300000000002</v>
      </c>
      <c r="S208" s="2191">
        <v>0</v>
      </c>
      <c r="T208" s="2192">
        <f>S208*H208</f>
        <v>0</v>
      </c>
      <c r="AR208" s="2193" t="s">
        <v>1363</v>
      </c>
      <c r="AT208" s="2193" t="s">
        <v>135</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3353</v>
      </c>
    </row>
    <row r="209" spans="2:65" s="2209" customFormat="1">
      <c r="B209" s="2210"/>
      <c r="D209" s="2197" t="s">
        <v>3303</v>
      </c>
      <c r="E209" s="2211" t="s">
        <v>3146</v>
      </c>
      <c r="F209" s="2212" t="s">
        <v>3354</v>
      </c>
      <c r="H209" s="2213">
        <v>215.88</v>
      </c>
      <c r="L209" s="2210"/>
      <c r="M209" s="2214"/>
      <c r="T209" s="2215"/>
      <c r="AT209" s="2211" t="s">
        <v>3303</v>
      </c>
      <c r="AU209" s="2211" t="s">
        <v>134</v>
      </c>
      <c r="AV209" s="2209" t="s">
        <v>134</v>
      </c>
      <c r="AW209" s="2209" t="s">
        <v>3171</v>
      </c>
      <c r="AX209" s="2209" t="s">
        <v>133</v>
      </c>
      <c r="AY209" s="2211" t="s">
        <v>3285</v>
      </c>
    </row>
    <row r="210" spans="2:65" s="2209" customFormat="1">
      <c r="B210" s="2210"/>
      <c r="D210" s="2197" t="s">
        <v>3303</v>
      </c>
      <c r="F210" s="2212" t="s">
        <v>3355</v>
      </c>
      <c r="H210" s="2213">
        <v>404.34300000000002</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1220</v>
      </c>
      <c r="D211" s="4608" t="s">
        <v>3286</v>
      </c>
      <c r="E211" s="4609" t="s">
        <v>3356</v>
      </c>
      <c r="F211" s="4610" t="s">
        <v>3357</v>
      </c>
      <c r="G211" s="4611" t="s">
        <v>611</v>
      </c>
      <c r="H211" s="4612">
        <v>1258.93</v>
      </c>
      <c r="I211" s="4613"/>
      <c r="J211" s="4613">
        <f>ROUND(I211*H211,2)</f>
        <v>0</v>
      </c>
      <c r="K211" s="4610" t="s">
        <v>142</v>
      </c>
      <c r="L211" s="2071"/>
      <c r="M211" s="2190" t="s">
        <v>3146</v>
      </c>
      <c r="N211" s="2163" t="s">
        <v>3181</v>
      </c>
      <c r="O211" s="2191">
        <v>2.8000000000000001E-2</v>
      </c>
      <c r="P211" s="2191">
        <f>O211*H211</f>
        <v>35.250040000000006</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3358</v>
      </c>
    </row>
    <row r="212" spans="2:65" s="2209" customFormat="1">
      <c r="B212" s="2210"/>
      <c r="D212" s="2197" t="s">
        <v>3303</v>
      </c>
      <c r="E212" s="2211" t="s">
        <v>3146</v>
      </c>
      <c r="F212" s="2212" t="s">
        <v>3359</v>
      </c>
      <c r="H212" s="2213">
        <v>1258.93</v>
      </c>
      <c r="L212" s="2210"/>
      <c r="M212" s="2214"/>
      <c r="T212" s="2215"/>
      <c r="AT212" s="2211" t="s">
        <v>3303</v>
      </c>
      <c r="AU212" s="2211" t="s">
        <v>134</v>
      </c>
      <c r="AV212" s="2209" t="s">
        <v>134</v>
      </c>
      <c r="AW212" s="2209" t="s">
        <v>3171</v>
      </c>
      <c r="AX212" s="2209" t="s">
        <v>133</v>
      </c>
      <c r="AY212" s="2211" t="s">
        <v>3285</v>
      </c>
    </row>
    <row r="213" spans="2:65" s="2070" customFormat="1" ht="24.2" customHeight="1">
      <c r="B213" s="2164"/>
      <c r="C213" s="4608" t="s">
        <v>2358</v>
      </c>
      <c r="D213" s="4608" t="s">
        <v>3286</v>
      </c>
      <c r="E213" s="4609" t="s">
        <v>3360</v>
      </c>
      <c r="F213" s="4610" t="s">
        <v>1824</v>
      </c>
      <c r="G213" s="4611" t="s">
        <v>611</v>
      </c>
      <c r="H213" s="4612">
        <v>205.5</v>
      </c>
      <c r="I213" s="4613"/>
      <c r="J213" s="4613">
        <f>ROUND(I213*H213,2)</f>
        <v>0</v>
      </c>
      <c r="K213" s="4610" t="s">
        <v>142</v>
      </c>
      <c r="L213" s="2071"/>
      <c r="M213" s="2190" t="s">
        <v>3146</v>
      </c>
      <c r="N213" s="2163" t="s">
        <v>3181</v>
      </c>
      <c r="O213" s="2191">
        <v>0.08</v>
      </c>
      <c r="P213" s="2191">
        <f>O213*H213</f>
        <v>16.440000000000001</v>
      </c>
      <c r="Q213" s="2191">
        <v>0</v>
      </c>
      <c r="R213" s="2191">
        <f>Q213*H213</f>
        <v>0</v>
      </c>
      <c r="S213" s="2191">
        <v>0</v>
      </c>
      <c r="T213" s="2192">
        <f>S213*H213</f>
        <v>0</v>
      </c>
      <c r="AR213" s="2193" t="s">
        <v>856</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3361</v>
      </c>
    </row>
    <row r="214" spans="2:65" s="2209" customFormat="1">
      <c r="B214" s="2210"/>
      <c r="D214" s="2197" t="s">
        <v>3303</v>
      </c>
      <c r="E214" s="2211" t="s">
        <v>3146</v>
      </c>
      <c r="F214" s="2212" t="s">
        <v>3362</v>
      </c>
      <c r="H214" s="2213">
        <v>411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411</v>
      </c>
      <c r="L215" s="2217"/>
      <c r="M215" s="2221"/>
      <c r="T215" s="2222"/>
      <c r="AT215" s="2218" t="s">
        <v>3303</v>
      </c>
      <c r="AU215" s="2218" t="s">
        <v>134</v>
      </c>
      <c r="AV215" s="2216" t="s">
        <v>856</v>
      </c>
      <c r="AW215" s="2216" t="s">
        <v>3171</v>
      </c>
      <c r="AX215" s="2216" t="s">
        <v>133</v>
      </c>
      <c r="AY215" s="2218" t="s">
        <v>3285</v>
      </c>
    </row>
    <row r="216" spans="2:65" s="2209" customFormat="1">
      <c r="B216" s="2210"/>
      <c r="D216" s="2197" t="s">
        <v>3303</v>
      </c>
      <c r="F216" s="2212" t="s">
        <v>3363</v>
      </c>
      <c r="H216" s="2213">
        <v>205.5</v>
      </c>
      <c r="L216" s="2210"/>
      <c r="M216" s="2214"/>
      <c r="T216" s="2215"/>
      <c r="AT216" s="2211" t="s">
        <v>3303</v>
      </c>
      <c r="AU216" s="2211" t="s">
        <v>134</v>
      </c>
      <c r="AV216" s="2209" t="s">
        <v>134</v>
      </c>
      <c r="AW216" s="2209" t="s">
        <v>3148</v>
      </c>
      <c r="AX216" s="2209" t="s">
        <v>133</v>
      </c>
      <c r="AY216" s="2211" t="s">
        <v>3285</v>
      </c>
    </row>
    <row r="217" spans="2:65" s="2070" customFormat="1" ht="24.2" customHeight="1">
      <c r="B217" s="2164"/>
      <c r="C217" s="4608" t="s">
        <v>2073</v>
      </c>
      <c r="D217" s="4608" t="s">
        <v>3286</v>
      </c>
      <c r="E217" s="4609" t="s">
        <v>3364</v>
      </c>
      <c r="F217" s="4610" t="s">
        <v>1828</v>
      </c>
      <c r="G217" s="4611" t="s">
        <v>611</v>
      </c>
      <c r="H217" s="4612">
        <v>205.5</v>
      </c>
      <c r="I217" s="4613"/>
      <c r="J217" s="4613">
        <f>ROUND(I217*H217,2)</f>
        <v>0</v>
      </c>
      <c r="K217" s="4610" t="s">
        <v>142</v>
      </c>
      <c r="L217" s="2071"/>
      <c r="M217" s="2190" t="s">
        <v>3146</v>
      </c>
      <c r="N217" s="2163" t="s">
        <v>3181</v>
      </c>
      <c r="O217" s="2191">
        <v>0.11899999999999999</v>
      </c>
      <c r="P217" s="2191">
        <f>O217*H217</f>
        <v>24.454499999999999</v>
      </c>
      <c r="Q217" s="2191">
        <v>0</v>
      </c>
      <c r="R217" s="2191">
        <f>Q217*H217</f>
        <v>0</v>
      </c>
      <c r="S217" s="2191">
        <v>0</v>
      </c>
      <c r="T217" s="2192">
        <f>S217*H217</f>
        <v>0</v>
      </c>
      <c r="AR217" s="2193" t="s">
        <v>856</v>
      </c>
      <c r="AT217" s="2193" t="s">
        <v>3286</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3365</v>
      </c>
    </row>
    <row r="218" spans="2:65" s="2209" customFormat="1">
      <c r="B218" s="2210"/>
      <c r="D218" s="2197" t="s">
        <v>3303</v>
      </c>
      <c r="E218" s="2211" t="s">
        <v>3146</v>
      </c>
      <c r="F218" s="2212" t="s">
        <v>3366</v>
      </c>
      <c r="H218" s="2213">
        <v>205.5</v>
      </c>
      <c r="L218" s="2210"/>
      <c r="M218" s="2214"/>
      <c r="T218" s="2215"/>
      <c r="AT218" s="2211" t="s">
        <v>3303</v>
      </c>
      <c r="AU218" s="2211" t="s">
        <v>134</v>
      </c>
      <c r="AV218" s="2209" t="s">
        <v>134</v>
      </c>
      <c r="AW218" s="2209" t="s">
        <v>3171</v>
      </c>
      <c r="AX218" s="2209" t="s">
        <v>133</v>
      </c>
      <c r="AY218" s="2211" t="s">
        <v>3285</v>
      </c>
    </row>
    <row r="219" spans="2:65" s="2178" customFormat="1" ht="22.9" customHeight="1">
      <c r="B219" s="2179"/>
      <c r="D219" s="2180" t="s">
        <v>3212</v>
      </c>
      <c r="E219" s="2188" t="s">
        <v>134</v>
      </c>
      <c r="F219" s="2188" t="s">
        <v>2271</v>
      </c>
      <c r="J219" s="2189">
        <f>BK219</f>
        <v>0</v>
      </c>
      <c r="L219" s="2179"/>
      <c r="M219" s="2183"/>
      <c r="P219" s="2184">
        <f>SUM(P220:P367)</f>
        <v>3025.3039583727277</v>
      </c>
      <c r="R219" s="2184">
        <f>SUM(R220:R367)</f>
        <v>2782.8931231741226</v>
      </c>
      <c r="T219" s="2185">
        <f>SUM(T220:T367)</f>
        <v>13.826699999999997</v>
      </c>
      <c r="AR219" s="2180" t="s">
        <v>133</v>
      </c>
      <c r="AT219" s="2186" t="s">
        <v>3212</v>
      </c>
      <c r="AU219" s="2186" t="s">
        <v>133</v>
      </c>
      <c r="AY219" s="2180" t="s">
        <v>3285</v>
      </c>
      <c r="BK219" s="2187">
        <f>SUM(BK220:BK367)</f>
        <v>0</v>
      </c>
    </row>
    <row r="220" spans="2:65" s="2070" customFormat="1" ht="33" customHeight="1">
      <c r="B220" s="2164"/>
      <c r="C220" s="4608" t="s">
        <v>2522</v>
      </c>
      <c r="D220" s="4608" t="s">
        <v>3286</v>
      </c>
      <c r="E220" s="4609" t="s">
        <v>3367</v>
      </c>
      <c r="F220" s="4610" t="s">
        <v>3368</v>
      </c>
      <c r="G220" s="4611" t="s">
        <v>221</v>
      </c>
      <c r="H220" s="4612">
        <v>71.31</v>
      </c>
      <c r="I220" s="4613"/>
      <c r="J220" s="4613">
        <f>ROUND(I220*H220,2)</f>
        <v>0</v>
      </c>
      <c r="K220" s="4610" t="s">
        <v>142</v>
      </c>
      <c r="L220" s="2071"/>
      <c r="M220" s="2190" t="s">
        <v>3146</v>
      </c>
      <c r="N220" s="2163" t="s">
        <v>3181</v>
      </c>
      <c r="O220" s="2191">
        <v>0.92</v>
      </c>
      <c r="P220" s="2191">
        <f>O220*H220</f>
        <v>65.605200000000011</v>
      </c>
      <c r="Q220" s="2191">
        <v>1.665</v>
      </c>
      <c r="R220" s="2191">
        <f>Q220*H220</f>
        <v>118.73115</v>
      </c>
      <c r="S220" s="2191">
        <v>0</v>
      </c>
      <c r="T220" s="2192">
        <f>S220*H220</f>
        <v>0</v>
      </c>
      <c r="AR220" s="2193" t="s">
        <v>856</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856</v>
      </c>
      <c r="BM220" s="2193" t="s">
        <v>3369</v>
      </c>
    </row>
    <row r="221" spans="2:65" s="2209" customFormat="1">
      <c r="B221" s="2210"/>
      <c r="D221" s="2197" t="s">
        <v>3303</v>
      </c>
      <c r="E221" s="2211" t="s">
        <v>3146</v>
      </c>
      <c r="F221" s="2212" t="s">
        <v>3370</v>
      </c>
      <c r="H221" s="2213">
        <v>71.31</v>
      </c>
      <c r="L221" s="2210"/>
      <c r="M221" s="2214"/>
      <c r="T221" s="2215"/>
      <c r="AT221" s="2211" t="s">
        <v>3303</v>
      </c>
      <c r="AU221" s="2211" t="s">
        <v>134</v>
      </c>
      <c r="AV221" s="2209" t="s">
        <v>134</v>
      </c>
      <c r="AW221" s="2209" t="s">
        <v>3171</v>
      </c>
      <c r="AX221" s="2209" t="s">
        <v>3213</v>
      </c>
      <c r="AY221" s="2211" t="s">
        <v>3285</v>
      </c>
    </row>
    <row r="222" spans="2:65" s="2216" customFormat="1">
      <c r="B222" s="2217"/>
      <c r="D222" s="2197" t="s">
        <v>3303</v>
      </c>
      <c r="E222" s="2218" t="s">
        <v>3146</v>
      </c>
      <c r="F222" s="2219" t="s">
        <v>3306</v>
      </c>
      <c r="H222" s="2220">
        <v>71.31</v>
      </c>
      <c r="L222" s="2217"/>
      <c r="M222" s="2221"/>
      <c r="T222" s="2222"/>
      <c r="AT222" s="2218" t="s">
        <v>3303</v>
      </c>
      <c r="AU222" s="2218" t="s">
        <v>134</v>
      </c>
      <c r="AV222" s="2216" t="s">
        <v>856</v>
      </c>
      <c r="AW222" s="2216" t="s">
        <v>3171</v>
      </c>
      <c r="AX222" s="2216" t="s">
        <v>133</v>
      </c>
      <c r="AY222" s="2218" t="s">
        <v>3285</v>
      </c>
    </row>
    <row r="223" spans="2:65" s="2070" customFormat="1" ht="24.2" customHeight="1">
      <c r="B223" s="2164"/>
      <c r="C223" s="4608" t="s">
        <v>2527</v>
      </c>
      <c r="D223" s="4608" t="s">
        <v>3286</v>
      </c>
      <c r="E223" s="4609" t="s">
        <v>3371</v>
      </c>
      <c r="F223" s="4610" t="s">
        <v>3372</v>
      </c>
      <c r="G223" s="4611" t="s">
        <v>611</v>
      </c>
      <c r="H223" s="4612">
        <v>274.8</v>
      </c>
      <c r="I223" s="4613"/>
      <c r="J223" s="4613">
        <f>ROUND(I223*H223,2)</f>
        <v>0</v>
      </c>
      <c r="K223" s="4610" t="s">
        <v>142</v>
      </c>
      <c r="L223" s="2071"/>
      <c r="M223" s="2190" t="s">
        <v>3146</v>
      </c>
      <c r="N223" s="2163" t="s">
        <v>3181</v>
      </c>
      <c r="O223" s="2191">
        <v>7.4999999999999997E-2</v>
      </c>
      <c r="P223" s="2191">
        <f>O223*H223</f>
        <v>20.61</v>
      </c>
      <c r="Q223" s="2191">
        <v>1.7000000000000001E-4</v>
      </c>
      <c r="R223" s="2191">
        <f>Q223*H223</f>
        <v>4.6716000000000008E-2</v>
      </c>
      <c r="S223" s="2191">
        <v>0</v>
      </c>
      <c r="T223" s="2192">
        <f>S223*H223</f>
        <v>0</v>
      </c>
      <c r="AR223" s="2193" t="s">
        <v>856</v>
      </c>
      <c r="AT223" s="2193" t="s">
        <v>3286</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3373</v>
      </c>
    </row>
    <row r="224" spans="2:65" s="2209" customFormat="1">
      <c r="B224" s="2210"/>
      <c r="D224" s="2197" t="s">
        <v>3303</v>
      </c>
      <c r="E224" s="2211" t="s">
        <v>3146</v>
      </c>
      <c r="F224" s="2212" t="s">
        <v>3374</v>
      </c>
      <c r="H224" s="2213">
        <v>274.8</v>
      </c>
      <c r="L224" s="2210"/>
      <c r="M224" s="2214"/>
      <c r="T224" s="2215"/>
      <c r="AT224" s="2211" t="s">
        <v>3303</v>
      </c>
      <c r="AU224" s="2211" t="s">
        <v>134</v>
      </c>
      <c r="AV224" s="2209" t="s">
        <v>134</v>
      </c>
      <c r="AW224" s="2209" t="s">
        <v>3171</v>
      </c>
      <c r="AX224" s="2209" t="s">
        <v>3213</v>
      </c>
      <c r="AY224" s="2211" t="s">
        <v>3285</v>
      </c>
    </row>
    <row r="225" spans="2:65" s="2216" customFormat="1">
      <c r="B225" s="2217"/>
      <c r="D225" s="2197" t="s">
        <v>3303</v>
      </c>
      <c r="E225" s="2218" t="s">
        <v>3146</v>
      </c>
      <c r="F225" s="2219" t="s">
        <v>3306</v>
      </c>
      <c r="H225" s="2220">
        <v>274.8</v>
      </c>
      <c r="L225" s="2217"/>
      <c r="M225" s="2221"/>
      <c r="T225" s="2222"/>
      <c r="AT225" s="2218" t="s">
        <v>3303</v>
      </c>
      <c r="AU225" s="2218" t="s">
        <v>134</v>
      </c>
      <c r="AV225" s="2216" t="s">
        <v>856</v>
      </c>
      <c r="AW225" s="2216" t="s">
        <v>3171</v>
      </c>
      <c r="AX225" s="2216" t="s">
        <v>133</v>
      </c>
      <c r="AY225" s="2218" t="s">
        <v>3285</v>
      </c>
    </row>
    <row r="226" spans="2:65" s="2070" customFormat="1" ht="24.2" customHeight="1">
      <c r="B226" s="2164"/>
      <c r="C226" s="4614" t="s">
        <v>637</v>
      </c>
      <c r="D226" s="4614" t="s">
        <v>135</v>
      </c>
      <c r="E226" s="4615" t="s">
        <v>3375</v>
      </c>
      <c r="F226" s="4616" t="s">
        <v>3376</v>
      </c>
      <c r="G226" s="4617" t="s">
        <v>611</v>
      </c>
      <c r="H226" s="4618">
        <v>325.50099999999998</v>
      </c>
      <c r="I226" s="4619"/>
      <c r="J226" s="4619">
        <f>ROUND(I226*H226,2)</f>
        <v>0</v>
      </c>
      <c r="K226" s="4616" t="s">
        <v>142</v>
      </c>
      <c r="L226" s="2223"/>
      <c r="M226" s="2224" t="s">
        <v>3146</v>
      </c>
      <c r="N226" s="2225" t="s">
        <v>3181</v>
      </c>
      <c r="O226" s="2191">
        <v>0</v>
      </c>
      <c r="P226" s="2191">
        <f>O226*H226</f>
        <v>0</v>
      </c>
      <c r="Q226" s="2191">
        <v>2.9999999999999997E-4</v>
      </c>
      <c r="R226" s="2191">
        <f>Q226*H226</f>
        <v>9.7650299999999982E-2</v>
      </c>
      <c r="S226" s="2191">
        <v>0</v>
      </c>
      <c r="T226" s="2192">
        <f>S226*H226</f>
        <v>0</v>
      </c>
      <c r="AR226" s="2193" t="s">
        <v>1363</v>
      </c>
      <c r="AT226" s="2193" t="s">
        <v>135</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3377</v>
      </c>
    </row>
    <row r="227" spans="2:65" s="2209" customFormat="1">
      <c r="B227" s="2210"/>
      <c r="D227" s="2197" t="s">
        <v>3303</v>
      </c>
      <c r="F227" s="2212" t="s">
        <v>3378</v>
      </c>
      <c r="H227" s="2213">
        <v>325.50099999999998</v>
      </c>
      <c r="L227" s="2210"/>
      <c r="M227" s="2214"/>
      <c r="T227" s="2215"/>
      <c r="AT227" s="2211" t="s">
        <v>3303</v>
      </c>
      <c r="AU227" s="2211" t="s">
        <v>134</v>
      </c>
      <c r="AV227" s="2209" t="s">
        <v>134</v>
      </c>
      <c r="AW227" s="2209" t="s">
        <v>3148</v>
      </c>
      <c r="AX227" s="2209" t="s">
        <v>133</v>
      </c>
      <c r="AY227" s="2211" t="s">
        <v>3285</v>
      </c>
    </row>
    <row r="228" spans="2:65" s="2070" customFormat="1" ht="16.5" customHeight="1">
      <c r="B228" s="2164"/>
      <c r="C228" s="4608" t="s">
        <v>2366</v>
      </c>
      <c r="D228" s="4608" t="s">
        <v>3286</v>
      </c>
      <c r="E228" s="4609" t="s">
        <v>3379</v>
      </c>
      <c r="F228" s="4610" t="s">
        <v>3380</v>
      </c>
      <c r="G228" s="4611" t="s">
        <v>221</v>
      </c>
      <c r="H228" s="4612">
        <v>71.31</v>
      </c>
      <c r="I228" s="4613"/>
      <c r="J228" s="4613">
        <f>ROUND(I228*H228,2)</f>
        <v>0</v>
      </c>
      <c r="K228" s="4610" t="s">
        <v>142</v>
      </c>
      <c r="L228" s="2071"/>
      <c r="M228" s="2190" t="s">
        <v>3146</v>
      </c>
      <c r="N228" s="2163" t="s">
        <v>3181</v>
      </c>
      <c r="O228" s="2191">
        <v>1.5840000000000001</v>
      </c>
      <c r="P228" s="2191">
        <f>O228*H228</f>
        <v>112.95504000000001</v>
      </c>
      <c r="Q228" s="2191">
        <v>1.63</v>
      </c>
      <c r="R228" s="2191">
        <f>Q228*H228</f>
        <v>116.2353</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3381</v>
      </c>
    </row>
    <row r="229" spans="2:65" s="2070" customFormat="1" ht="24.2" customHeight="1">
      <c r="B229" s="2164"/>
      <c r="C229" s="4608" t="s">
        <v>3382</v>
      </c>
      <c r="D229" s="4608" t="s">
        <v>3286</v>
      </c>
      <c r="E229" s="4609" t="s">
        <v>3383</v>
      </c>
      <c r="F229" s="4610" t="s">
        <v>3384</v>
      </c>
      <c r="G229" s="4611" t="s">
        <v>611</v>
      </c>
      <c r="H229" s="4612">
        <v>1258.93</v>
      </c>
      <c r="I229" s="4613"/>
      <c r="J229" s="4613">
        <f>ROUND(I229*H229,2)</f>
        <v>0</v>
      </c>
      <c r="K229" s="4610" t="s">
        <v>142</v>
      </c>
      <c r="L229" s="2071"/>
      <c r="M229" s="2190" t="s">
        <v>3146</v>
      </c>
      <c r="N229" s="2163" t="s">
        <v>3181</v>
      </c>
      <c r="O229" s="2191">
        <v>5.8000000000000003E-2</v>
      </c>
      <c r="P229" s="2191">
        <f>O229*H229</f>
        <v>73.01794000000001</v>
      </c>
      <c r="Q229" s="2191">
        <v>1E-4</v>
      </c>
      <c r="R229" s="2191">
        <f>Q229*H229</f>
        <v>0.125893</v>
      </c>
      <c r="S229" s="2191">
        <v>0</v>
      </c>
      <c r="T229" s="2192">
        <f>S229*H229</f>
        <v>0</v>
      </c>
      <c r="AR229" s="2193" t="s">
        <v>856</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856</v>
      </c>
      <c r="BM229" s="2193" t="s">
        <v>3385</v>
      </c>
    </row>
    <row r="230" spans="2:65" s="2070" customFormat="1" ht="24.2" customHeight="1">
      <c r="B230" s="2164"/>
      <c r="C230" s="4614" t="s">
        <v>3386</v>
      </c>
      <c r="D230" s="4614" t="s">
        <v>135</v>
      </c>
      <c r="E230" s="4615" t="s">
        <v>3375</v>
      </c>
      <c r="F230" s="4616" t="s">
        <v>3376</v>
      </c>
      <c r="G230" s="4617" t="s">
        <v>611</v>
      </c>
      <c r="H230" s="4618">
        <v>1491.203</v>
      </c>
      <c r="I230" s="4619"/>
      <c r="J230" s="4619">
        <f>ROUND(I230*H230,2)</f>
        <v>0</v>
      </c>
      <c r="K230" s="4616" t="s">
        <v>142</v>
      </c>
      <c r="L230" s="2223"/>
      <c r="M230" s="2224" t="s">
        <v>3146</v>
      </c>
      <c r="N230" s="2225" t="s">
        <v>3181</v>
      </c>
      <c r="O230" s="2191">
        <v>0</v>
      </c>
      <c r="P230" s="2191">
        <f>O230*H230</f>
        <v>0</v>
      </c>
      <c r="Q230" s="2191">
        <v>2.9999999999999997E-4</v>
      </c>
      <c r="R230" s="2191">
        <f>Q230*H230</f>
        <v>0.44736089999999995</v>
      </c>
      <c r="S230" s="2191">
        <v>0</v>
      </c>
      <c r="T230" s="2192">
        <f>S230*H230</f>
        <v>0</v>
      </c>
      <c r="AR230" s="2193" t="s">
        <v>1363</v>
      </c>
      <c r="AT230" s="2193" t="s">
        <v>135</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3387</v>
      </c>
    </row>
    <row r="231" spans="2:65" s="2209" customFormat="1">
      <c r="B231" s="2210"/>
      <c r="D231" s="2197" t="s">
        <v>3303</v>
      </c>
      <c r="F231" s="2212" t="s">
        <v>3388</v>
      </c>
      <c r="H231" s="2213">
        <v>1491.203</v>
      </c>
      <c r="L231" s="2210"/>
      <c r="M231" s="2214"/>
      <c r="T231" s="2215"/>
      <c r="AT231" s="2211" t="s">
        <v>3303</v>
      </c>
      <c r="AU231" s="2211" t="s">
        <v>134</v>
      </c>
      <c r="AV231" s="2209" t="s">
        <v>134</v>
      </c>
      <c r="AW231" s="2209" t="s">
        <v>3148</v>
      </c>
      <c r="AX231" s="2209" t="s">
        <v>133</v>
      </c>
      <c r="AY231" s="2211" t="s">
        <v>3285</v>
      </c>
    </row>
    <row r="232" spans="2:65" s="2070" customFormat="1" ht="37.9" customHeight="1">
      <c r="B232" s="2164"/>
      <c r="C232" s="4608" t="s">
        <v>3389</v>
      </c>
      <c r="D232" s="4608" t="s">
        <v>3286</v>
      </c>
      <c r="E232" s="4609" t="s">
        <v>3390</v>
      </c>
      <c r="F232" s="4610" t="s">
        <v>3391</v>
      </c>
      <c r="G232" s="4611" t="s">
        <v>141</v>
      </c>
      <c r="H232" s="4612">
        <v>475.4</v>
      </c>
      <c r="I232" s="4613"/>
      <c r="J232" s="4613">
        <f>ROUND(I232*H232,2)</f>
        <v>0</v>
      </c>
      <c r="K232" s="4610" t="s">
        <v>142</v>
      </c>
      <c r="L232" s="2071"/>
      <c r="M232" s="2190" t="s">
        <v>3146</v>
      </c>
      <c r="N232" s="2163" t="s">
        <v>3181</v>
      </c>
      <c r="O232" s="2191">
        <v>0.40400000000000003</v>
      </c>
      <c r="P232" s="2191">
        <f>O232*H232</f>
        <v>192.0616</v>
      </c>
      <c r="Q232" s="2191">
        <v>1.286E-2</v>
      </c>
      <c r="R232" s="2191">
        <f>Q232*H232</f>
        <v>6.1136439999999999</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3392</v>
      </c>
    </row>
    <row r="233" spans="2:65" s="2209" customFormat="1" ht="22.5">
      <c r="B233" s="2210"/>
      <c r="D233" s="2197" t="s">
        <v>3303</v>
      </c>
      <c r="E233" s="2211" t="s">
        <v>3146</v>
      </c>
      <c r="F233" s="2212" t="s">
        <v>3393</v>
      </c>
      <c r="H233" s="2213">
        <v>241.8</v>
      </c>
      <c r="L233" s="2210"/>
      <c r="M233" s="2214"/>
      <c r="T233" s="2215"/>
      <c r="AT233" s="2211" t="s">
        <v>3303</v>
      </c>
      <c r="AU233" s="2211" t="s">
        <v>134</v>
      </c>
      <c r="AV233" s="2209" t="s">
        <v>134</v>
      </c>
      <c r="AW233" s="2209" t="s">
        <v>3171</v>
      </c>
      <c r="AX233" s="2209" t="s">
        <v>3213</v>
      </c>
      <c r="AY233" s="2211" t="s">
        <v>3285</v>
      </c>
    </row>
    <row r="234" spans="2:65" s="2209" customFormat="1" ht="22.5">
      <c r="B234" s="2210"/>
      <c r="D234" s="2197" t="s">
        <v>3303</v>
      </c>
      <c r="E234" s="2211" t="s">
        <v>3146</v>
      </c>
      <c r="F234" s="2212" t="s">
        <v>3394</v>
      </c>
      <c r="H234" s="2213">
        <v>233.6</v>
      </c>
      <c r="L234" s="2210"/>
      <c r="M234" s="2214"/>
      <c r="T234" s="2215"/>
      <c r="AT234" s="2211" t="s">
        <v>3303</v>
      </c>
      <c r="AU234" s="2211" t="s">
        <v>134</v>
      </c>
      <c r="AV234" s="2209" t="s">
        <v>134</v>
      </c>
      <c r="AW234" s="2209" t="s">
        <v>3171</v>
      </c>
      <c r="AX234" s="2209" t="s">
        <v>3213</v>
      </c>
      <c r="AY234" s="2211" t="s">
        <v>3285</v>
      </c>
    </row>
    <row r="235" spans="2:65" s="2216" customFormat="1">
      <c r="B235" s="2217"/>
      <c r="D235" s="2197" t="s">
        <v>3303</v>
      </c>
      <c r="E235" s="2218" t="s">
        <v>3146</v>
      </c>
      <c r="F235" s="2219" t="s">
        <v>3306</v>
      </c>
      <c r="H235" s="2220">
        <v>475.4</v>
      </c>
      <c r="L235" s="2217"/>
      <c r="M235" s="2221"/>
      <c r="T235" s="2222"/>
      <c r="AT235" s="2218" t="s">
        <v>3303</v>
      </c>
      <c r="AU235" s="2218" t="s">
        <v>134</v>
      </c>
      <c r="AV235" s="2216" t="s">
        <v>856</v>
      </c>
      <c r="AW235" s="2216" t="s">
        <v>3171</v>
      </c>
      <c r="AX235" s="2216" t="s">
        <v>133</v>
      </c>
      <c r="AY235" s="2218" t="s">
        <v>3285</v>
      </c>
    </row>
    <row r="236" spans="2:65" s="2070" customFormat="1" ht="24.2" customHeight="1">
      <c r="B236" s="2164"/>
      <c r="C236" s="4608" t="s">
        <v>3395</v>
      </c>
      <c r="D236" s="4608" t="s">
        <v>3286</v>
      </c>
      <c r="E236" s="4609" t="s">
        <v>3396</v>
      </c>
      <c r="F236" s="4610" t="s">
        <v>3397</v>
      </c>
      <c r="G236" s="4611" t="s">
        <v>141</v>
      </c>
      <c r="H236" s="4612">
        <v>34</v>
      </c>
      <c r="I236" s="4613"/>
      <c r="J236" s="4613">
        <f>ROUND(I236*H236,2)</f>
        <v>0</v>
      </c>
      <c r="K236" s="4610" t="s">
        <v>142</v>
      </c>
      <c r="L236" s="2071"/>
      <c r="M236" s="2190" t="s">
        <v>3146</v>
      </c>
      <c r="N236" s="2163" t="s">
        <v>3181</v>
      </c>
      <c r="O236" s="2191">
        <v>0.57399999999999995</v>
      </c>
      <c r="P236" s="2191">
        <f>O236*H236</f>
        <v>19.515999999999998</v>
      </c>
      <c r="Q236" s="2191">
        <v>1.268E-2</v>
      </c>
      <c r="R236" s="2191">
        <f>Q236*H236</f>
        <v>0.43112</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3398</v>
      </c>
    </row>
    <row r="237" spans="2:65" s="2070" customFormat="1" ht="24.2" customHeight="1">
      <c r="B237" s="2164"/>
      <c r="C237" s="5561" t="s">
        <v>3399</v>
      </c>
      <c r="D237" s="4608" t="s">
        <v>3286</v>
      </c>
      <c r="E237" s="4609" t="s">
        <v>3400</v>
      </c>
      <c r="F237" s="4610" t="s">
        <v>3401</v>
      </c>
      <c r="G237" s="4611" t="s">
        <v>141</v>
      </c>
      <c r="H237" s="5568">
        <f>H240</f>
        <v>148.1</v>
      </c>
      <c r="I237" s="4613"/>
      <c r="J237" s="4613">
        <f>ROUND(I237*H237,2)</f>
        <v>0</v>
      </c>
      <c r="K237" s="4610" t="s">
        <v>142</v>
      </c>
      <c r="L237" s="2071"/>
      <c r="M237" s="2190" t="s">
        <v>3146</v>
      </c>
      <c r="N237" s="2163" t="s">
        <v>3181</v>
      </c>
      <c r="O237" s="2191">
        <v>0.36199999999999999</v>
      </c>
      <c r="P237" s="2191">
        <f>O237*H237</f>
        <v>53.612199999999994</v>
      </c>
      <c r="Q237" s="2191">
        <v>1.4999999999999999E-4</v>
      </c>
      <c r="R237" s="2191">
        <f>Q237*H237</f>
        <v>2.2214999999999999E-2</v>
      </c>
      <c r="S237" s="2191">
        <v>0</v>
      </c>
      <c r="T237" s="2192">
        <f>S237*H237</f>
        <v>0</v>
      </c>
      <c r="AR237" s="2193" t="s">
        <v>856</v>
      </c>
      <c r="AT237" s="2193" t="s">
        <v>3286</v>
      </c>
      <c r="AU237" s="2193" t="s">
        <v>134</v>
      </c>
      <c r="AY237" s="2056" t="s">
        <v>3285</v>
      </c>
      <c r="BE237" s="2194">
        <f>IF(N237="základní",J237,0)</f>
        <v>0</v>
      </c>
      <c r="BF237" s="2194">
        <f>IF(N237="snížená",J237,0)</f>
        <v>0</v>
      </c>
      <c r="BG237" s="2194">
        <f>IF(N237="zákl. přenesená",J237,0)</f>
        <v>0</v>
      </c>
      <c r="BH237" s="2194">
        <f>IF(N237="sníž. přenesená",J237,0)</f>
        <v>0</v>
      </c>
      <c r="BI237" s="2194">
        <f>IF(N237="nulová",J237,0)</f>
        <v>0</v>
      </c>
      <c r="BJ237" s="2056" t="s">
        <v>134</v>
      </c>
      <c r="BK237" s="2194">
        <f>ROUND(I237*H237,2)</f>
        <v>0</v>
      </c>
      <c r="BL237" s="2056" t="s">
        <v>856</v>
      </c>
      <c r="BM237" s="2193" t="s">
        <v>3402</v>
      </c>
    </row>
    <row r="238" spans="2:65" s="2209" customFormat="1">
      <c r="B238" s="2210"/>
      <c r="D238" s="2197" t="s">
        <v>3303</v>
      </c>
      <c r="E238" s="2211" t="s">
        <v>3146</v>
      </c>
      <c r="F238" s="5560" t="s">
        <v>11652</v>
      </c>
      <c r="H238" s="5569">
        <v>112.5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5560" t="s">
        <v>11653</v>
      </c>
      <c r="H239" s="2213">
        <f>4*8.9</f>
        <v>35.6</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f>SUM(H238:H239)</f>
        <v>148.1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08" t="s">
        <v>2152</v>
      </c>
      <c r="D241" s="4608" t="s">
        <v>3286</v>
      </c>
      <c r="E241" s="4609" t="s">
        <v>3403</v>
      </c>
      <c r="F241" s="4610" t="s">
        <v>3404</v>
      </c>
      <c r="G241" s="4611" t="s">
        <v>141</v>
      </c>
      <c r="H241" s="4612">
        <v>521.4</v>
      </c>
      <c r="I241" s="4613"/>
      <c r="J241" s="4613">
        <f>ROUND(I241*H241,2)</f>
        <v>0</v>
      </c>
      <c r="K241" s="4610" t="s">
        <v>142</v>
      </c>
      <c r="L241" s="2071"/>
      <c r="M241" s="2190" t="s">
        <v>3146</v>
      </c>
      <c r="N241" s="2163" t="s">
        <v>3181</v>
      </c>
      <c r="O241" s="2191">
        <v>0.48399999999999999</v>
      </c>
      <c r="P241" s="2191">
        <f>O241*H241</f>
        <v>252.35759999999999</v>
      </c>
      <c r="Q241" s="2191">
        <v>2.0000000000000001E-4</v>
      </c>
      <c r="R241" s="2191">
        <f>Q241*H241</f>
        <v>0.10428</v>
      </c>
      <c r="S241" s="2191">
        <v>0</v>
      </c>
      <c r="T241" s="2192">
        <f>S241*H241</f>
        <v>0</v>
      </c>
      <c r="AR241" s="2193" t="s">
        <v>856</v>
      </c>
      <c r="AT241" s="2193" t="s">
        <v>3286</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3405</v>
      </c>
    </row>
    <row r="242" spans="2:65" s="2209" customFormat="1">
      <c r="B242" s="2210"/>
      <c r="D242" s="2197" t="s">
        <v>3303</v>
      </c>
      <c r="E242" s="2211" t="s">
        <v>3146</v>
      </c>
      <c r="F242" s="2212" t="s">
        <v>3406</v>
      </c>
      <c r="H242" s="2213">
        <v>288</v>
      </c>
      <c r="L242" s="2210"/>
      <c r="M242" s="2214"/>
      <c r="T242" s="2215"/>
      <c r="AT242" s="2211" t="s">
        <v>3303</v>
      </c>
      <c r="AU242" s="2211" t="s">
        <v>134</v>
      </c>
      <c r="AV242" s="2209" t="s">
        <v>134</v>
      </c>
      <c r="AW242" s="2209" t="s">
        <v>3171</v>
      </c>
      <c r="AX242" s="2209" t="s">
        <v>3213</v>
      </c>
      <c r="AY242" s="2211" t="s">
        <v>3285</v>
      </c>
    </row>
    <row r="243" spans="2:65" s="2209" customFormat="1">
      <c r="B243" s="2210"/>
      <c r="D243" s="2197" t="s">
        <v>3303</v>
      </c>
      <c r="E243" s="2211" t="s">
        <v>3146</v>
      </c>
      <c r="F243" s="2212" t="s">
        <v>3407</v>
      </c>
      <c r="H243" s="2213">
        <v>162</v>
      </c>
      <c r="L243" s="2210"/>
      <c r="M243" s="2214"/>
      <c r="T243" s="2215"/>
      <c r="AT243" s="2211" t="s">
        <v>3303</v>
      </c>
      <c r="AU243" s="2211" t="s">
        <v>134</v>
      </c>
      <c r="AV243" s="2209" t="s">
        <v>134</v>
      </c>
      <c r="AW243" s="2209" t="s">
        <v>3171</v>
      </c>
      <c r="AX243" s="2209" t="s">
        <v>3213</v>
      </c>
      <c r="AY243" s="2211" t="s">
        <v>3285</v>
      </c>
    </row>
    <row r="244" spans="2:65" s="2209" customFormat="1">
      <c r="B244" s="2210"/>
      <c r="D244" s="2197" t="s">
        <v>3303</v>
      </c>
      <c r="E244" s="2211" t="s">
        <v>3146</v>
      </c>
      <c r="F244" s="2212" t="s">
        <v>3408</v>
      </c>
      <c r="H244" s="2213">
        <v>54.6</v>
      </c>
      <c r="L244" s="2210"/>
      <c r="M244" s="2214"/>
      <c r="T244" s="2215"/>
      <c r="AT244" s="2211" t="s">
        <v>3303</v>
      </c>
      <c r="AU244" s="2211" t="s">
        <v>134</v>
      </c>
      <c r="AV244" s="2209" t="s">
        <v>134</v>
      </c>
      <c r="AW244" s="2209" t="s">
        <v>3171</v>
      </c>
      <c r="AX244" s="2209" t="s">
        <v>3213</v>
      </c>
      <c r="AY244" s="2211" t="s">
        <v>3285</v>
      </c>
    </row>
    <row r="245" spans="2:65" s="2209" customFormat="1">
      <c r="B245" s="2210"/>
      <c r="D245" s="2197" t="s">
        <v>3303</v>
      </c>
      <c r="E245" s="2211" t="s">
        <v>3146</v>
      </c>
      <c r="F245" s="2212" t="s">
        <v>3409</v>
      </c>
      <c r="H245" s="2213">
        <v>16.8</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521.4</v>
      </c>
      <c r="L246" s="2217"/>
      <c r="M246" s="2221"/>
      <c r="T246" s="2222"/>
      <c r="AT246" s="2218" t="s">
        <v>3303</v>
      </c>
      <c r="AU246" s="2218" t="s">
        <v>134</v>
      </c>
      <c r="AV246" s="2216" t="s">
        <v>856</v>
      </c>
      <c r="AW246" s="2216" t="s">
        <v>3171</v>
      </c>
      <c r="AX246" s="2216" t="s">
        <v>133</v>
      </c>
      <c r="AY246" s="2218" t="s">
        <v>3285</v>
      </c>
    </row>
    <row r="247" spans="2:65" s="2070" customFormat="1" ht="37.9" customHeight="1">
      <c r="B247" s="2164"/>
      <c r="C247" s="5561" t="s">
        <v>2569</v>
      </c>
      <c r="D247" s="4608" t="s">
        <v>3286</v>
      </c>
      <c r="E247" s="4609" t="s">
        <v>3410</v>
      </c>
      <c r="F247" s="4610" t="s">
        <v>3411</v>
      </c>
      <c r="G247" s="4611" t="s">
        <v>141</v>
      </c>
      <c r="H247" s="5568">
        <v>148.1</v>
      </c>
      <c r="I247" s="4613"/>
      <c r="J247" s="4613">
        <f>ROUND(I247*H247,2)</f>
        <v>0</v>
      </c>
      <c r="K247" s="4610" t="s">
        <v>142</v>
      </c>
      <c r="L247" s="2071"/>
      <c r="M247" s="2190" t="s">
        <v>3146</v>
      </c>
      <c r="N247" s="2163" t="s">
        <v>3181</v>
      </c>
      <c r="O247" s="2191">
        <v>0.27500000000000002</v>
      </c>
      <c r="P247" s="2191">
        <f>O247*H247</f>
        <v>40.727499999999999</v>
      </c>
      <c r="Q247" s="2191">
        <v>0</v>
      </c>
      <c r="R247" s="2191">
        <f>Q247*H247</f>
        <v>0</v>
      </c>
      <c r="S247" s="2191">
        <v>0</v>
      </c>
      <c r="T247" s="2192">
        <f>S247*H247</f>
        <v>0</v>
      </c>
      <c r="AR247" s="2193" t="s">
        <v>856</v>
      </c>
      <c r="AT247" s="2193" t="s">
        <v>3286</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3412</v>
      </c>
    </row>
    <row r="248" spans="2:65" s="2209" customFormat="1">
      <c r="B248" s="2210"/>
      <c r="D248" s="2197" t="s">
        <v>3303</v>
      </c>
      <c r="E248" s="2211" t="s">
        <v>3146</v>
      </c>
      <c r="F248" s="5560" t="s">
        <v>11652</v>
      </c>
      <c r="G248" s="5574"/>
      <c r="H248" s="5569">
        <v>112.5</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5560" t="s">
        <v>11653</v>
      </c>
      <c r="H249" s="2213">
        <v>35.6</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148.1</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5609" t="s">
        <v>2583</v>
      </c>
      <c r="D251" s="4614" t="s">
        <v>135</v>
      </c>
      <c r="E251" s="4615" t="s">
        <v>3413</v>
      </c>
      <c r="F251" s="4616" t="s">
        <v>3414</v>
      </c>
      <c r="G251" s="4617" t="s">
        <v>221</v>
      </c>
      <c r="H251" s="5610">
        <f>H254</f>
        <v>34.512221205000003</v>
      </c>
      <c r="I251" s="4619"/>
      <c r="J251" s="4619">
        <f>ROUND(I251*H251,2)</f>
        <v>0</v>
      </c>
      <c r="K251" s="4616" t="s">
        <v>142</v>
      </c>
      <c r="L251" s="2223"/>
      <c r="M251" s="2224" t="s">
        <v>3146</v>
      </c>
      <c r="N251" s="2225" t="s">
        <v>3181</v>
      </c>
      <c r="O251" s="2191">
        <v>0</v>
      </c>
      <c r="P251" s="2191">
        <f>O251*H251</f>
        <v>0</v>
      </c>
      <c r="Q251" s="2191">
        <v>2.4500000000000002</v>
      </c>
      <c r="R251" s="2191">
        <f>Q251*H251</f>
        <v>84.554941952250019</v>
      </c>
      <c r="S251" s="2191">
        <v>0</v>
      </c>
      <c r="T251" s="2192">
        <f>S251*H251</f>
        <v>0</v>
      </c>
      <c r="AR251" s="2193" t="s">
        <v>1363</v>
      </c>
      <c r="AT251" s="2193" t="s">
        <v>135</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3415</v>
      </c>
    </row>
    <row r="252" spans="2:65" s="2209" customFormat="1">
      <c r="B252" s="2210"/>
      <c r="D252" s="2197" t="s">
        <v>3303</v>
      </c>
      <c r="E252" s="2211" t="s">
        <v>3146</v>
      </c>
      <c r="F252" s="5560" t="s">
        <v>11655</v>
      </c>
      <c r="H252" s="5569">
        <f>(3.14*0.315*0.315*(15*(5+0.3))*1.1)</f>
        <v>27.246490425000001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5560" t="s">
        <v>11654</v>
      </c>
      <c r="G253" s="5574"/>
      <c r="H253" s="5569">
        <f>(3.14*0.315*0.315*(4*(5+0.3))*1.1)</f>
        <v>7.2657307800000002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f>SUM(H252:H253)</f>
        <v>34.512221205000003</v>
      </c>
      <c r="L254" s="2217"/>
      <c r="M254" s="2221"/>
      <c r="T254" s="2222"/>
      <c r="AT254" s="2218" t="s">
        <v>3303</v>
      </c>
      <c r="AU254" s="2218" t="s">
        <v>134</v>
      </c>
      <c r="AV254" s="2216" t="s">
        <v>856</v>
      </c>
      <c r="AW254" s="2216" t="s">
        <v>3171</v>
      </c>
      <c r="AX254" s="2216" t="s">
        <v>133</v>
      </c>
      <c r="AY254" s="2218" t="s">
        <v>3285</v>
      </c>
    </row>
    <row r="255" spans="2:65" s="2070" customFormat="1" ht="37.9" customHeight="1">
      <c r="B255" s="2164"/>
      <c r="C255" s="4608" t="s">
        <v>685</v>
      </c>
      <c r="D255" s="4608" t="s">
        <v>3286</v>
      </c>
      <c r="E255" s="4609" t="s">
        <v>3416</v>
      </c>
      <c r="F255" s="4610" t="s">
        <v>3417</v>
      </c>
      <c r="G255" s="4611" t="s">
        <v>141</v>
      </c>
      <c r="H255" s="4612">
        <v>521.4</v>
      </c>
      <c r="I255" s="4613"/>
      <c r="J255" s="4613">
        <f>ROUND(I255*H255,2)</f>
        <v>0</v>
      </c>
      <c r="K255" s="4610" t="s">
        <v>142</v>
      </c>
      <c r="L255" s="2071"/>
      <c r="M255" s="2190" t="s">
        <v>3146</v>
      </c>
      <c r="N255" s="2163" t="s">
        <v>3181</v>
      </c>
      <c r="O255" s="2191">
        <v>0.56000000000000005</v>
      </c>
      <c r="P255" s="2191">
        <f>O255*H255</f>
        <v>291.98400000000004</v>
      </c>
      <c r="Q255" s="2191">
        <v>0</v>
      </c>
      <c r="R255" s="2191">
        <f>Q255*H255</f>
        <v>0</v>
      </c>
      <c r="S255" s="2191">
        <v>0</v>
      </c>
      <c r="T255" s="2192">
        <f>S255*H255</f>
        <v>0</v>
      </c>
      <c r="AR255" s="2193" t="s">
        <v>856</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3418</v>
      </c>
    </row>
    <row r="256" spans="2:65" s="2209" customFormat="1">
      <c r="B256" s="2210"/>
      <c r="D256" s="2197" t="s">
        <v>3303</v>
      </c>
      <c r="E256" s="2211" t="s">
        <v>3146</v>
      </c>
      <c r="F256" s="2212" t="s">
        <v>3406</v>
      </c>
      <c r="H256" s="2213">
        <v>288</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3407</v>
      </c>
      <c r="H257" s="2213">
        <v>162</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3408</v>
      </c>
      <c r="H258" s="2213">
        <v>54.6</v>
      </c>
      <c r="L258" s="2210"/>
      <c r="M258" s="2214"/>
      <c r="T258" s="2215"/>
      <c r="AT258" s="2211" t="s">
        <v>3303</v>
      </c>
      <c r="AU258" s="2211" t="s">
        <v>134</v>
      </c>
      <c r="AV258" s="2209" t="s">
        <v>134</v>
      </c>
      <c r="AW258" s="2209" t="s">
        <v>3171</v>
      </c>
      <c r="AX258" s="2209" t="s">
        <v>3213</v>
      </c>
      <c r="AY258" s="2211" t="s">
        <v>3285</v>
      </c>
    </row>
    <row r="259" spans="2:65" s="2209" customFormat="1">
      <c r="B259" s="2210"/>
      <c r="D259" s="2197" t="s">
        <v>3303</v>
      </c>
      <c r="E259" s="2211" t="s">
        <v>3146</v>
      </c>
      <c r="F259" s="2212" t="s">
        <v>3409</v>
      </c>
      <c r="H259" s="2213">
        <v>16.8</v>
      </c>
      <c r="L259" s="2210"/>
      <c r="M259" s="2214"/>
      <c r="T259" s="2215"/>
      <c r="AT259" s="2211" t="s">
        <v>3303</v>
      </c>
      <c r="AU259" s="2211" t="s">
        <v>134</v>
      </c>
      <c r="AV259" s="2209" t="s">
        <v>134</v>
      </c>
      <c r="AW259" s="2209" t="s">
        <v>3171</v>
      </c>
      <c r="AX259" s="2209" t="s">
        <v>3213</v>
      </c>
      <c r="AY259" s="2211" t="s">
        <v>3285</v>
      </c>
    </row>
    <row r="260" spans="2:65" s="2216" customFormat="1">
      <c r="B260" s="2217"/>
      <c r="D260" s="2197" t="s">
        <v>3303</v>
      </c>
      <c r="E260" s="2218" t="s">
        <v>3146</v>
      </c>
      <c r="F260" s="2219" t="s">
        <v>3306</v>
      </c>
      <c r="H260" s="2220">
        <v>521.4</v>
      </c>
      <c r="L260" s="2217"/>
      <c r="M260" s="2221"/>
      <c r="T260" s="2222"/>
      <c r="AT260" s="2218" t="s">
        <v>3303</v>
      </c>
      <c r="AU260" s="2218" t="s">
        <v>134</v>
      </c>
      <c r="AV260" s="2216" t="s">
        <v>856</v>
      </c>
      <c r="AW260" s="2216" t="s">
        <v>3171</v>
      </c>
      <c r="AX260" s="2216" t="s">
        <v>133</v>
      </c>
      <c r="AY260" s="2218" t="s">
        <v>3285</v>
      </c>
    </row>
    <row r="261" spans="2:65" s="2070" customFormat="1" ht="24.2" customHeight="1">
      <c r="B261" s="2164"/>
      <c r="C261" s="5609" t="s">
        <v>2605</v>
      </c>
      <c r="D261" s="4614" t="s">
        <v>135</v>
      </c>
      <c r="E261" s="4615" t="s">
        <v>3413</v>
      </c>
      <c r="F261" s="4616" t="s">
        <v>3414</v>
      </c>
      <c r="G261" s="4617" t="s">
        <v>221</v>
      </c>
      <c r="H261" s="4618">
        <v>212.482</v>
      </c>
      <c r="I261" s="4619"/>
      <c r="J261" s="4619">
        <f>ROUND(I261*H261,2)</f>
        <v>0</v>
      </c>
      <c r="K261" s="4616" t="s">
        <v>142</v>
      </c>
      <c r="L261" s="2223"/>
      <c r="M261" s="2224" t="s">
        <v>3146</v>
      </c>
      <c r="N261" s="2225" t="s">
        <v>3181</v>
      </c>
      <c r="O261" s="2191">
        <v>0</v>
      </c>
      <c r="P261" s="2191">
        <f>O261*H261</f>
        <v>0</v>
      </c>
      <c r="Q261" s="2191">
        <v>2.4500000000000002</v>
      </c>
      <c r="R261" s="2191">
        <f>Q261*H261</f>
        <v>520.58090000000004</v>
      </c>
      <c r="S261" s="2191">
        <v>0</v>
      </c>
      <c r="T261" s="2192">
        <f>S261*H261</f>
        <v>0</v>
      </c>
      <c r="AR261" s="2193" t="s">
        <v>1363</v>
      </c>
      <c r="AT261" s="2193" t="s">
        <v>135</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3419</v>
      </c>
    </row>
    <row r="262" spans="2:65" s="2209" customFormat="1">
      <c r="B262" s="2210"/>
      <c r="D262" s="2197" t="s">
        <v>3303</v>
      </c>
      <c r="E262" s="2211" t="s">
        <v>3146</v>
      </c>
      <c r="F262" s="5560" t="s">
        <v>11656</v>
      </c>
      <c r="G262" s="5574"/>
      <c r="H262" s="5569">
        <f>(3.14*0.45*0.45*(36*(5+0.3))*1.1)</f>
        <v>133.45219800000001</v>
      </c>
      <c r="L262" s="2210"/>
      <c r="M262" s="2214"/>
      <c r="T262" s="2215"/>
      <c r="AT262" s="2211" t="s">
        <v>3303</v>
      </c>
      <c r="AU262" s="2211" t="s">
        <v>134</v>
      </c>
      <c r="AV262" s="2209" t="s">
        <v>134</v>
      </c>
      <c r="AW262" s="2209" t="s">
        <v>3171</v>
      </c>
      <c r="AX262" s="2209" t="s">
        <v>3213</v>
      </c>
      <c r="AY262" s="2211" t="s">
        <v>3285</v>
      </c>
    </row>
    <row r="263" spans="2:65" s="2209" customFormat="1">
      <c r="B263" s="2210"/>
      <c r="D263" s="2197" t="s">
        <v>3303</v>
      </c>
      <c r="E263" s="2211" t="s">
        <v>3146</v>
      </c>
      <c r="F263" s="5560" t="s">
        <v>11657</v>
      </c>
      <c r="G263" s="5574"/>
      <c r="H263" s="5569">
        <f>(3.14*0.45*0.45*(18*(6+0.3))*1.1)</f>
        <v>79.315929000000011</v>
      </c>
      <c r="L263" s="2210"/>
      <c r="M263" s="2214"/>
      <c r="T263" s="2215"/>
      <c r="AT263" s="2211" t="s">
        <v>3303</v>
      </c>
      <c r="AU263" s="2211" t="s">
        <v>134</v>
      </c>
      <c r="AV263" s="2209" t="s">
        <v>134</v>
      </c>
      <c r="AW263" s="2209" t="s">
        <v>3171</v>
      </c>
      <c r="AX263" s="2209" t="s">
        <v>3213</v>
      </c>
      <c r="AY263" s="2211" t="s">
        <v>3285</v>
      </c>
    </row>
    <row r="264" spans="2:65" s="2209" customFormat="1">
      <c r="B264" s="2210"/>
      <c r="D264" s="2197" t="s">
        <v>3303</v>
      </c>
      <c r="E264" s="2211" t="s">
        <v>3146</v>
      </c>
      <c r="F264" s="5560" t="s">
        <v>11658</v>
      </c>
      <c r="G264" s="5574"/>
      <c r="H264" s="5569">
        <f>(3.14*0.45*0.45*(6*(5+0.3))*1.1)</f>
        <v>22.242032999999999</v>
      </c>
      <c r="L264" s="2210"/>
      <c r="M264" s="2214"/>
      <c r="T264" s="2215"/>
      <c r="AT264" s="2211" t="s">
        <v>3303</v>
      </c>
      <c r="AU264" s="2211" t="s">
        <v>134</v>
      </c>
      <c r="AV264" s="2209" t="s">
        <v>134</v>
      </c>
      <c r="AW264" s="2209" t="s">
        <v>3171</v>
      </c>
      <c r="AX264" s="2209" t="s">
        <v>3213</v>
      </c>
      <c r="AY264" s="2211" t="s">
        <v>3285</v>
      </c>
    </row>
    <row r="265" spans="2:65" s="2209" customFormat="1">
      <c r="B265" s="2210"/>
      <c r="D265" s="2197" t="s">
        <v>3303</v>
      </c>
      <c r="E265" s="2211" t="s">
        <v>3146</v>
      </c>
      <c r="F265" s="5560" t="s">
        <v>11659</v>
      </c>
      <c r="G265" s="5574"/>
      <c r="H265" s="5569">
        <f>(3.14*0.45*0.45*(2*(8+0.3))*1.1)</f>
        <v>11.610621000000002</v>
      </c>
      <c r="L265" s="2210"/>
      <c r="M265" s="2214"/>
      <c r="T265" s="2215"/>
      <c r="AT265" s="2211" t="s">
        <v>3303</v>
      </c>
      <c r="AU265" s="2211" t="s">
        <v>134</v>
      </c>
      <c r="AV265" s="2209" t="s">
        <v>134</v>
      </c>
      <c r="AW265" s="2209" t="s">
        <v>3171</v>
      </c>
      <c r="AX265" s="2209" t="s">
        <v>3213</v>
      </c>
      <c r="AY265" s="2211" t="s">
        <v>3285</v>
      </c>
    </row>
    <row r="266" spans="2:65" s="2216" customFormat="1">
      <c r="B266" s="2217"/>
      <c r="D266" s="2197" t="s">
        <v>3303</v>
      </c>
      <c r="E266" s="2218" t="s">
        <v>3146</v>
      </c>
      <c r="F266" s="2219" t="s">
        <v>3306</v>
      </c>
      <c r="H266" s="2220">
        <v>212.482</v>
      </c>
      <c r="L266" s="2217"/>
      <c r="M266" s="2221"/>
      <c r="T266" s="2222"/>
      <c r="AT266" s="2218" t="s">
        <v>3303</v>
      </c>
      <c r="AU266" s="2218" t="s">
        <v>134</v>
      </c>
      <c r="AV266" s="2216" t="s">
        <v>856</v>
      </c>
      <c r="AW266" s="2216" t="s">
        <v>3171</v>
      </c>
      <c r="AX266" s="2216" t="s">
        <v>133</v>
      </c>
      <c r="AY266" s="2218" t="s">
        <v>3285</v>
      </c>
    </row>
    <row r="267" spans="2:65" s="2070" customFormat="1" ht="24.2" customHeight="1">
      <c r="B267" s="2164"/>
      <c r="C267" s="5561" t="s">
        <v>2616</v>
      </c>
      <c r="D267" s="4608" t="s">
        <v>3286</v>
      </c>
      <c r="E267" s="4609" t="s">
        <v>3420</v>
      </c>
      <c r="F267" s="4610" t="s">
        <v>3421</v>
      </c>
      <c r="G267" s="4611" t="s">
        <v>302</v>
      </c>
      <c r="H267" s="5568">
        <f>H282</f>
        <v>17.792154545454544</v>
      </c>
      <c r="I267" s="4613"/>
      <c r="J267" s="4613">
        <f>ROUND(I267*H267,2)</f>
        <v>0</v>
      </c>
      <c r="K267" s="4610" t="s">
        <v>142</v>
      </c>
      <c r="L267" s="2071"/>
      <c r="M267" s="2190" t="s">
        <v>3146</v>
      </c>
      <c r="N267" s="2163" t="s">
        <v>3181</v>
      </c>
      <c r="O267" s="2191">
        <v>17.539000000000001</v>
      </c>
      <c r="P267" s="2191">
        <f>O267*H267</f>
        <v>312.0565985727273</v>
      </c>
      <c r="Q267" s="2191">
        <v>1.11381</v>
      </c>
      <c r="R267" s="2191">
        <f>Q267*H267</f>
        <v>19.817079654272725</v>
      </c>
      <c r="S267" s="2191">
        <v>0</v>
      </c>
      <c r="T267" s="2192">
        <f>S267*H267</f>
        <v>0</v>
      </c>
      <c r="AR267" s="2193" t="s">
        <v>856</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856</v>
      </c>
      <c r="BM267" s="2193" t="s">
        <v>3422</v>
      </c>
    </row>
    <row r="268" spans="2:65" s="2195" customFormat="1">
      <c r="B268" s="2196"/>
      <c r="D268" s="2197" t="s">
        <v>3303</v>
      </c>
      <c r="E268" s="2198" t="s">
        <v>3146</v>
      </c>
      <c r="F268" s="2199" t="s">
        <v>3423</v>
      </c>
      <c r="H268" s="2198" t="s">
        <v>3146</v>
      </c>
      <c r="L268" s="2196"/>
      <c r="M268" s="2200"/>
      <c r="T268" s="2201"/>
      <c r="AT268" s="2198" t="s">
        <v>3303</v>
      </c>
      <c r="AU268" s="2198" t="s">
        <v>134</v>
      </c>
      <c r="AV268" s="2195" t="s">
        <v>133</v>
      </c>
      <c r="AW268" s="2195" t="s">
        <v>3171</v>
      </c>
      <c r="AX268" s="2195" t="s">
        <v>3213</v>
      </c>
      <c r="AY268" s="2198" t="s">
        <v>3285</v>
      </c>
    </row>
    <row r="269" spans="2:65" s="2209" customFormat="1">
      <c r="B269" s="2210"/>
      <c r="D269" s="2197" t="s">
        <v>3303</v>
      </c>
      <c r="E269" s="2211" t="s">
        <v>3146</v>
      </c>
      <c r="F269" s="5560" t="s">
        <v>11715</v>
      </c>
      <c r="H269" s="5569">
        <f>(25.704/1.1)*70*0.001</f>
        <v>1.635709090909091</v>
      </c>
      <c r="L269" s="2210"/>
      <c r="M269" s="2214"/>
      <c r="T269" s="2215"/>
      <c r="AT269" s="2211" t="s">
        <v>3303</v>
      </c>
      <c r="AU269" s="2211" t="s">
        <v>134</v>
      </c>
      <c r="AV269" s="2209" t="s">
        <v>134</v>
      </c>
      <c r="AW269" s="2209" t="s">
        <v>3171</v>
      </c>
      <c r="AX269" s="2209" t="s">
        <v>3213</v>
      </c>
      <c r="AY269" s="2211" t="s">
        <v>3285</v>
      </c>
    </row>
    <row r="270" spans="2:65" s="2209" customFormat="1">
      <c r="B270" s="2210"/>
      <c r="D270" s="2197" t="s">
        <v>3303</v>
      </c>
      <c r="E270" s="2211" t="s">
        <v>3146</v>
      </c>
      <c r="F270" s="5560" t="s">
        <v>11660</v>
      </c>
      <c r="G270" s="5574"/>
      <c r="H270" s="5569">
        <f>(7.266/1.1)*70*0.001</f>
        <v>0.46238181818181812</v>
      </c>
      <c r="L270" s="2210"/>
      <c r="M270" s="2214"/>
      <c r="T270" s="2215"/>
      <c r="AT270" s="2211" t="s">
        <v>3303</v>
      </c>
      <c r="AU270" s="2211" t="s">
        <v>134</v>
      </c>
      <c r="AV270" s="2209" t="s">
        <v>134</v>
      </c>
      <c r="AW270" s="2209" t="s">
        <v>3171</v>
      </c>
      <c r="AX270" s="2209" t="s">
        <v>3213</v>
      </c>
      <c r="AY270" s="2211" t="s">
        <v>3285</v>
      </c>
    </row>
    <row r="271" spans="2:65" s="2202" customFormat="1">
      <c r="B271" s="2203"/>
      <c r="D271" s="2197" t="s">
        <v>3303</v>
      </c>
      <c r="E271" s="2204" t="s">
        <v>3146</v>
      </c>
      <c r="F271" s="2205" t="s">
        <v>3305</v>
      </c>
      <c r="H271" s="2206">
        <f>SUM(H269:H270)</f>
        <v>2.0980909090909092</v>
      </c>
      <c r="L271" s="2203"/>
      <c r="M271" s="2207"/>
      <c r="T271" s="2208"/>
      <c r="AT271" s="2204" t="s">
        <v>3303</v>
      </c>
      <c r="AU271" s="2204" t="s">
        <v>134</v>
      </c>
      <c r="AV271" s="2202" t="s">
        <v>854</v>
      </c>
      <c r="AW271" s="2202" t="s">
        <v>3171</v>
      </c>
      <c r="AX271" s="2202" t="s">
        <v>3213</v>
      </c>
      <c r="AY271" s="2204" t="s">
        <v>3285</v>
      </c>
    </row>
    <row r="272" spans="2:65" s="2195" customFormat="1">
      <c r="B272" s="2196"/>
      <c r="D272" s="2197" t="s">
        <v>3303</v>
      </c>
      <c r="E272" s="2198" t="s">
        <v>3146</v>
      </c>
      <c r="F272" s="2199" t="s">
        <v>11663</v>
      </c>
      <c r="H272" s="2198" t="s">
        <v>3146</v>
      </c>
      <c r="L272" s="2196"/>
      <c r="M272" s="2200"/>
      <c r="T272" s="2201"/>
      <c r="AT272" s="2198" t="s">
        <v>3303</v>
      </c>
      <c r="AU272" s="2198" t="s">
        <v>134</v>
      </c>
      <c r="AV272" s="2195" t="s">
        <v>133</v>
      </c>
      <c r="AW272" s="2195" t="s">
        <v>3171</v>
      </c>
      <c r="AX272" s="2195" t="s">
        <v>3213</v>
      </c>
      <c r="AY272" s="2198" t="s">
        <v>3285</v>
      </c>
    </row>
    <row r="273" spans="2:65" s="2209" customFormat="1">
      <c r="B273" s="2210"/>
      <c r="D273" s="2197" t="s">
        <v>3303</v>
      </c>
      <c r="E273" s="2211" t="s">
        <v>3146</v>
      </c>
      <c r="F273" s="5560" t="s">
        <v>11661</v>
      </c>
      <c r="H273" s="5569">
        <f>(133.452/1.1)*70*0.001</f>
        <v>8.4923999999999999</v>
      </c>
      <c r="L273" s="2210"/>
      <c r="M273" s="2214"/>
      <c r="T273" s="2215"/>
      <c r="AT273" s="2211" t="s">
        <v>3303</v>
      </c>
      <c r="AU273" s="2211" t="s">
        <v>134</v>
      </c>
      <c r="AV273" s="2209" t="s">
        <v>134</v>
      </c>
      <c r="AW273" s="2209" t="s">
        <v>3171</v>
      </c>
      <c r="AX273" s="2209" t="s">
        <v>3213</v>
      </c>
      <c r="AY273" s="2211" t="s">
        <v>3285</v>
      </c>
    </row>
    <row r="274" spans="2:65" s="2209" customFormat="1">
      <c r="B274" s="2210"/>
      <c r="D274" s="2197" t="s">
        <v>3303</v>
      </c>
      <c r="E274" s="2211" t="s">
        <v>3146</v>
      </c>
      <c r="F274" s="5560" t="s">
        <v>11662</v>
      </c>
      <c r="G274" s="5574"/>
      <c r="H274" s="5569">
        <f>(22.242/1.1)*70*0.001</f>
        <v>1.4154</v>
      </c>
      <c r="L274" s="2210"/>
      <c r="M274" s="2214"/>
      <c r="T274" s="2215"/>
      <c r="AT274" s="2211" t="s">
        <v>3303</v>
      </c>
      <c r="AU274" s="2211" t="s">
        <v>134</v>
      </c>
      <c r="AV274" s="2209" t="s">
        <v>134</v>
      </c>
      <c r="AW274" s="2209" t="s">
        <v>3171</v>
      </c>
      <c r="AX274" s="2209" t="s">
        <v>3213</v>
      </c>
      <c r="AY274" s="2211" t="s">
        <v>3285</v>
      </c>
    </row>
    <row r="275" spans="2:65" s="2202" customFormat="1">
      <c r="B275" s="2203"/>
      <c r="D275" s="2197" t="s">
        <v>3303</v>
      </c>
      <c r="E275" s="2204" t="s">
        <v>3146</v>
      </c>
      <c r="F275" s="2205" t="s">
        <v>3305</v>
      </c>
      <c r="H275" s="2206">
        <f>SUM(H273:H274)</f>
        <v>9.9077999999999999</v>
      </c>
      <c r="L275" s="2203"/>
      <c r="M275" s="2207"/>
      <c r="T275" s="2208"/>
      <c r="AT275" s="2204" t="s">
        <v>3303</v>
      </c>
      <c r="AU275" s="2204" t="s">
        <v>134</v>
      </c>
      <c r="AV275" s="2202" t="s">
        <v>854</v>
      </c>
      <c r="AW275" s="2202" t="s">
        <v>3171</v>
      </c>
      <c r="AX275" s="2202" t="s">
        <v>3213</v>
      </c>
      <c r="AY275" s="2204" t="s">
        <v>3285</v>
      </c>
    </row>
    <row r="276" spans="2:65" s="2209" customFormat="1">
      <c r="B276" s="2210"/>
      <c r="D276" s="2197" t="s">
        <v>3303</v>
      </c>
      <c r="E276" s="2211" t="s">
        <v>3146</v>
      </c>
      <c r="F276" s="2199" t="s">
        <v>11664</v>
      </c>
      <c r="H276" s="2213"/>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5560" t="s">
        <v>11665</v>
      </c>
      <c r="H277" s="5569">
        <f>(79.316/1.1)*70*0.001</f>
        <v>5.047381818181818</v>
      </c>
      <c r="L277" s="2210"/>
      <c r="M277" s="2214"/>
      <c r="T277" s="2215"/>
      <c r="AT277" s="2211" t="s">
        <v>3303</v>
      </c>
      <c r="AU277" s="2211" t="s">
        <v>134</v>
      </c>
      <c r="AV277" s="2209" t="s">
        <v>134</v>
      </c>
      <c r="AW277" s="2209" t="s">
        <v>3171</v>
      </c>
      <c r="AX277" s="2209" t="s">
        <v>3213</v>
      </c>
      <c r="AY277" s="2211" t="s">
        <v>3285</v>
      </c>
    </row>
    <row r="278" spans="2:65" s="2202" customFormat="1">
      <c r="B278" s="2203"/>
      <c r="D278" s="2197" t="s">
        <v>3303</v>
      </c>
      <c r="E278" s="2204" t="s">
        <v>3146</v>
      </c>
      <c r="F278" s="2205" t="s">
        <v>3305</v>
      </c>
      <c r="H278" s="2206">
        <f>SUM(H277)</f>
        <v>5.047381818181818</v>
      </c>
      <c r="L278" s="2203"/>
      <c r="M278" s="2207"/>
      <c r="T278" s="2208"/>
      <c r="AT278" s="2204" t="s">
        <v>3303</v>
      </c>
      <c r="AU278" s="2204" t="s">
        <v>134</v>
      </c>
      <c r="AV278" s="2202" t="s">
        <v>854</v>
      </c>
      <c r="AW278" s="2202" t="s">
        <v>3171</v>
      </c>
      <c r="AX278" s="2202" t="s">
        <v>3213</v>
      </c>
      <c r="AY278" s="2204" t="s">
        <v>3285</v>
      </c>
    </row>
    <row r="279" spans="2:65" s="2209" customFormat="1">
      <c r="B279" s="2210"/>
      <c r="D279" s="2197" t="s">
        <v>3303</v>
      </c>
      <c r="E279" s="2211" t="s">
        <v>3146</v>
      </c>
      <c r="F279" s="2199" t="s">
        <v>11666</v>
      </c>
      <c r="H279" s="2213"/>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5560" t="s">
        <v>11667</v>
      </c>
      <c r="H280" s="5569">
        <f>(11.611/1.1)*70*0.001</f>
        <v>0.7388818181818182</v>
      </c>
      <c r="L280" s="2210"/>
      <c r="M280" s="2214"/>
      <c r="T280" s="2215"/>
      <c r="AT280" s="2211" t="s">
        <v>3303</v>
      </c>
      <c r="AU280" s="2211" t="s">
        <v>134</v>
      </c>
      <c r="AV280" s="2209" t="s">
        <v>134</v>
      </c>
      <c r="AW280" s="2209" t="s">
        <v>3171</v>
      </c>
      <c r="AX280" s="2209" t="s">
        <v>3213</v>
      </c>
      <c r="AY280" s="2211" t="s">
        <v>3285</v>
      </c>
    </row>
    <row r="281" spans="2:65" s="2202" customFormat="1">
      <c r="B281" s="2203"/>
      <c r="D281" s="2197" t="s">
        <v>3303</v>
      </c>
      <c r="E281" s="2204" t="s">
        <v>3146</v>
      </c>
      <c r="F281" s="2205" t="s">
        <v>3305</v>
      </c>
      <c r="H281" s="2206">
        <f>SUM(H280)</f>
        <v>0.7388818181818182</v>
      </c>
      <c r="L281" s="2203"/>
      <c r="M281" s="2207"/>
      <c r="T281" s="2208"/>
      <c r="AT281" s="2204" t="s">
        <v>3303</v>
      </c>
      <c r="AU281" s="2204" t="s">
        <v>134</v>
      </c>
      <c r="AV281" s="2202" t="s">
        <v>854</v>
      </c>
      <c r="AW281" s="2202" t="s">
        <v>3171</v>
      </c>
      <c r="AX281" s="2202" t="s">
        <v>3213</v>
      </c>
      <c r="AY281" s="2204" t="s">
        <v>3285</v>
      </c>
    </row>
    <row r="282" spans="2:65" s="2216" customFormat="1">
      <c r="B282" s="2217"/>
      <c r="D282" s="2197" t="s">
        <v>3303</v>
      </c>
      <c r="E282" s="2218" t="s">
        <v>3146</v>
      </c>
      <c r="F282" s="2219" t="s">
        <v>3306</v>
      </c>
      <c r="H282" s="2220">
        <f>H271+H275+H278+H281</f>
        <v>17.792154545454544</v>
      </c>
      <c r="L282" s="2217"/>
      <c r="M282" s="2221"/>
      <c r="T282" s="2222"/>
      <c r="AT282" s="2218" t="s">
        <v>3303</v>
      </c>
      <c r="AU282" s="2218" t="s">
        <v>134</v>
      </c>
      <c r="AV282" s="2216" t="s">
        <v>856</v>
      </c>
      <c r="AW282" s="2216" t="s">
        <v>3171</v>
      </c>
      <c r="AX282" s="2216" t="s">
        <v>133</v>
      </c>
      <c r="AY282" s="2218" t="s">
        <v>3285</v>
      </c>
    </row>
    <row r="283" spans="2:65" s="2070" customFormat="1" ht="24.2" customHeight="1">
      <c r="B283" s="2164"/>
      <c r="C283" s="5561" t="s">
        <v>3424</v>
      </c>
      <c r="D283" s="4608" t="s">
        <v>3286</v>
      </c>
      <c r="E283" s="4609" t="s">
        <v>3425</v>
      </c>
      <c r="F283" s="4610" t="s">
        <v>3426</v>
      </c>
      <c r="G283" s="4611" t="s">
        <v>141</v>
      </c>
      <c r="H283" s="5568">
        <f>H284</f>
        <v>5.7</v>
      </c>
      <c r="I283" s="4613"/>
      <c r="J283" s="4613">
        <f>ROUND(I283*H283,2)</f>
        <v>0</v>
      </c>
      <c r="K283" s="4610" t="s">
        <v>142</v>
      </c>
      <c r="L283" s="2071"/>
      <c r="M283" s="2190" t="s">
        <v>3146</v>
      </c>
      <c r="N283" s="2163" t="s">
        <v>3181</v>
      </c>
      <c r="O283" s="2191">
        <v>3.3180000000000001</v>
      </c>
      <c r="P283" s="2191">
        <f>O283*H283</f>
        <v>18.912600000000001</v>
      </c>
      <c r="Q283" s="2191">
        <v>0</v>
      </c>
      <c r="R283" s="2191">
        <f>Q283*H283</f>
        <v>0</v>
      </c>
      <c r="S283" s="2191">
        <v>0.56899999999999995</v>
      </c>
      <c r="T283" s="2192">
        <f>S283*H283</f>
        <v>3.2432999999999996</v>
      </c>
      <c r="AR283" s="2193" t="s">
        <v>856</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856</v>
      </c>
      <c r="BM283" s="2193" t="s">
        <v>3427</v>
      </c>
    </row>
    <row r="284" spans="2:65" s="2209" customFormat="1">
      <c r="B284" s="2210"/>
      <c r="D284" s="2197" t="s">
        <v>3303</v>
      </c>
      <c r="E284" s="2211" t="s">
        <v>3146</v>
      </c>
      <c r="F284" s="5560" t="s">
        <v>11668</v>
      </c>
      <c r="H284" s="5569">
        <f>0.3*19</f>
        <v>5.7</v>
      </c>
      <c r="L284" s="2210"/>
      <c r="M284" s="2214"/>
      <c r="T284" s="2215"/>
      <c r="AT284" s="2211" t="s">
        <v>3303</v>
      </c>
      <c r="AU284" s="2211" t="s">
        <v>134</v>
      </c>
      <c r="AV284" s="2209" t="s">
        <v>134</v>
      </c>
      <c r="AW284" s="2209" t="s">
        <v>3171</v>
      </c>
      <c r="AX284" s="2209" t="s">
        <v>133</v>
      </c>
      <c r="AY284" s="2211" t="s">
        <v>3285</v>
      </c>
    </row>
    <row r="285" spans="2:65" s="2070" customFormat="1" ht="24.2" customHeight="1">
      <c r="B285" s="2164"/>
      <c r="C285" s="5561">
        <v>42</v>
      </c>
      <c r="D285" s="4608" t="s">
        <v>3286</v>
      </c>
      <c r="E285" s="4609" t="s">
        <v>11602</v>
      </c>
      <c r="F285" s="4610" t="s">
        <v>11603</v>
      </c>
      <c r="G285" s="4611" t="s">
        <v>141</v>
      </c>
      <c r="H285" s="5568">
        <f>H286</f>
        <v>18.599999999999998</v>
      </c>
      <c r="I285" s="4613"/>
      <c r="J285" s="4613">
        <f>ROUND(I285*H285,2)</f>
        <v>0</v>
      </c>
      <c r="K285" s="4610" t="s">
        <v>142</v>
      </c>
      <c r="L285" s="2071"/>
      <c r="M285" s="2190" t="s">
        <v>3146</v>
      </c>
      <c r="N285" s="2163" t="s">
        <v>3181</v>
      </c>
      <c r="O285" s="2191">
        <v>3.3180000000000001</v>
      </c>
      <c r="P285" s="2191">
        <f>O285*H285</f>
        <v>61.714799999999997</v>
      </c>
      <c r="Q285" s="2191">
        <v>0</v>
      </c>
      <c r="R285" s="2191">
        <f>Q285*H285</f>
        <v>0</v>
      </c>
      <c r="S285" s="2191">
        <v>0.56899999999999995</v>
      </c>
      <c r="T285" s="2192">
        <f>S285*H285</f>
        <v>10.583399999999997</v>
      </c>
      <c r="AR285" s="2193" t="s">
        <v>856</v>
      </c>
      <c r="AT285" s="2193" t="s">
        <v>3286</v>
      </c>
      <c r="AU285" s="2193" t="s">
        <v>134</v>
      </c>
      <c r="AY285" s="2056" t="s">
        <v>3285</v>
      </c>
      <c r="BE285" s="2194">
        <f>IF(N285="základní",J285,0)</f>
        <v>0</v>
      </c>
      <c r="BF285" s="2194">
        <f>IF(N285="snížená",J285,0)</f>
        <v>0</v>
      </c>
      <c r="BG285" s="2194">
        <f>IF(N285="zákl. přenesená",J285,0)</f>
        <v>0</v>
      </c>
      <c r="BH285" s="2194">
        <f>IF(N285="sníž. přenesená",J285,0)</f>
        <v>0</v>
      </c>
      <c r="BI285" s="2194">
        <f>IF(N285="nulová",J285,0)</f>
        <v>0</v>
      </c>
      <c r="BJ285" s="2056" t="s">
        <v>134</v>
      </c>
      <c r="BK285" s="2194">
        <f>ROUND(I285*H285,2)</f>
        <v>0</v>
      </c>
      <c r="BL285" s="2056" t="s">
        <v>856</v>
      </c>
      <c r="BM285" s="2193" t="s">
        <v>3427</v>
      </c>
    </row>
    <row r="286" spans="2:65" s="2209" customFormat="1">
      <c r="B286" s="2210"/>
      <c r="D286" s="2197" t="s">
        <v>3303</v>
      </c>
      <c r="E286" s="2211" t="s">
        <v>3146</v>
      </c>
      <c r="F286" s="5560" t="s">
        <v>11669</v>
      </c>
      <c r="G286" s="5574"/>
      <c r="H286" s="5569">
        <f>0.3*(36+18+6+2)</f>
        <v>18.599999999999998</v>
      </c>
      <c r="L286" s="2210"/>
      <c r="M286" s="2214"/>
      <c r="T286" s="2215"/>
      <c r="AT286" s="2211" t="s">
        <v>3303</v>
      </c>
      <c r="AU286" s="2211" t="s">
        <v>134</v>
      </c>
      <c r="AV286" s="2209" t="s">
        <v>134</v>
      </c>
      <c r="AW286" s="2209" t="s">
        <v>3171</v>
      </c>
      <c r="AX286" s="2209" t="s">
        <v>3213</v>
      </c>
      <c r="AY286" s="2211" t="s">
        <v>3285</v>
      </c>
    </row>
    <row r="287" spans="2:65" s="2070" customFormat="1" ht="24.2" customHeight="1">
      <c r="B287" s="2164"/>
      <c r="C287" s="4608">
        <v>43</v>
      </c>
      <c r="D287" s="4608" t="s">
        <v>3286</v>
      </c>
      <c r="E287" s="4609" t="s">
        <v>3428</v>
      </c>
      <c r="F287" s="4610" t="s">
        <v>3429</v>
      </c>
      <c r="G287" s="4611" t="s">
        <v>221</v>
      </c>
      <c r="H287" s="4612">
        <f>H292</f>
        <v>139.80200000000002</v>
      </c>
      <c r="I287" s="4613"/>
      <c r="J287" s="4613">
        <f>ROUND(I287*H287,2)</f>
        <v>0</v>
      </c>
      <c r="K287" s="4610" t="s">
        <v>142</v>
      </c>
      <c r="L287" s="2071"/>
      <c r="M287" s="2190" t="s">
        <v>3146</v>
      </c>
      <c r="N287" s="2163" t="s">
        <v>3181</v>
      </c>
      <c r="O287" s="2191">
        <v>0.98499999999999999</v>
      </c>
      <c r="P287" s="2191">
        <f>O287*H287</f>
        <v>137.70497000000003</v>
      </c>
      <c r="Q287" s="2191">
        <v>1.98</v>
      </c>
      <c r="R287" s="2191">
        <f>Q287*H287</f>
        <v>276.80796000000004</v>
      </c>
      <c r="S287" s="2191">
        <v>0</v>
      </c>
      <c r="T287" s="2192">
        <f>S287*H287</f>
        <v>0</v>
      </c>
      <c r="AR287" s="2193" t="s">
        <v>856</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856</v>
      </c>
      <c r="BM287" s="2193" t="s">
        <v>3430</v>
      </c>
    </row>
    <row r="288" spans="2:65" s="2209" customFormat="1">
      <c r="B288" s="2210"/>
      <c r="D288" s="2197" t="s">
        <v>3303</v>
      </c>
      <c r="E288" s="2211" t="s">
        <v>3146</v>
      </c>
      <c r="F288" s="2212" t="s">
        <v>3431</v>
      </c>
      <c r="H288" s="2213">
        <v>125.9</v>
      </c>
      <c r="L288" s="2210"/>
      <c r="M288" s="2214"/>
      <c r="T288" s="2215"/>
      <c r="AT288" s="2211" t="s">
        <v>3303</v>
      </c>
      <c r="AU288" s="2211" t="s">
        <v>134</v>
      </c>
      <c r="AV288" s="2209" t="s">
        <v>134</v>
      </c>
      <c r="AW288" s="2209" t="s">
        <v>3171</v>
      </c>
      <c r="AX288" s="2209" t="s">
        <v>3213</v>
      </c>
      <c r="AY288" s="2211" t="s">
        <v>3285</v>
      </c>
    </row>
    <row r="289" spans="2:65" s="2209" customFormat="1">
      <c r="B289" s="2210"/>
      <c r="D289" s="2197" t="s">
        <v>3303</v>
      </c>
      <c r="E289" s="2211" t="s">
        <v>3146</v>
      </c>
      <c r="F289" s="2212" t="s">
        <v>3432</v>
      </c>
      <c r="H289" s="2213">
        <v>9.5079999999999991</v>
      </c>
      <c r="L289" s="2210"/>
      <c r="M289" s="2214"/>
      <c r="T289" s="2215"/>
      <c r="AT289" s="2211" t="s">
        <v>3303</v>
      </c>
      <c r="AU289" s="2211" t="s">
        <v>134</v>
      </c>
      <c r="AV289" s="2209" t="s">
        <v>134</v>
      </c>
      <c r="AW289" s="2209" t="s">
        <v>3171</v>
      </c>
      <c r="AX289" s="2209" t="s">
        <v>3213</v>
      </c>
      <c r="AY289" s="2211" t="s">
        <v>3285</v>
      </c>
    </row>
    <row r="290" spans="2:65" s="2209" customFormat="1">
      <c r="B290" s="2210"/>
      <c r="D290" s="2197" t="s">
        <v>3303</v>
      </c>
      <c r="E290" s="2211" t="s">
        <v>3146</v>
      </c>
      <c r="F290" s="2212" t="s">
        <v>3433</v>
      </c>
      <c r="H290" s="2213">
        <v>3.1560000000000001</v>
      </c>
      <c r="L290" s="2210"/>
      <c r="M290" s="2214"/>
      <c r="T290" s="2215"/>
      <c r="AT290" s="2211" t="s">
        <v>3303</v>
      </c>
      <c r="AU290" s="2211" t="s">
        <v>134</v>
      </c>
      <c r="AV290" s="2209" t="s">
        <v>134</v>
      </c>
      <c r="AW290" s="2209" t="s">
        <v>3171</v>
      </c>
      <c r="AX290" s="2209" t="s">
        <v>3213</v>
      </c>
      <c r="AY290" s="2211" t="s">
        <v>3285</v>
      </c>
    </row>
    <row r="291" spans="2:65" s="2209" customFormat="1">
      <c r="B291" s="2210"/>
      <c r="D291" s="2197" t="s">
        <v>3303</v>
      </c>
      <c r="E291" s="2211" t="s">
        <v>3146</v>
      </c>
      <c r="F291" s="2212" t="s">
        <v>3434</v>
      </c>
      <c r="H291" s="2213">
        <v>1.238</v>
      </c>
      <c r="L291" s="2210"/>
      <c r="M291" s="2214"/>
      <c r="T291" s="2215"/>
      <c r="AT291" s="2211" t="s">
        <v>3303</v>
      </c>
      <c r="AU291" s="2211" t="s">
        <v>134</v>
      </c>
      <c r="AV291" s="2209" t="s">
        <v>134</v>
      </c>
      <c r="AW291" s="2209" t="s">
        <v>3171</v>
      </c>
      <c r="AX291" s="2209" t="s">
        <v>3213</v>
      </c>
      <c r="AY291" s="2211" t="s">
        <v>3285</v>
      </c>
    </row>
    <row r="292" spans="2:65" s="2216" customFormat="1">
      <c r="B292" s="2217"/>
      <c r="D292" s="2197" t="s">
        <v>3303</v>
      </c>
      <c r="E292" s="2218" t="s">
        <v>3146</v>
      </c>
      <c r="F292" s="2219" t="s">
        <v>3306</v>
      </c>
      <c r="H292" s="2220">
        <f>SUM(H288:H291)</f>
        <v>139.80200000000002</v>
      </c>
      <c r="L292" s="2217"/>
      <c r="M292" s="2221"/>
      <c r="T292" s="2222"/>
      <c r="AT292" s="2218" t="s">
        <v>3303</v>
      </c>
      <c r="AU292" s="2218" t="s">
        <v>134</v>
      </c>
      <c r="AV292" s="2216" t="s">
        <v>856</v>
      </c>
      <c r="AW292" s="2216" t="s">
        <v>3171</v>
      </c>
      <c r="AX292" s="2216" t="s">
        <v>133</v>
      </c>
      <c r="AY292" s="2218" t="s">
        <v>3285</v>
      </c>
    </row>
    <row r="293" spans="2:65" s="2070" customFormat="1" ht="24.2" customHeight="1">
      <c r="B293" s="2164"/>
      <c r="C293" s="4608">
        <v>44</v>
      </c>
      <c r="D293" s="4608" t="s">
        <v>3286</v>
      </c>
      <c r="E293" s="4609" t="s">
        <v>3435</v>
      </c>
      <c r="F293" s="4610" t="s">
        <v>3436</v>
      </c>
      <c r="G293" s="4611" t="s">
        <v>221</v>
      </c>
      <c r="H293" s="4612">
        <v>117.53100000000001</v>
      </c>
      <c r="I293" s="4613"/>
      <c r="J293" s="4613">
        <f>ROUND(I293*H293,2)</f>
        <v>0</v>
      </c>
      <c r="K293" s="4610" t="s">
        <v>142</v>
      </c>
      <c r="L293" s="2071"/>
      <c r="M293" s="2190" t="s">
        <v>3146</v>
      </c>
      <c r="N293" s="2163" t="s">
        <v>3181</v>
      </c>
      <c r="O293" s="2191">
        <v>0.629</v>
      </c>
      <c r="P293" s="2191">
        <f>O293*H293</f>
        <v>73.926999000000009</v>
      </c>
      <c r="Q293" s="2191">
        <v>2.3010199999999998</v>
      </c>
      <c r="R293" s="2191">
        <f>Q293*H293</f>
        <v>270.44118162000001</v>
      </c>
      <c r="S293" s="2191">
        <v>0</v>
      </c>
      <c r="T293" s="2192">
        <f>S293*H293</f>
        <v>0</v>
      </c>
      <c r="AR293" s="2193" t="s">
        <v>856</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856</v>
      </c>
      <c r="BM293" s="2193" t="s">
        <v>3437</v>
      </c>
    </row>
    <row r="294" spans="2:65" s="2209" customFormat="1">
      <c r="B294" s="2210"/>
      <c r="D294" s="2197" t="s">
        <v>3303</v>
      </c>
      <c r="E294" s="2211" t="s">
        <v>3146</v>
      </c>
      <c r="F294" s="2212" t="s">
        <v>3438</v>
      </c>
      <c r="H294" s="2213">
        <v>127.446</v>
      </c>
      <c r="L294" s="2210"/>
      <c r="M294" s="2214"/>
      <c r="T294" s="2215"/>
      <c r="AT294" s="2211" t="s">
        <v>3303</v>
      </c>
      <c r="AU294" s="2211" t="s">
        <v>134</v>
      </c>
      <c r="AV294" s="2209" t="s">
        <v>134</v>
      </c>
      <c r="AW294" s="2209" t="s">
        <v>3171</v>
      </c>
      <c r="AX294" s="2209" t="s">
        <v>3213</v>
      </c>
      <c r="AY294" s="2211" t="s">
        <v>3285</v>
      </c>
    </row>
    <row r="295" spans="2:65" s="2209" customFormat="1">
      <c r="B295" s="2210"/>
      <c r="D295" s="2197" t="s">
        <v>3303</v>
      </c>
      <c r="E295" s="2211" t="s">
        <v>3146</v>
      </c>
      <c r="F295" s="2212" t="s">
        <v>3439</v>
      </c>
      <c r="H295" s="2213">
        <v>-9.9149999999999991</v>
      </c>
      <c r="L295" s="2210"/>
      <c r="M295" s="2214"/>
      <c r="T295" s="2215"/>
      <c r="AT295" s="2211" t="s">
        <v>3303</v>
      </c>
      <c r="AU295" s="2211" t="s">
        <v>134</v>
      </c>
      <c r="AV295" s="2209" t="s">
        <v>134</v>
      </c>
      <c r="AW295" s="2209" t="s">
        <v>3171</v>
      </c>
      <c r="AX295" s="2209" t="s">
        <v>3213</v>
      </c>
      <c r="AY295" s="2211" t="s">
        <v>3285</v>
      </c>
    </row>
    <row r="296" spans="2:65" s="2216" customFormat="1">
      <c r="B296" s="2217"/>
      <c r="D296" s="2197" t="s">
        <v>3303</v>
      </c>
      <c r="E296" s="2218" t="s">
        <v>3146</v>
      </c>
      <c r="F296" s="2219" t="s">
        <v>3306</v>
      </c>
      <c r="H296" s="2220">
        <v>117.53100000000001</v>
      </c>
      <c r="L296" s="2217"/>
      <c r="M296" s="2221"/>
      <c r="T296" s="2222"/>
      <c r="AT296" s="2218" t="s">
        <v>3303</v>
      </c>
      <c r="AU296" s="2218" t="s">
        <v>134</v>
      </c>
      <c r="AV296" s="2216" t="s">
        <v>856</v>
      </c>
      <c r="AW296" s="2216" t="s">
        <v>3171</v>
      </c>
      <c r="AX296" s="2216" t="s">
        <v>133</v>
      </c>
      <c r="AY296" s="2218" t="s">
        <v>3285</v>
      </c>
    </row>
    <row r="297" spans="2:65" s="2070" customFormat="1" ht="24.2" customHeight="1">
      <c r="B297" s="2164"/>
      <c r="C297" s="4608">
        <v>45</v>
      </c>
      <c r="D297" s="4608" t="s">
        <v>3286</v>
      </c>
      <c r="E297" s="4609" t="s">
        <v>3440</v>
      </c>
      <c r="F297" s="4610" t="s">
        <v>3441</v>
      </c>
      <c r="G297" s="4611" t="s">
        <v>221</v>
      </c>
      <c r="H297" s="4612">
        <v>349.12599999999998</v>
      </c>
      <c r="I297" s="4613"/>
      <c r="J297" s="4613">
        <f>ROUND(I297*H297,2)</f>
        <v>0</v>
      </c>
      <c r="K297" s="4610" t="s">
        <v>142</v>
      </c>
      <c r="L297" s="2071"/>
      <c r="M297" s="2190" t="s">
        <v>3146</v>
      </c>
      <c r="N297" s="2163" t="s">
        <v>3181</v>
      </c>
      <c r="O297" s="2191">
        <v>0.629</v>
      </c>
      <c r="P297" s="2191">
        <f>O297*H297</f>
        <v>219.60025399999998</v>
      </c>
      <c r="Q297" s="2191">
        <v>2.5018699999999998</v>
      </c>
      <c r="R297" s="2191">
        <f>Q297*H297</f>
        <v>873.46786561999988</v>
      </c>
      <c r="S297" s="2191">
        <v>0</v>
      </c>
      <c r="T297" s="2192">
        <f>S297*H297</f>
        <v>0</v>
      </c>
      <c r="AR297" s="2193" t="s">
        <v>856</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856</v>
      </c>
      <c r="BM297" s="2193" t="s">
        <v>3442</v>
      </c>
    </row>
    <row r="298" spans="2:65" s="2209" customFormat="1">
      <c r="B298" s="2210"/>
      <c r="D298" s="2197" t="s">
        <v>3303</v>
      </c>
      <c r="E298" s="2211" t="s">
        <v>3146</v>
      </c>
      <c r="F298" s="2212" t="s">
        <v>3443</v>
      </c>
      <c r="H298" s="2213">
        <v>51.3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3444</v>
      </c>
      <c r="H299" s="2213">
        <v>71.376999999999995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3445</v>
      </c>
      <c r="H300" s="2213">
        <v>208.66499999999999</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3446</v>
      </c>
      <c r="H301" s="2213">
        <v>-4.6740000000000004</v>
      </c>
      <c r="L301" s="2210"/>
      <c r="M301" s="2214"/>
      <c r="T301" s="2215"/>
      <c r="AT301" s="2211" t="s">
        <v>3303</v>
      </c>
      <c r="AU301" s="2211" t="s">
        <v>134</v>
      </c>
      <c r="AV301" s="2209" t="s">
        <v>134</v>
      </c>
      <c r="AW301" s="2209" t="s">
        <v>3171</v>
      </c>
      <c r="AX301" s="2209" t="s">
        <v>3213</v>
      </c>
      <c r="AY301" s="2211" t="s">
        <v>3285</v>
      </c>
    </row>
    <row r="302" spans="2:65" s="2209" customFormat="1">
      <c r="B302" s="2210"/>
      <c r="D302" s="2197" t="s">
        <v>3303</v>
      </c>
      <c r="E302" s="2211" t="s">
        <v>3146</v>
      </c>
      <c r="F302" s="2212" t="s">
        <v>3447</v>
      </c>
      <c r="H302" s="2213">
        <v>-1.61</v>
      </c>
      <c r="L302" s="2210"/>
      <c r="M302" s="2214"/>
      <c r="T302" s="2215"/>
      <c r="AT302" s="2211" t="s">
        <v>3303</v>
      </c>
      <c r="AU302" s="2211" t="s">
        <v>134</v>
      </c>
      <c r="AV302" s="2209" t="s">
        <v>134</v>
      </c>
      <c r="AW302" s="2209" t="s">
        <v>3171</v>
      </c>
      <c r="AX302" s="2209" t="s">
        <v>3213</v>
      </c>
      <c r="AY302" s="2211" t="s">
        <v>3285</v>
      </c>
    </row>
    <row r="303" spans="2:65" s="2202" customFormat="1">
      <c r="B303" s="2203"/>
      <c r="D303" s="2197" t="s">
        <v>3303</v>
      </c>
      <c r="E303" s="2204" t="s">
        <v>3146</v>
      </c>
      <c r="F303" s="2205" t="s">
        <v>3305</v>
      </c>
      <c r="H303" s="2206">
        <v>325.05799999999999</v>
      </c>
      <c r="L303" s="2203"/>
      <c r="M303" s="2207"/>
      <c r="T303" s="2208"/>
      <c r="AT303" s="2204" t="s">
        <v>3303</v>
      </c>
      <c r="AU303" s="2204" t="s">
        <v>134</v>
      </c>
      <c r="AV303" s="2202" t="s">
        <v>854</v>
      </c>
      <c r="AW303" s="2202" t="s">
        <v>3171</v>
      </c>
      <c r="AX303" s="2202" t="s">
        <v>3213</v>
      </c>
      <c r="AY303" s="2204" t="s">
        <v>3285</v>
      </c>
    </row>
    <row r="304" spans="2:65" s="2209" customFormat="1">
      <c r="B304" s="2210"/>
      <c r="D304" s="2197" t="s">
        <v>3303</v>
      </c>
      <c r="E304" s="2211" t="s">
        <v>3146</v>
      </c>
      <c r="F304" s="2212" t="s">
        <v>3448</v>
      </c>
      <c r="H304" s="2213">
        <v>5.8330000000000002</v>
      </c>
      <c r="L304" s="2210"/>
      <c r="M304" s="2214"/>
      <c r="T304" s="2215"/>
      <c r="AT304" s="2211" t="s">
        <v>3303</v>
      </c>
      <c r="AU304" s="2211" t="s">
        <v>134</v>
      </c>
      <c r="AV304" s="2209" t="s">
        <v>134</v>
      </c>
      <c r="AW304" s="2209" t="s">
        <v>3171</v>
      </c>
      <c r="AX304" s="2209" t="s">
        <v>3213</v>
      </c>
      <c r="AY304" s="2211" t="s">
        <v>3285</v>
      </c>
    </row>
    <row r="305" spans="2:65" s="2209" customFormat="1">
      <c r="B305" s="2210"/>
      <c r="D305" s="2197" t="s">
        <v>3303</v>
      </c>
      <c r="E305" s="2211" t="s">
        <v>3146</v>
      </c>
      <c r="F305" s="2212" t="s">
        <v>3449</v>
      </c>
      <c r="H305" s="2213">
        <v>1.61</v>
      </c>
      <c r="L305" s="2210"/>
      <c r="M305" s="2214"/>
      <c r="T305" s="2215"/>
      <c r="AT305" s="2211" t="s">
        <v>3303</v>
      </c>
      <c r="AU305" s="2211" t="s">
        <v>134</v>
      </c>
      <c r="AV305" s="2209" t="s">
        <v>134</v>
      </c>
      <c r="AW305" s="2209" t="s">
        <v>3171</v>
      </c>
      <c r="AX305" s="2209" t="s">
        <v>3213</v>
      </c>
      <c r="AY305" s="2211" t="s">
        <v>3285</v>
      </c>
    </row>
    <row r="306" spans="2:65" s="2202" customFormat="1">
      <c r="B306" s="2203"/>
      <c r="D306" s="2197" t="s">
        <v>3303</v>
      </c>
      <c r="E306" s="2204" t="s">
        <v>3146</v>
      </c>
      <c r="F306" s="2205" t="s">
        <v>3305</v>
      </c>
      <c r="H306" s="2206">
        <v>7.4429999999999996</v>
      </c>
      <c r="L306" s="2203"/>
      <c r="M306" s="2207"/>
      <c r="T306" s="2208"/>
      <c r="AT306" s="2204" t="s">
        <v>3303</v>
      </c>
      <c r="AU306" s="2204" t="s">
        <v>134</v>
      </c>
      <c r="AV306" s="2202" t="s">
        <v>854</v>
      </c>
      <c r="AW306" s="2202" t="s">
        <v>3171</v>
      </c>
      <c r="AX306" s="2202" t="s">
        <v>3213</v>
      </c>
      <c r="AY306" s="2204" t="s">
        <v>3285</v>
      </c>
    </row>
    <row r="307" spans="2:65" s="2216" customFormat="1">
      <c r="B307" s="2217"/>
      <c r="D307" s="2197" t="s">
        <v>3303</v>
      </c>
      <c r="E307" s="2218" t="s">
        <v>3146</v>
      </c>
      <c r="F307" s="2219" t="s">
        <v>3306</v>
      </c>
      <c r="H307" s="2220">
        <v>332.50099999999998</v>
      </c>
      <c r="L307" s="2217"/>
      <c r="M307" s="2221"/>
      <c r="T307" s="2222"/>
      <c r="AT307" s="2218" t="s">
        <v>3303</v>
      </c>
      <c r="AU307" s="2218" t="s">
        <v>134</v>
      </c>
      <c r="AV307" s="2216" t="s">
        <v>856</v>
      </c>
      <c r="AW307" s="2216" t="s">
        <v>3171</v>
      </c>
      <c r="AX307" s="2216" t="s">
        <v>133</v>
      </c>
      <c r="AY307" s="2218" t="s">
        <v>3285</v>
      </c>
    </row>
    <row r="308" spans="2:65" s="2209" customFormat="1">
      <c r="B308" s="2210"/>
      <c r="D308" s="2197" t="s">
        <v>3303</v>
      </c>
      <c r="F308" s="2212" t="s">
        <v>3450</v>
      </c>
      <c r="H308" s="2213">
        <v>349.12599999999998</v>
      </c>
      <c r="L308" s="2210"/>
      <c r="M308" s="2214"/>
      <c r="T308" s="2215"/>
      <c r="AT308" s="2211" t="s">
        <v>3303</v>
      </c>
      <c r="AU308" s="2211" t="s">
        <v>134</v>
      </c>
      <c r="AV308" s="2209" t="s">
        <v>134</v>
      </c>
      <c r="AW308" s="2209" t="s">
        <v>3148</v>
      </c>
      <c r="AX308" s="2209" t="s">
        <v>133</v>
      </c>
      <c r="AY308" s="2211" t="s">
        <v>3285</v>
      </c>
    </row>
    <row r="309" spans="2:65" s="2070" customFormat="1" ht="16.5" customHeight="1">
      <c r="B309" s="2164"/>
      <c r="C309" s="4608">
        <v>46</v>
      </c>
      <c r="D309" s="4608" t="s">
        <v>3286</v>
      </c>
      <c r="E309" s="4609" t="s">
        <v>3451</v>
      </c>
      <c r="F309" s="4610" t="s">
        <v>3452</v>
      </c>
      <c r="G309" s="4611" t="s">
        <v>611</v>
      </c>
      <c r="H309" s="4612">
        <v>79.608999999999995</v>
      </c>
      <c r="I309" s="4613"/>
      <c r="J309" s="4613">
        <f>ROUND(I309*H309,2)</f>
        <v>0</v>
      </c>
      <c r="K309" s="4610" t="s">
        <v>142</v>
      </c>
      <c r="L309" s="2071"/>
      <c r="M309" s="2190" t="s">
        <v>3146</v>
      </c>
      <c r="N309" s="2163" t="s">
        <v>3181</v>
      </c>
      <c r="O309" s="2191">
        <v>0.3</v>
      </c>
      <c r="P309" s="2191">
        <f>O309*H309</f>
        <v>23.882699999999996</v>
      </c>
      <c r="Q309" s="2191">
        <v>2.47E-3</v>
      </c>
      <c r="R309" s="2191">
        <f>Q309*H309</f>
        <v>0.19663422999999999</v>
      </c>
      <c r="S309" s="2191">
        <v>0</v>
      </c>
      <c r="T309" s="2192">
        <f>S309*H309</f>
        <v>0</v>
      </c>
      <c r="AR309" s="2193" t="s">
        <v>856</v>
      </c>
      <c r="AT309" s="2193" t="s">
        <v>3286</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856</v>
      </c>
      <c r="BM309" s="2193" t="s">
        <v>3453</v>
      </c>
    </row>
    <row r="310" spans="2:65" s="2209" customFormat="1">
      <c r="B310" s="2210"/>
      <c r="D310" s="2197" t="s">
        <v>3303</v>
      </c>
      <c r="E310" s="2211" t="s">
        <v>3146</v>
      </c>
      <c r="F310" s="2212" t="s">
        <v>3454</v>
      </c>
      <c r="H310" s="2213">
        <v>1.141</v>
      </c>
      <c r="L310" s="2210"/>
      <c r="M310" s="2214"/>
      <c r="T310" s="2215"/>
      <c r="AT310" s="2211" t="s">
        <v>3303</v>
      </c>
      <c r="AU310" s="2211" t="s">
        <v>134</v>
      </c>
      <c r="AV310" s="2209" t="s">
        <v>134</v>
      </c>
      <c r="AW310" s="2209" t="s">
        <v>3171</v>
      </c>
      <c r="AX310" s="2209" t="s">
        <v>3213</v>
      </c>
      <c r="AY310" s="2211" t="s">
        <v>3285</v>
      </c>
    </row>
    <row r="311" spans="2:65" s="2209" customFormat="1">
      <c r="B311" s="2210"/>
      <c r="D311" s="2197" t="s">
        <v>3303</v>
      </c>
      <c r="E311" s="2211" t="s">
        <v>3146</v>
      </c>
      <c r="F311" s="2212" t="s">
        <v>3455</v>
      </c>
      <c r="H311" s="2213">
        <v>8.7639999999999993</v>
      </c>
      <c r="L311" s="2210"/>
      <c r="M311" s="2214"/>
      <c r="T311" s="2215"/>
      <c r="AT311" s="2211" t="s">
        <v>3303</v>
      </c>
      <c r="AU311" s="2211" t="s">
        <v>134</v>
      </c>
      <c r="AV311" s="2209" t="s">
        <v>134</v>
      </c>
      <c r="AW311" s="2209" t="s">
        <v>3171</v>
      </c>
      <c r="AX311" s="2209" t="s">
        <v>3213</v>
      </c>
      <c r="AY311" s="2211" t="s">
        <v>3285</v>
      </c>
    </row>
    <row r="312" spans="2:65" s="2202" customFormat="1">
      <c r="B312" s="2203"/>
      <c r="D312" s="2197" t="s">
        <v>3303</v>
      </c>
      <c r="E312" s="2204" t="s">
        <v>3146</v>
      </c>
      <c r="F312" s="2205" t="s">
        <v>3305</v>
      </c>
      <c r="H312" s="2206">
        <v>9.9049999999999994</v>
      </c>
      <c r="L312" s="2203"/>
      <c r="M312" s="2207"/>
      <c r="T312" s="2208"/>
      <c r="AT312" s="2204" t="s">
        <v>3303</v>
      </c>
      <c r="AU312" s="2204" t="s">
        <v>134</v>
      </c>
      <c r="AV312" s="2202" t="s">
        <v>854</v>
      </c>
      <c r="AW312" s="2202" t="s">
        <v>3171</v>
      </c>
      <c r="AX312" s="2202" t="s">
        <v>3213</v>
      </c>
      <c r="AY312" s="2204" t="s">
        <v>3285</v>
      </c>
    </row>
    <row r="313" spans="2:65" s="2209" customFormat="1">
      <c r="B313" s="2210"/>
      <c r="D313" s="2197" t="s">
        <v>3303</v>
      </c>
      <c r="E313" s="2211" t="s">
        <v>3146</v>
      </c>
      <c r="F313" s="2212" t="s">
        <v>3456</v>
      </c>
      <c r="H313" s="2213">
        <v>1.708</v>
      </c>
      <c r="L313" s="2210"/>
      <c r="M313" s="2214"/>
      <c r="T313" s="2215"/>
      <c r="AT313" s="2211" t="s">
        <v>3303</v>
      </c>
      <c r="AU313" s="2211" t="s">
        <v>134</v>
      </c>
      <c r="AV313" s="2209" t="s">
        <v>134</v>
      </c>
      <c r="AW313" s="2209" t="s">
        <v>3171</v>
      </c>
      <c r="AX313" s="2209" t="s">
        <v>3213</v>
      </c>
      <c r="AY313" s="2211" t="s">
        <v>3285</v>
      </c>
    </row>
    <row r="314" spans="2:65" s="2209" customFormat="1">
      <c r="B314" s="2210"/>
      <c r="D314" s="2197" t="s">
        <v>3303</v>
      </c>
      <c r="E314" s="2211" t="s">
        <v>3146</v>
      </c>
      <c r="F314" s="2212" t="s">
        <v>3457</v>
      </c>
      <c r="H314" s="2213">
        <v>1.54</v>
      </c>
      <c r="L314" s="2210"/>
      <c r="M314" s="2214"/>
      <c r="T314" s="2215"/>
      <c r="AT314" s="2211" t="s">
        <v>3303</v>
      </c>
      <c r="AU314" s="2211" t="s">
        <v>134</v>
      </c>
      <c r="AV314" s="2209" t="s">
        <v>134</v>
      </c>
      <c r="AW314" s="2209" t="s">
        <v>3171</v>
      </c>
      <c r="AX314" s="2209" t="s">
        <v>3213</v>
      </c>
      <c r="AY314" s="2211" t="s">
        <v>3285</v>
      </c>
    </row>
    <row r="315" spans="2:65" s="2202" customFormat="1">
      <c r="B315" s="2203"/>
      <c r="D315" s="2197" t="s">
        <v>3303</v>
      </c>
      <c r="E315" s="2204" t="s">
        <v>3146</v>
      </c>
      <c r="F315" s="2205" t="s">
        <v>3305</v>
      </c>
      <c r="H315" s="2206">
        <v>3.2480000000000002</v>
      </c>
      <c r="L315" s="2203"/>
      <c r="M315" s="2207"/>
      <c r="T315" s="2208"/>
      <c r="AT315" s="2204" t="s">
        <v>3303</v>
      </c>
      <c r="AU315" s="2204" t="s">
        <v>134</v>
      </c>
      <c r="AV315" s="2202" t="s">
        <v>854</v>
      </c>
      <c r="AW315" s="2202" t="s">
        <v>3171</v>
      </c>
      <c r="AX315" s="2202" t="s">
        <v>3213</v>
      </c>
      <c r="AY315" s="2204" t="s">
        <v>3285</v>
      </c>
    </row>
    <row r="316" spans="2:65" s="2209" customFormat="1">
      <c r="B316" s="2210"/>
      <c r="D316" s="2197" t="s">
        <v>3303</v>
      </c>
      <c r="E316" s="2211" t="s">
        <v>3146</v>
      </c>
      <c r="F316" s="2212" t="s">
        <v>3456</v>
      </c>
      <c r="H316" s="2213">
        <v>1.708</v>
      </c>
      <c r="L316" s="2210"/>
      <c r="M316" s="2214"/>
      <c r="T316" s="2215"/>
      <c r="AT316" s="2211" t="s">
        <v>3303</v>
      </c>
      <c r="AU316" s="2211" t="s">
        <v>134</v>
      </c>
      <c r="AV316" s="2209" t="s">
        <v>134</v>
      </c>
      <c r="AW316" s="2209" t="s">
        <v>3171</v>
      </c>
      <c r="AX316" s="2209" t="s">
        <v>3213</v>
      </c>
      <c r="AY316" s="2211" t="s">
        <v>3285</v>
      </c>
    </row>
    <row r="317" spans="2:65" s="2209" customFormat="1">
      <c r="B317" s="2210"/>
      <c r="D317" s="2197" t="s">
        <v>3303</v>
      </c>
      <c r="E317" s="2211" t="s">
        <v>3146</v>
      </c>
      <c r="F317" s="2212" t="s">
        <v>3457</v>
      </c>
      <c r="H317" s="2213">
        <v>1.54</v>
      </c>
      <c r="L317" s="2210"/>
      <c r="M317" s="2214"/>
      <c r="T317" s="2215"/>
      <c r="AT317" s="2211" t="s">
        <v>3303</v>
      </c>
      <c r="AU317" s="2211" t="s">
        <v>134</v>
      </c>
      <c r="AV317" s="2209" t="s">
        <v>134</v>
      </c>
      <c r="AW317" s="2209" t="s">
        <v>3171</v>
      </c>
      <c r="AX317" s="2209" t="s">
        <v>3213</v>
      </c>
      <c r="AY317" s="2211" t="s">
        <v>3285</v>
      </c>
    </row>
    <row r="318" spans="2:65" s="2209" customFormat="1">
      <c r="B318" s="2210"/>
      <c r="D318" s="2197" t="s">
        <v>3303</v>
      </c>
      <c r="E318" s="2211" t="s">
        <v>3146</v>
      </c>
      <c r="F318" s="2212" t="s">
        <v>3458</v>
      </c>
      <c r="H318" s="2213">
        <v>6.125</v>
      </c>
      <c r="L318" s="2210"/>
      <c r="M318" s="2214"/>
      <c r="T318" s="2215"/>
      <c r="AT318" s="2211" t="s">
        <v>3303</v>
      </c>
      <c r="AU318" s="2211" t="s">
        <v>134</v>
      </c>
      <c r="AV318" s="2209" t="s">
        <v>134</v>
      </c>
      <c r="AW318" s="2209" t="s">
        <v>3171</v>
      </c>
      <c r="AX318" s="2209" t="s">
        <v>3213</v>
      </c>
      <c r="AY318" s="2211" t="s">
        <v>3285</v>
      </c>
    </row>
    <row r="319" spans="2:65" s="2209" customFormat="1">
      <c r="B319" s="2210"/>
      <c r="D319" s="2197" t="s">
        <v>3303</v>
      </c>
      <c r="E319" s="2211" t="s">
        <v>3146</v>
      </c>
      <c r="F319" s="2212" t="s">
        <v>3459</v>
      </c>
      <c r="H319" s="2213">
        <v>17.288</v>
      </c>
      <c r="L319" s="2210"/>
      <c r="M319" s="2214"/>
      <c r="T319" s="2215"/>
      <c r="AT319" s="2211" t="s">
        <v>3303</v>
      </c>
      <c r="AU319" s="2211" t="s">
        <v>134</v>
      </c>
      <c r="AV319" s="2209" t="s">
        <v>134</v>
      </c>
      <c r="AW319" s="2209" t="s">
        <v>3171</v>
      </c>
      <c r="AX319" s="2209" t="s">
        <v>3213</v>
      </c>
      <c r="AY319" s="2211" t="s">
        <v>3285</v>
      </c>
    </row>
    <row r="320" spans="2:65" s="2209" customFormat="1">
      <c r="B320" s="2210"/>
      <c r="D320" s="2197" t="s">
        <v>3303</v>
      </c>
      <c r="E320" s="2211" t="s">
        <v>3146</v>
      </c>
      <c r="F320" s="2212" t="s">
        <v>3460</v>
      </c>
      <c r="H320" s="2213">
        <v>3.1269999999999998</v>
      </c>
      <c r="L320" s="2210"/>
      <c r="M320" s="2214"/>
      <c r="T320" s="2215"/>
      <c r="AT320" s="2211" t="s">
        <v>3303</v>
      </c>
      <c r="AU320" s="2211" t="s">
        <v>134</v>
      </c>
      <c r="AV320" s="2209" t="s">
        <v>134</v>
      </c>
      <c r="AW320" s="2209" t="s">
        <v>3171</v>
      </c>
      <c r="AX320" s="2209" t="s">
        <v>3213</v>
      </c>
      <c r="AY320" s="2211" t="s">
        <v>3285</v>
      </c>
    </row>
    <row r="321" spans="2:65" s="2209" customFormat="1">
      <c r="B321" s="2210"/>
      <c r="D321" s="2197" t="s">
        <v>3303</v>
      </c>
      <c r="E321" s="2211" t="s">
        <v>3146</v>
      </c>
      <c r="F321" s="2212" t="s">
        <v>3461</v>
      </c>
      <c r="H321" s="2213">
        <v>5.2679999999999998</v>
      </c>
      <c r="L321" s="2210"/>
      <c r="M321" s="2214"/>
      <c r="T321" s="2215"/>
      <c r="AT321" s="2211" t="s">
        <v>3303</v>
      </c>
      <c r="AU321" s="2211" t="s">
        <v>134</v>
      </c>
      <c r="AV321" s="2209" t="s">
        <v>134</v>
      </c>
      <c r="AW321" s="2209" t="s">
        <v>3171</v>
      </c>
      <c r="AX321" s="2209" t="s">
        <v>3213</v>
      </c>
      <c r="AY321" s="2211" t="s">
        <v>3285</v>
      </c>
    </row>
    <row r="322" spans="2:65" s="2209" customFormat="1">
      <c r="B322" s="2210"/>
      <c r="D322" s="2197" t="s">
        <v>3303</v>
      </c>
      <c r="E322" s="2211" t="s">
        <v>3146</v>
      </c>
      <c r="F322" s="2212" t="s">
        <v>3462</v>
      </c>
      <c r="H322" s="2213">
        <v>0.78800000000000003</v>
      </c>
      <c r="L322" s="2210"/>
      <c r="M322" s="2214"/>
      <c r="T322" s="2215"/>
      <c r="AT322" s="2211" t="s">
        <v>3303</v>
      </c>
      <c r="AU322" s="2211" t="s">
        <v>134</v>
      </c>
      <c r="AV322" s="2209" t="s">
        <v>134</v>
      </c>
      <c r="AW322" s="2209" t="s">
        <v>3171</v>
      </c>
      <c r="AX322" s="2209" t="s">
        <v>3213</v>
      </c>
      <c r="AY322" s="2211" t="s">
        <v>3285</v>
      </c>
    </row>
    <row r="323" spans="2:65" s="2209" customFormat="1">
      <c r="B323" s="2210"/>
      <c r="D323" s="2197" t="s">
        <v>3303</v>
      </c>
      <c r="E323" s="2211" t="s">
        <v>3146</v>
      </c>
      <c r="F323" s="2212" t="s">
        <v>3463</v>
      </c>
      <c r="H323" s="2213">
        <v>5.9850000000000003</v>
      </c>
      <c r="L323" s="2210"/>
      <c r="M323" s="2214"/>
      <c r="T323" s="2215"/>
      <c r="AT323" s="2211" t="s">
        <v>3303</v>
      </c>
      <c r="AU323" s="2211" t="s">
        <v>134</v>
      </c>
      <c r="AV323" s="2209" t="s">
        <v>134</v>
      </c>
      <c r="AW323" s="2209" t="s">
        <v>3171</v>
      </c>
      <c r="AX323" s="2209" t="s">
        <v>3213</v>
      </c>
      <c r="AY323" s="2211" t="s">
        <v>3285</v>
      </c>
    </row>
    <row r="324" spans="2:65" s="2209" customFormat="1">
      <c r="B324" s="2210"/>
      <c r="D324" s="2197" t="s">
        <v>3303</v>
      </c>
      <c r="E324" s="2211" t="s">
        <v>3146</v>
      </c>
      <c r="F324" s="2212" t="s">
        <v>3464</v>
      </c>
      <c r="H324" s="2213">
        <v>7</v>
      </c>
      <c r="L324" s="2210"/>
      <c r="M324" s="2214"/>
      <c r="T324" s="2215"/>
      <c r="AT324" s="2211" t="s">
        <v>3303</v>
      </c>
      <c r="AU324" s="2211" t="s">
        <v>134</v>
      </c>
      <c r="AV324" s="2209" t="s">
        <v>134</v>
      </c>
      <c r="AW324" s="2209" t="s">
        <v>3171</v>
      </c>
      <c r="AX324" s="2209" t="s">
        <v>3213</v>
      </c>
      <c r="AY324" s="2211" t="s">
        <v>3285</v>
      </c>
    </row>
    <row r="325" spans="2:65" s="2209" customFormat="1">
      <c r="B325" s="2210"/>
      <c r="D325" s="2197" t="s">
        <v>3303</v>
      </c>
      <c r="E325" s="2211" t="s">
        <v>3146</v>
      </c>
      <c r="F325" s="2212" t="s">
        <v>3465</v>
      </c>
      <c r="H325" s="2213">
        <v>3.2730000000000001</v>
      </c>
      <c r="L325" s="2210"/>
      <c r="M325" s="2214"/>
      <c r="T325" s="2215"/>
      <c r="AT325" s="2211" t="s">
        <v>3303</v>
      </c>
      <c r="AU325" s="2211" t="s">
        <v>134</v>
      </c>
      <c r="AV325" s="2209" t="s">
        <v>134</v>
      </c>
      <c r="AW325" s="2209" t="s">
        <v>3171</v>
      </c>
      <c r="AX325" s="2209" t="s">
        <v>3213</v>
      </c>
      <c r="AY325" s="2211" t="s">
        <v>3285</v>
      </c>
    </row>
    <row r="326" spans="2:65" s="2209" customFormat="1">
      <c r="B326" s="2210"/>
      <c r="D326" s="2197" t="s">
        <v>3303</v>
      </c>
      <c r="E326" s="2211" t="s">
        <v>3146</v>
      </c>
      <c r="F326" s="2212" t="s">
        <v>3466</v>
      </c>
      <c r="H326" s="2213">
        <v>3.5350000000000001</v>
      </c>
      <c r="L326" s="2210"/>
      <c r="M326" s="2214"/>
      <c r="T326" s="2215"/>
      <c r="AT326" s="2211" t="s">
        <v>3303</v>
      </c>
      <c r="AU326" s="2211" t="s">
        <v>134</v>
      </c>
      <c r="AV326" s="2209" t="s">
        <v>134</v>
      </c>
      <c r="AW326" s="2209" t="s">
        <v>3171</v>
      </c>
      <c r="AX326" s="2209" t="s">
        <v>3213</v>
      </c>
      <c r="AY326" s="2211" t="s">
        <v>3285</v>
      </c>
    </row>
    <row r="327" spans="2:65" s="2209" customFormat="1">
      <c r="B327" s="2210"/>
      <c r="D327" s="2197" t="s">
        <v>3303</v>
      </c>
      <c r="E327" s="2211" t="s">
        <v>3146</v>
      </c>
      <c r="F327" s="2212" t="s">
        <v>3467</v>
      </c>
      <c r="H327" s="2213">
        <v>2.6949999999999998</v>
      </c>
      <c r="L327" s="2210"/>
      <c r="M327" s="2214"/>
      <c r="T327" s="2215"/>
      <c r="AT327" s="2211" t="s">
        <v>3303</v>
      </c>
      <c r="AU327" s="2211" t="s">
        <v>134</v>
      </c>
      <c r="AV327" s="2209" t="s">
        <v>134</v>
      </c>
      <c r="AW327" s="2209" t="s">
        <v>3171</v>
      </c>
      <c r="AX327" s="2209" t="s">
        <v>3213</v>
      </c>
      <c r="AY327" s="2211" t="s">
        <v>3285</v>
      </c>
    </row>
    <row r="328" spans="2:65" s="2202" customFormat="1">
      <c r="B328" s="2203"/>
      <c r="D328" s="2197" t="s">
        <v>3303</v>
      </c>
      <c r="E328" s="2204" t="s">
        <v>3146</v>
      </c>
      <c r="F328" s="2205" t="s">
        <v>3305</v>
      </c>
      <c r="H328" s="2206">
        <v>58.332000000000001</v>
      </c>
      <c r="L328" s="2203"/>
      <c r="M328" s="2207"/>
      <c r="T328" s="2208"/>
      <c r="AT328" s="2204" t="s">
        <v>3303</v>
      </c>
      <c r="AU328" s="2204" t="s">
        <v>134</v>
      </c>
      <c r="AV328" s="2202" t="s">
        <v>854</v>
      </c>
      <c r="AW328" s="2202" t="s">
        <v>3171</v>
      </c>
      <c r="AX328" s="2202" t="s">
        <v>3213</v>
      </c>
      <c r="AY328" s="2204" t="s">
        <v>3285</v>
      </c>
    </row>
    <row r="329" spans="2:65" s="2209" customFormat="1">
      <c r="B329" s="2210"/>
      <c r="D329" s="2197" t="s">
        <v>3303</v>
      </c>
      <c r="E329" s="2211" t="s">
        <v>3146</v>
      </c>
      <c r="F329" s="2212" t="s">
        <v>3468</v>
      </c>
      <c r="H329" s="2213">
        <v>8.1240000000000006</v>
      </c>
      <c r="L329" s="2210"/>
      <c r="M329" s="2214"/>
      <c r="T329" s="2215"/>
      <c r="AT329" s="2211" t="s">
        <v>3303</v>
      </c>
      <c r="AU329" s="2211" t="s">
        <v>134</v>
      </c>
      <c r="AV329" s="2209" t="s">
        <v>134</v>
      </c>
      <c r="AW329" s="2209" t="s">
        <v>3171</v>
      </c>
      <c r="AX329" s="2209" t="s">
        <v>3213</v>
      </c>
      <c r="AY329" s="2211" t="s">
        <v>3285</v>
      </c>
    </row>
    <row r="330" spans="2:65" s="2202" customFormat="1">
      <c r="B330" s="2203"/>
      <c r="D330" s="2197" t="s">
        <v>3303</v>
      </c>
      <c r="E330" s="2204" t="s">
        <v>3146</v>
      </c>
      <c r="F330" s="2205" t="s">
        <v>3305</v>
      </c>
      <c r="H330" s="2206">
        <v>8.1240000000000006</v>
      </c>
      <c r="L330" s="2203"/>
      <c r="M330" s="2207"/>
      <c r="T330" s="2208"/>
      <c r="AT330" s="2204" t="s">
        <v>3303</v>
      </c>
      <c r="AU330" s="2204" t="s">
        <v>134</v>
      </c>
      <c r="AV330" s="2202" t="s">
        <v>854</v>
      </c>
      <c r="AW330" s="2202" t="s">
        <v>3171</v>
      </c>
      <c r="AX330" s="2202" t="s">
        <v>3213</v>
      </c>
      <c r="AY330" s="2204" t="s">
        <v>3285</v>
      </c>
    </row>
    <row r="331" spans="2:65" s="2216" customFormat="1">
      <c r="B331" s="2217"/>
      <c r="D331" s="2197" t="s">
        <v>3303</v>
      </c>
      <c r="E331" s="2218" t="s">
        <v>3146</v>
      </c>
      <c r="F331" s="2219" t="s">
        <v>3306</v>
      </c>
      <c r="H331" s="2220">
        <v>79.608999999999995</v>
      </c>
      <c r="L331" s="2217"/>
      <c r="M331" s="2221"/>
      <c r="T331" s="2222"/>
      <c r="AT331" s="2218" t="s">
        <v>3303</v>
      </c>
      <c r="AU331" s="2218" t="s">
        <v>134</v>
      </c>
      <c r="AV331" s="2216" t="s">
        <v>856</v>
      </c>
      <c r="AW331" s="2216" t="s">
        <v>3171</v>
      </c>
      <c r="AX331" s="2216" t="s">
        <v>133</v>
      </c>
      <c r="AY331" s="2218" t="s">
        <v>3285</v>
      </c>
    </row>
    <row r="332" spans="2:65" s="2070" customFormat="1" ht="16.5" customHeight="1">
      <c r="B332" s="2164"/>
      <c r="C332" s="4608">
        <v>47</v>
      </c>
      <c r="D332" s="4608" t="s">
        <v>3286</v>
      </c>
      <c r="E332" s="4609" t="s">
        <v>3469</v>
      </c>
      <c r="F332" s="4610" t="s">
        <v>3470</v>
      </c>
      <c r="G332" s="4611" t="s">
        <v>611</v>
      </c>
      <c r="H332" s="4612">
        <v>79.608999999999995</v>
      </c>
      <c r="I332" s="4613"/>
      <c r="J332" s="4613">
        <f>ROUND(I332*H332,2)</f>
        <v>0</v>
      </c>
      <c r="K332" s="4610" t="s">
        <v>142</v>
      </c>
      <c r="L332" s="2071"/>
      <c r="M332" s="2190" t="s">
        <v>3146</v>
      </c>
      <c r="N332" s="2163" t="s">
        <v>3181</v>
      </c>
      <c r="O332" s="2191">
        <v>0.152</v>
      </c>
      <c r="P332" s="2191">
        <f>O332*H332</f>
        <v>12.100567999999999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3471</v>
      </c>
    </row>
    <row r="333" spans="2:65" s="2070" customFormat="1" ht="21.75" customHeight="1">
      <c r="B333" s="2164"/>
      <c r="C333" s="5561" t="s">
        <v>2705</v>
      </c>
      <c r="D333" s="5561" t="s">
        <v>3286</v>
      </c>
      <c r="E333" s="5567" t="s">
        <v>5983</v>
      </c>
      <c r="F333" s="5566" t="s">
        <v>5984</v>
      </c>
      <c r="G333" s="5570" t="s">
        <v>302</v>
      </c>
      <c r="H333" s="5568">
        <f>H334</f>
        <v>38.403860000000002</v>
      </c>
      <c r="I333" s="5571"/>
      <c r="J333" s="5571">
        <f>ROUND(I333*H333,2)</f>
        <v>0</v>
      </c>
      <c r="K333" s="5566" t="s">
        <v>142</v>
      </c>
      <c r="L333" s="2071"/>
      <c r="M333" s="2190" t="s">
        <v>3146</v>
      </c>
      <c r="N333" s="2163" t="s">
        <v>3181</v>
      </c>
      <c r="O333" s="2191">
        <v>23.968</v>
      </c>
      <c r="P333" s="2191">
        <f>O333*H333</f>
        <v>920.46371648000002</v>
      </c>
      <c r="Q333" s="2191">
        <v>1.0606199999999999</v>
      </c>
      <c r="R333" s="2191">
        <f>Q333*H333</f>
        <v>40.731901993199997</v>
      </c>
      <c r="S333" s="2191">
        <v>0</v>
      </c>
      <c r="T333" s="2192">
        <f>S333*H333</f>
        <v>0</v>
      </c>
      <c r="AR333" s="2193" t="s">
        <v>856</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856</v>
      </c>
      <c r="BM333" s="2193" t="s">
        <v>3490</v>
      </c>
    </row>
    <row r="334" spans="2:65" s="2209" customFormat="1">
      <c r="B334" s="2210"/>
      <c r="D334" s="2197" t="s">
        <v>3303</v>
      </c>
      <c r="E334" s="2211" t="s">
        <v>3146</v>
      </c>
      <c r="F334" s="5560" t="s">
        <v>11649</v>
      </c>
      <c r="H334" s="5569">
        <f>(349.126)*110*0.001</f>
        <v>38.403860000000002</v>
      </c>
      <c r="L334" s="2210"/>
      <c r="M334" s="2214"/>
      <c r="T334" s="2215"/>
      <c r="AT334" s="2211" t="s">
        <v>3303</v>
      </c>
      <c r="AU334" s="2211" t="s">
        <v>134</v>
      </c>
      <c r="AV334" s="2209" t="s">
        <v>134</v>
      </c>
      <c r="AW334" s="2209" t="s">
        <v>3171</v>
      </c>
      <c r="AX334" s="2209" t="s">
        <v>133</v>
      </c>
      <c r="AY334" s="2211" t="s">
        <v>3285</v>
      </c>
    </row>
    <row r="335" spans="2:65" s="2070" customFormat="1" ht="27" customHeight="1">
      <c r="B335" s="2164"/>
      <c r="C335" s="5561" t="s">
        <v>2706</v>
      </c>
      <c r="D335" s="4608" t="s">
        <v>3286</v>
      </c>
      <c r="E335" s="5567" t="s">
        <v>11713</v>
      </c>
      <c r="F335" s="5566" t="s">
        <v>11680</v>
      </c>
      <c r="G335" s="5570" t="s">
        <v>221</v>
      </c>
      <c r="H335" s="5568">
        <f>SUM(H337:H338)</f>
        <v>3.6163600000000002</v>
      </c>
      <c r="I335" s="5571"/>
      <c r="J335" s="5571">
        <f>ROUND(I335*H335,2)</f>
        <v>0</v>
      </c>
      <c r="K335" s="5566" t="s">
        <v>142</v>
      </c>
      <c r="L335" s="2071"/>
      <c r="M335" s="2190" t="s">
        <v>3146</v>
      </c>
      <c r="N335" s="2163" t="s">
        <v>3181</v>
      </c>
      <c r="O335" s="2191">
        <v>0.247</v>
      </c>
      <c r="P335" s="2191">
        <f>O335*H335</f>
        <v>0.8932409200000001</v>
      </c>
      <c r="Q335" s="2191">
        <v>2.6900000000000001E-3</v>
      </c>
      <c r="R335" s="2191">
        <f>Q335*H335</f>
        <v>9.7280084000000017E-3</v>
      </c>
      <c r="S335" s="2191">
        <v>0</v>
      </c>
      <c r="T335" s="2192">
        <f>S335*H335</f>
        <v>0</v>
      </c>
      <c r="AR335" s="2193" t="s">
        <v>856</v>
      </c>
      <c r="AT335" s="2193" t="s">
        <v>3286</v>
      </c>
      <c r="AU335" s="2193" t="s">
        <v>134</v>
      </c>
      <c r="AY335" s="2056" t="s">
        <v>3285</v>
      </c>
      <c r="BE335" s="2194">
        <f>IF(N335="základní",J335,0)</f>
        <v>0</v>
      </c>
      <c r="BF335" s="2194">
        <f>IF(N335="snížená",J335,0)</f>
        <v>0</v>
      </c>
      <c r="BG335" s="2194">
        <f>IF(N335="zákl. přenesená",J335,0)</f>
        <v>0</v>
      </c>
      <c r="BH335" s="2194">
        <f>IF(N335="sníž. přenesená",J335,0)</f>
        <v>0</v>
      </c>
      <c r="BI335" s="2194">
        <f>IF(N335="nulová",J335,0)</f>
        <v>0</v>
      </c>
      <c r="BJ335" s="2056" t="s">
        <v>134</v>
      </c>
      <c r="BK335" s="2194">
        <f>ROUND(I335*H335,2)</f>
        <v>0</v>
      </c>
      <c r="BL335" s="2056" t="s">
        <v>856</v>
      </c>
      <c r="BM335" s="2193" t="s">
        <v>3475</v>
      </c>
    </row>
    <row r="336" spans="2:65" s="2195" customFormat="1">
      <c r="B336" s="2196"/>
      <c r="D336" s="2197" t="s">
        <v>3303</v>
      </c>
      <c r="E336" s="2198" t="s">
        <v>3146</v>
      </c>
      <c r="F336" s="2199" t="s">
        <v>11681</v>
      </c>
      <c r="H336" s="2198" t="s">
        <v>3146</v>
      </c>
      <c r="L336" s="2196"/>
      <c r="M336" s="2200"/>
      <c r="T336" s="2201"/>
      <c r="AT336" s="2198" t="s">
        <v>3303</v>
      </c>
      <c r="AU336" s="2198" t="s">
        <v>134</v>
      </c>
      <c r="AV336" s="2195" t="s">
        <v>133</v>
      </c>
      <c r="AW336" s="2195" t="s">
        <v>3171</v>
      </c>
      <c r="AX336" s="2195" t="s">
        <v>3213</v>
      </c>
      <c r="AY336" s="2198" t="s">
        <v>3285</v>
      </c>
    </row>
    <row r="337" spans="2:65" s="2209" customFormat="1">
      <c r="B337" s="2210"/>
      <c r="D337" s="2197" t="s">
        <v>3303</v>
      </c>
      <c r="E337" s="2211" t="s">
        <v>3146</v>
      </c>
      <c r="F337" s="5560" t="s">
        <v>11682</v>
      </c>
      <c r="G337" s="5574"/>
      <c r="H337" s="5569">
        <f>(0.4*(2.25+3.969)*1)*1.1</f>
        <v>2.7363600000000003</v>
      </c>
      <c r="L337" s="2210"/>
      <c r="M337" s="2214"/>
      <c r="T337" s="2215"/>
      <c r="AT337" s="2211" t="s">
        <v>3303</v>
      </c>
      <c r="AU337" s="2211" t="s">
        <v>134</v>
      </c>
      <c r="AV337" s="2209" t="s">
        <v>134</v>
      </c>
      <c r="AW337" s="2209" t="s">
        <v>3171</v>
      </c>
      <c r="AX337" s="2209" t="s">
        <v>3213</v>
      </c>
      <c r="AY337" s="2211" t="s">
        <v>3285</v>
      </c>
    </row>
    <row r="338" spans="2:65" s="2209" customFormat="1">
      <c r="B338" s="2210"/>
      <c r="D338" s="2197" t="s">
        <v>3303</v>
      </c>
      <c r="E338" s="2211" t="s">
        <v>3146</v>
      </c>
      <c r="F338" s="5560" t="s">
        <v>11683</v>
      </c>
      <c r="G338" s="5574"/>
      <c r="H338" s="5569">
        <f>(0.4*2*1)*1.1</f>
        <v>0.88000000000000012</v>
      </c>
      <c r="L338" s="2210"/>
      <c r="M338" s="2214"/>
      <c r="T338" s="2215"/>
      <c r="AT338" s="2211" t="s">
        <v>3303</v>
      </c>
      <c r="AU338" s="2211" t="s">
        <v>134</v>
      </c>
      <c r="AV338" s="2209" t="s">
        <v>134</v>
      </c>
      <c r="AW338" s="2209" t="s">
        <v>3171</v>
      </c>
      <c r="AX338" s="2209" t="s">
        <v>3213</v>
      </c>
      <c r="AY338" s="2211" t="s">
        <v>3285</v>
      </c>
    </row>
    <row r="339" spans="2:65" s="2070" customFormat="1" ht="16.5" customHeight="1">
      <c r="B339" s="2164"/>
      <c r="C339" s="4608">
        <v>48</v>
      </c>
      <c r="D339" s="4608" t="s">
        <v>3286</v>
      </c>
      <c r="E339" s="4609" t="s">
        <v>3473</v>
      </c>
      <c r="F339" s="4610" t="s">
        <v>3474</v>
      </c>
      <c r="G339" s="4611" t="s">
        <v>611</v>
      </c>
      <c r="H339" s="4612">
        <v>6.4850000000000003</v>
      </c>
      <c r="I339" s="4613"/>
      <c r="J339" s="4613">
        <f>ROUND(I339*H339,2)</f>
        <v>0</v>
      </c>
      <c r="K339" s="4610" t="s">
        <v>142</v>
      </c>
      <c r="L339" s="2071"/>
      <c r="M339" s="2190" t="s">
        <v>3146</v>
      </c>
      <c r="N339" s="2163" t="s">
        <v>3181</v>
      </c>
      <c r="O339" s="2191">
        <v>0.247</v>
      </c>
      <c r="P339" s="2191">
        <f>O339*H339</f>
        <v>1.6017950000000001</v>
      </c>
      <c r="Q339" s="2191">
        <v>2.6900000000000001E-3</v>
      </c>
      <c r="R339" s="2191">
        <f>Q339*H339</f>
        <v>1.7444650000000003E-2</v>
      </c>
      <c r="S339" s="2191">
        <v>0</v>
      </c>
      <c r="T339" s="2192">
        <f>S339*H339</f>
        <v>0</v>
      </c>
      <c r="AR339" s="2193" t="s">
        <v>856</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856</v>
      </c>
      <c r="BM339" s="2193" t="s">
        <v>3475</v>
      </c>
    </row>
    <row r="340" spans="2:65" s="2195" customFormat="1">
      <c r="B340" s="2196"/>
      <c r="D340" s="2197" t="s">
        <v>3303</v>
      </c>
      <c r="E340" s="2198" t="s">
        <v>3146</v>
      </c>
      <c r="F340" s="2199" t="s">
        <v>3476</v>
      </c>
      <c r="H340" s="2198" t="s">
        <v>3146</v>
      </c>
      <c r="L340" s="2196"/>
      <c r="M340" s="2200"/>
      <c r="T340" s="2201"/>
      <c r="AT340" s="2198" t="s">
        <v>3303</v>
      </c>
      <c r="AU340" s="2198" t="s">
        <v>134</v>
      </c>
      <c r="AV340" s="2195" t="s">
        <v>133</v>
      </c>
      <c r="AW340" s="2195" t="s">
        <v>3171</v>
      </c>
      <c r="AX340" s="2195" t="s">
        <v>3213</v>
      </c>
      <c r="AY340" s="2198" t="s">
        <v>3285</v>
      </c>
    </row>
    <row r="341" spans="2:65" s="2209" customFormat="1">
      <c r="B341" s="2210"/>
      <c r="D341" s="2197" t="s">
        <v>3303</v>
      </c>
      <c r="E341" s="2211" t="s">
        <v>3146</v>
      </c>
      <c r="F341" s="2212" t="s">
        <v>3477</v>
      </c>
      <c r="H341" s="2213">
        <v>0.14000000000000001</v>
      </c>
      <c r="L341" s="2210"/>
      <c r="M341" s="2214"/>
      <c r="T341" s="2215"/>
      <c r="AT341" s="2211" t="s">
        <v>3303</v>
      </c>
      <c r="AU341" s="2211" t="s">
        <v>134</v>
      </c>
      <c r="AV341" s="2209" t="s">
        <v>134</v>
      </c>
      <c r="AW341" s="2209" t="s">
        <v>3171</v>
      </c>
      <c r="AX341" s="2209" t="s">
        <v>3213</v>
      </c>
      <c r="AY341" s="2211" t="s">
        <v>3285</v>
      </c>
    </row>
    <row r="342" spans="2:65" s="2209" customFormat="1">
      <c r="B342" s="2210"/>
      <c r="D342" s="2197" t="s">
        <v>3303</v>
      </c>
      <c r="E342" s="2211" t="s">
        <v>3146</v>
      </c>
      <c r="F342" s="2212" t="s">
        <v>3478</v>
      </c>
      <c r="H342" s="2213">
        <v>0.15</v>
      </c>
      <c r="L342" s="2210"/>
      <c r="M342" s="2214"/>
      <c r="T342" s="2215"/>
      <c r="AT342" s="2211" t="s">
        <v>3303</v>
      </c>
      <c r="AU342" s="2211" t="s">
        <v>134</v>
      </c>
      <c r="AV342" s="2209" t="s">
        <v>134</v>
      </c>
      <c r="AW342" s="2209" t="s">
        <v>3171</v>
      </c>
      <c r="AX342" s="2209" t="s">
        <v>3213</v>
      </c>
      <c r="AY342" s="2211" t="s">
        <v>3285</v>
      </c>
    </row>
    <row r="343" spans="2:65" s="2209" customFormat="1">
      <c r="B343" s="2210"/>
      <c r="D343" s="2197" t="s">
        <v>3303</v>
      </c>
      <c r="E343" s="2211" t="s">
        <v>3146</v>
      </c>
      <c r="F343" s="2212" t="s">
        <v>3479</v>
      </c>
      <c r="H343" s="2213">
        <v>7.4999999999999997E-2</v>
      </c>
      <c r="L343" s="2210"/>
      <c r="M343" s="2214"/>
      <c r="T343" s="2215"/>
      <c r="AT343" s="2211" t="s">
        <v>3303</v>
      </c>
      <c r="AU343" s="2211" t="s">
        <v>134</v>
      </c>
      <c r="AV343" s="2209" t="s">
        <v>134</v>
      </c>
      <c r="AW343" s="2209" t="s">
        <v>3171</v>
      </c>
      <c r="AX343" s="2209" t="s">
        <v>3213</v>
      </c>
      <c r="AY343" s="2211" t="s">
        <v>3285</v>
      </c>
    </row>
    <row r="344" spans="2:65" s="2209" customFormat="1">
      <c r="B344" s="2210"/>
      <c r="D344" s="2197" t="s">
        <v>3303</v>
      </c>
      <c r="E344" s="2211" t="s">
        <v>3146</v>
      </c>
      <c r="F344" s="2212" t="s">
        <v>3480</v>
      </c>
      <c r="H344" s="2213">
        <v>6.12</v>
      </c>
      <c r="L344" s="2210"/>
      <c r="M344" s="2214"/>
      <c r="T344" s="2215"/>
      <c r="AT344" s="2211" t="s">
        <v>3303</v>
      </c>
      <c r="AU344" s="2211" t="s">
        <v>134</v>
      </c>
      <c r="AV344" s="2209" t="s">
        <v>134</v>
      </c>
      <c r="AW344" s="2209" t="s">
        <v>3171</v>
      </c>
      <c r="AX344" s="2209" t="s">
        <v>3213</v>
      </c>
      <c r="AY344" s="2211" t="s">
        <v>3285</v>
      </c>
    </row>
    <row r="345" spans="2:65" s="2202" customFormat="1">
      <c r="B345" s="2203"/>
      <c r="D345" s="2197" t="s">
        <v>3303</v>
      </c>
      <c r="E345" s="2204" t="s">
        <v>3146</v>
      </c>
      <c r="F345" s="2205" t="s">
        <v>3305</v>
      </c>
      <c r="H345" s="2206">
        <v>6.4850000000000003</v>
      </c>
      <c r="L345" s="2203"/>
      <c r="M345" s="2207"/>
      <c r="T345" s="2208"/>
      <c r="AT345" s="2204" t="s">
        <v>3303</v>
      </c>
      <c r="AU345" s="2204" t="s">
        <v>134</v>
      </c>
      <c r="AV345" s="2202" t="s">
        <v>854</v>
      </c>
      <c r="AW345" s="2202" t="s">
        <v>3171</v>
      </c>
      <c r="AX345" s="2202" t="s">
        <v>133</v>
      </c>
      <c r="AY345" s="2204" t="s">
        <v>3285</v>
      </c>
    </row>
    <row r="346" spans="2:65" s="2070" customFormat="1" ht="16.5" customHeight="1">
      <c r="B346" s="2164"/>
      <c r="C346" s="5561" t="s">
        <v>2420</v>
      </c>
      <c r="D346" s="5561" t="s">
        <v>3286</v>
      </c>
      <c r="E346" s="5567" t="s">
        <v>5993</v>
      </c>
      <c r="F346" s="5566" t="s">
        <v>5994</v>
      </c>
      <c r="G346" s="5570" t="s">
        <v>611</v>
      </c>
      <c r="H346" s="5568">
        <f>H339</f>
        <v>6.4850000000000003</v>
      </c>
      <c r="I346" s="5571"/>
      <c r="J346" s="5571">
        <f>ROUND(I346*H346,2)</f>
        <v>0</v>
      </c>
      <c r="K346" s="5566" t="s">
        <v>142</v>
      </c>
      <c r="L346" s="2071"/>
      <c r="M346" s="2190" t="s">
        <v>3146</v>
      </c>
      <c r="N346" s="2163" t="s">
        <v>3181</v>
      </c>
      <c r="O346" s="2191">
        <v>0.247</v>
      </c>
      <c r="P346" s="2191">
        <f>O346*H346</f>
        <v>1.6017950000000001</v>
      </c>
      <c r="Q346" s="2191">
        <v>2.6900000000000001E-3</v>
      </c>
      <c r="R346" s="2191">
        <f>Q346*H346</f>
        <v>1.7444650000000003E-2</v>
      </c>
      <c r="S346" s="2191">
        <v>0</v>
      </c>
      <c r="T346" s="2192">
        <f>S346*H346</f>
        <v>0</v>
      </c>
      <c r="AR346" s="2193" t="s">
        <v>856</v>
      </c>
      <c r="AT346" s="2193" t="s">
        <v>3286</v>
      </c>
      <c r="AU346" s="2193" t="s">
        <v>134</v>
      </c>
      <c r="AY346" s="2056" t="s">
        <v>3285</v>
      </c>
      <c r="BE346" s="2194">
        <f>IF(N346="základní",J346,0)</f>
        <v>0</v>
      </c>
      <c r="BF346" s="2194">
        <f>IF(N346="snížená",J346,0)</f>
        <v>0</v>
      </c>
      <c r="BG346" s="2194">
        <f>IF(N346="zákl. přenesená",J346,0)</f>
        <v>0</v>
      </c>
      <c r="BH346" s="2194">
        <f>IF(N346="sníž. přenesená",J346,0)</f>
        <v>0</v>
      </c>
      <c r="BI346" s="2194">
        <f>IF(N346="nulová",J346,0)</f>
        <v>0</v>
      </c>
      <c r="BJ346" s="2056" t="s">
        <v>134</v>
      </c>
      <c r="BK346" s="2194">
        <f>ROUND(I346*H346,2)</f>
        <v>0</v>
      </c>
      <c r="BL346" s="2056" t="s">
        <v>856</v>
      </c>
      <c r="BM346" s="2193" t="s">
        <v>3475</v>
      </c>
    </row>
    <row r="347" spans="2:65" s="2070" customFormat="1" ht="21.75" customHeight="1">
      <c r="B347" s="2164"/>
      <c r="C347" s="5561" t="s">
        <v>2421</v>
      </c>
      <c r="D347" s="5561" t="s">
        <v>3286</v>
      </c>
      <c r="E347" s="5567" t="s">
        <v>11693</v>
      </c>
      <c r="F347" s="5566" t="s">
        <v>11694</v>
      </c>
      <c r="G347" s="5570" t="s">
        <v>302</v>
      </c>
      <c r="H347" s="5568">
        <f>H348</f>
        <v>0.18080000000000002</v>
      </c>
      <c r="I347" s="5571"/>
      <c r="J347" s="5571">
        <f>ROUND(I347*H347,2)</f>
        <v>0</v>
      </c>
      <c r="K347" s="5566" t="s">
        <v>142</v>
      </c>
      <c r="L347" s="2071"/>
      <c r="M347" s="2190" t="s">
        <v>3146</v>
      </c>
      <c r="N347" s="2163" t="s">
        <v>3181</v>
      </c>
      <c r="O347" s="2191">
        <v>23.968</v>
      </c>
      <c r="P347" s="2191">
        <f>O347*H347</f>
        <v>4.3334144000000006</v>
      </c>
      <c r="Q347" s="2191">
        <v>1.0606199999999999</v>
      </c>
      <c r="R347" s="2191">
        <f>Q347*H347</f>
        <v>0.19176009599999999</v>
      </c>
      <c r="S347" s="2191">
        <v>0</v>
      </c>
      <c r="T347" s="2192">
        <f>S347*H347</f>
        <v>0</v>
      </c>
      <c r="AR347" s="2193" t="s">
        <v>856</v>
      </c>
      <c r="AT347" s="2193" t="s">
        <v>3286</v>
      </c>
      <c r="AU347" s="2193" t="s">
        <v>134</v>
      </c>
      <c r="AY347" s="2056" t="s">
        <v>3285</v>
      </c>
      <c r="BE347" s="2194">
        <f>IF(N347="základní",J347,0)</f>
        <v>0</v>
      </c>
      <c r="BF347" s="2194">
        <f>IF(N347="snížená",J347,0)</f>
        <v>0</v>
      </c>
      <c r="BG347" s="2194">
        <f>IF(N347="zákl. přenesená",J347,0)</f>
        <v>0</v>
      </c>
      <c r="BH347" s="2194">
        <f>IF(N347="sníž. přenesená",J347,0)</f>
        <v>0</v>
      </c>
      <c r="BI347" s="2194">
        <f>IF(N347="nulová",J347,0)</f>
        <v>0</v>
      </c>
      <c r="BJ347" s="2056" t="s">
        <v>134</v>
      </c>
      <c r="BK347" s="2194">
        <f>ROUND(I347*H347,2)</f>
        <v>0</v>
      </c>
      <c r="BL347" s="2056" t="s">
        <v>856</v>
      </c>
      <c r="BM347" s="2193" t="s">
        <v>3490</v>
      </c>
    </row>
    <row r="348" spans="2:65" s="2209" customFormat="1">
      <c r="B348" s="2210"/>
      <c r="D348" s="2197" t="s">
        <v>3303</v>
      </c>
      <c r="E348" s="2211" t="s">
        <v>3146</v>
      </c>
      <c r="F348" s="5560" t="s">
        <v>11716</v>
      </c>
      <c r="H348" s="5569">
        <f>(3.616)*50*0.001</f>
        <v>0.18080000000000002</v>
      </c>
      <c r="L348" s="2210"/>
      <c r="M348" s="2214"/>
      <c r="T348" s="2215"/>
      <c r="AT348" s="2211" t="s">
        <v>3303</v>
      </c>
      <c r="AU348" s="2211" t="s">
        <v>134</v>
      </c>
      <c r="AV348" s="2209" t="s">
        <v>134</v>
      </c>
      <c r="AW348" s="2209" t="s">
        <v>3171</v>
      </c>
      <c r="AX348" s="2209" t="s">
        <v>133</v>
      </c>
      <c r="AY348" s="2211" t="s">
        <v>3285</v>
      </c>
    </row>
    <row r="349" spans="2:65" s="2070" customFormat="1" ht="24.2" customHeight="1">
      <c r="B349" s="2164"/>
      <c r="C349" s="5561">
        <v>49</v>
      </c>
      <c r="D349" s="4608" t="s">
        <v>3286</v>
      </c>
      <c r="E349" s="5567" t="s">
        <v>11647</v>
      </c>
      <c r="F349" s="5566" t="s">
        <v>11648</v>
      </c>
      <c r="G349" s="4611" t="s">
        <v>221</v>
      </c>
      <c r="H349" s="4612">
        <v>3.36</v>
      </c>
      <c r="I349" s="4613"/>
      <c r="J349" s="4613">
        <f>ROUND(I349*H349,2)</f>
        <v>0</v>
      </c>
      <c r="K349" s="4610" t="s">
        <v>142</v>
      </c>
      <c r="L349" s="2071"/>
      <c r="M349" s="2190" t="s">
        <v>3146</v>
      </c>
      <c r="N349" s="2163" t="s">
        <v>3181</v>
      </c>
      <c r="O349" s="2191">
        <v>0.629</v>
      </c>
      <c r="P349" s="2191">
        <f>O349*H349</f>
        <v>2.1134399999999998</v>
      </c>
      <c r="Q349" s="2191">
        <v>2.5018699999999998</v>
      </c>
      <c r="R349" s="2191">
        <f>Q349*H349</f>
        <v>8.406283199999999</v>
      </c>
      <c r="S349" s="2191">
        <v>0</v>
      </c>
      <c r="T349" s="2192">
        <f>S349*H349</f>
        <v>0</v>
      </c>
      <c r="AR349" s="2193" t="s">
        <v>856</v>
      </c>
      <c r="AT349" s="2193" t="s">
        <v>3286</v>
      </c>
      <c r="AU349" s="2193" t="s">
        <v>134</v>
      </c>
      <c r="AY349" s="2056" t="s">
        <v>3285</v>
      </c>
      <c r="BE349" s="2194">
        <f>IF(N349="základní",J349,0)</f>
        <v>0</v>
      </c>
      <c r="BF349" s="2194">
        <f>IF(N349="snížená",J349,0)</f>
        <v>0</v>
      </c>
      <c r="BG349" s="2194">
        <f>IF(N349="zákl. přenesená",J349,0)</f>
        <v>0</v>
      </c>
      <c r="BH349" s="2194">
        <f>IF(N349="sníž. přenesená",J349,0)</f>
        <v>0</v>
      </c>
      <c r="BI349" s="2194">
        <f>IF(N349="nulová",J349,0)</f>
        <v>0</v>
      </c>
      <c r="BJ349" s="2056" t="s">
        <v>134</v>
      </c>
      <c r="BK349" s="2194">
        <f>ROUND(I349*H349,2)</f>
        <v>0</v>
      </c>
      <c r="BL349" s="2056" t="s">
        <v>856</v>
      </c>
      <c r="BM349" s="2193" t="s">
        <v>3481</v>
      </c>
    </row>
    <row r="350" spans="2:65" s="2209" customFormat="1">
      <c r="B350" s="2210"/>
      <c r="D350" s="2197" t="s">
        <v>3303</v>
      </c>
      <c r="E350" s="2211" t="s">
        <v>3146</v>
      </c>
      <c r="F350" s="2212" t="s">
        <v>3312</v>
      </c>
      <c r="H350" s="2213">
        <v>3.36</v>
      </c>
      <c r="L350" s="2210"/>
      <c r="M350" s="2214"/>
      <c r="T350" s="2215"/>
      <c r="AT350" s="2211" t="s">
        <v>3303</v>
      </c>
      <c r="AU350" s="2211" t="s">
        <v>134</v>
      </c>
      <c r="AV350" s="2209" t="s">
        <v>134</v>
      </c>
      <c r="AW350" s="2209" t="s">
        <v>3171</v>
      </c>
      <c r="AX350" s="2209" t="s">
        <v>133</v>
      </c>
      <c r="AY350" s="2211" t="s">
        <v>3285</v>
      </c>
    </row>
    <row r="351" spans="2:65" s="2070" customFormat="1" ht="16.5" customHeight="1">
      <c r="B351" s="2164"/>
      <c r="C351" s="4608">
        <v>50</v>
      </c>
      <c r="D351" s="4608" t="s">
        <v>3286</v>
      </c>
      <c r="E351" s="4609" t="s">
        <v>3483</v>
      </c>
      <c r="F351" s="4610" t="s">
        <v>2276</v>
      </c>
      <c r="G351" s="4611" t="s">
        <v>611</v>
      </c>
      <c r="H351" s="4612">
        <v>10.4</v>
      </c>
      <c r="I351" s="4613"/>
      <c r="J351" s="4613">
        <f>ROUND(I351*H351,2)</f>
        <v>0</v>
      </c>
      <c r="K351" s="4610" t="s">
        <v>142</v>
      </c>
      <c r="L351" s="2071"/>
      <c r="M351" s="2190" t="s">
        <v>3146</v>
      </c>
      <c r="N351" s="2163" t="s">
        <v>3181</v>
      </c>
      <c r="O351" s="2191">
        <v>0.27400000000000002</v>
      </c>
      <c r="P351" s="2191">
        <f>O351*H351</f>
        <v>2.8496000000000001</v>
      </c>
      <c r="Q351" s="2191">
        <v>2.64E-3</v>
      </c>
      <c r="R351" s="2191">
        <f>Q351*H351</f>
        <v>2.7456000000000001E-2</v>
      </c>
      <c r="S351" s="2191">
        <v>0</v>
      </c>
      <c r="T351" s="2192">
        <f>S351*H351</f>
        <v>0</v>
      </c>
      <c r="AR351" s="2193" t="s">
        <v>856</v>
      </c>
      <c r="AT351" s="2193" t="s">
        <v>3286</v>
      </c>
      <c r="AU351" s="2193" t="s">
        <v>134</v>
      </c>
      <c r="AY351" s="2056" t="s">
        <v>3285</v>
      </c>
      <c r="BE351" s="2194">
        <f>IF(N351="základní",J351,0)</f>
        <v>0</v>
      </c>
      <c r="BF351" s="2194">
        <f>IF(N351="snížená",J351,0)</f>
        <v>0</v>
      </c>
      <c r="BG351" s="2194">
        <f>IF(N351="zákl. přenesená",J351,0)</f>
        <v>0</v>
      </c>
      <c r="BH351" s="2194">
        <f>IF(N351="sníž. přenesená",J351,0)</f>
        <v>0</v>
      </c>
      <c r="BI351" s="2194">
        <f>IF(N351="nulová",J351,0)</f>
        <v>0</v>
      </c>
      <c r="BJ351" s="2056" t="s">
        <v>134</v>
      </c>
      <c r="BK351" s="2194">
        <f>ROUND(I351*H351,2)</f>
        <v>0</v>
      </c>
      <c r="BL351" s="2056" t="s">
        <v>856</v>
      </c>
      <c r="BM351" s="2193" t="s">
        <v>3484</v>
      </c>
    </row>
    <row r="352" spans="2:65" s="2070" customFormat="1" ht="16.5" customHeight="1">
      <c r="B352" s="2164"/>
      <c r="C352" s="4608">
        <v>51</v>
      </c>
      <c r="D352" s="4608" t="s">
        <v>3286</v>
      </c>
      <c r="E352" s="4609" t="s">
        <v>3486</v>
      </c>
      <c r="F352" s="4610" t="s">
        <v>2278</v>
      </c>
      <c r="G352" s="4611" t="s">
        <v>611</v>
      </c>
      <c r="H352" s="4612">
        <v>10.4</v>
      </c>
      <c r="I352" s="4613"/>
      <c r="J352" s="4613">
        <f>ROUND(I352*H352,2)</f>
        <v>0</v>
      </c>
      <c r="K352" s="4610" t="s">
        <v>142</v>
      </c>
      <c r="L352" s="2071"/>
      <c r="M352" s="2190" t="s">
        <v>3146</v>
      </c>
      <c r="N352" s="2163" t="s">
        <v>3181</v>
      </c>
      <c r="O352" s="2191">
        <v>9.1999999999999998E-2</v>
      </c>
      <c r="P352" s="2191">
        <f>O352*H352</f>
        <v>0.95679999999999998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3487</v>
      </c>
    </row>
    <row r="353" spans="2:65" s="2070" customFormat="1" ht="21.75" customHeight="1">
      <c r="B353" s="2164"/>
      <c r="C353" s="4608">
        <v>52</v>
      </c>
      <c r="D353" s="4608" t="s">
        <v>3286</v>
      </c>
      <c r="E353" s="4609" t="s">
        <v>3488</v>
      </c>
      <c r="F353" s="4610" t="s">
        <v>3489</v>
      </c>
      <c r="G353" s="4611" t="s">
        <v>302</v>
      </c>
      <c r="H353" s="4612">
        <v>0.16800000000000001</v>
      </c>
      <c r="I353" s="4613"/>
      <c r="J353" s="4613">
        <f>ROUND(I353*H353,2)</f>
        <v>0</v>
      </c>
      <c r="K353" s="4610" t="s">
        <v>142</v>
      </c>
      <c r="L353" s="2071"/>
      <c r="M353" s="2190" t="s">
        <v>3146</v>
      </c>
      <c r="N353" s="2163" t="s">
        <v>3181</v>
      </c>
      <c r="O353" s="2191">
        <v>23.968</v>
      </c>
      <c r="P353" s="2191">
        <f>O353*H353</f>
        <v>4.026624</v>
      </c>
      <c r="Q353" s="2191">
        <v>1.0606199999999999</v>
      </c>
      <c r="R353" s="2191">
        <f>Q353*H353</f>
        <v>0.17818415999999998</v>
      </c>
      <c r="S353" s="2191">
        <v>0</v>
      </c>
      <c r="T353" s="2192">
        <f>S353*H353</f>
        <v>0</v>
      </c>
      <c r="AR353" s="2193" t="s">
        <v>856</v>
      </c>
      <c r="AT353" s="2193" t="s">
        <v>3286</v>
      </c>
      <c r="AU353" s="2193" t="s">
        <v>134</v>
      </c>
      <c r="AY353" s="2056" t="s">
        <v>3285</v>
      </c>
      <c r="BE353" s="2194">
        <f>IF(N353="základní",J353,0)</f>
        <v>0</v>
      </c>
      <c r="BF353" s="2194">
        <f>IF(N353="snížená",J353,0)</f>
        <v>0</v>
      </c>
      <c r="BG353" s="2194">
        <f>IF(N353="zákl. přenesená",J353,0)</f>
        <v>0</v>
      </c>
      <c r="BH353" s="2194">
        <f>IF(N353="sníž. přenesená",J353,0)</f>
        <v>0</v>
      </c>
      <c r="BI353" s="2194">
        <f>IF(N353="nulová",J353,0)</f>
        <v>0</v>
      </c>
      <c r="BJ353" s="2056" t="s">
        <v>134</v>
      </c>
      <c r="BK353" s="2194">
        <f>ROUND(I353*H353,2)</f>
        <v>0</v>
      </c>
      <c r="BL353" s="2056" t="s">
        <v>856</v>
      </c>
      <c r="BM353" s="2193" t="s">
        <v>3490</v>
      </c>
    </row>
    <row r="354" spans="2:65" s="2209" customFormat="1">
      <c r="B354" s="2210"/>
      <c r="D354" s="2197" t="s">
        <v>3303</v>
      </c>
      <c r="E354" s="2211" t="s">
        <v>3146</v>
      </c>
      <c r="F354" s="2212" t="s">
        <v>3491</v>
      </c>
      <c r="H354" s="2213">
        <v>0.16800000000000001</v>
      </c>
      <c r="L354" s="2210"/>
      <c r="M354" s="2214"/>
      <c r="T354" s="2215"/>
      <c r="AT354" s="2211" t="s">
        <v>3303</v>
      </c>
      <c r="AU354" s="2211" t="s">
        <v>134</v>
      </c>
      <c r="AV354" s="2209" t="s">
        <v>134</v>
      </c>
      <c r="AW354" s="2209" t="s">
        <v>3171</v>
      </c>
      <c r="AX354" s="2209" t="s">
        <v>133</v>
      </c>
      <c r="AY354" s="2211" t="s">
        <v>3285</v>
      </c>
    </row>
    <row r="355" spans="2:65" s="2070" customFormat="1" ht="24.2" customHeight="1">
      <c r="B355" s="2164"/>
      <c r="C355" s="4608">
        <v>53</v>
      </c>
      <c r="D355" s="4608" t="s">
        <v>3286</v>
      </c>
      <c r="E355" s="4609" t="s">
        <v>3492</v>
      </c>
      <c r="F355" s="4610" t="s">
        <v>3493</v>
      </c>
      <c r="G355" s="4611" t="s">
        <v>221</v>
      </c>
      <c r="H355" s="4612">
        <v>7.6619999999999999</v>
      </c>
      <c r="I355" s="4613"/>
      <c r="J355" s="4613">
        <f>ROUND(I355*H355,2)</f>
        <v>0</v>
      </c>
      <c r="K355" s="4610" t="s">
        <v>142</v>
      </c>
      <c r="L355" s="2071"/>
      <c r="M355" s="2190" t="s">
        <v>3146</v>
      </c>
      <c r="N355" s="2163" t="s">
        <v>3181</v>
      </c>
      <c r="O355" s="2191">
        <v>0.73499999999999999</v>
      </c>
      <c r="P355" s="2191">
        <f>O355*H355</f>
        <v>5.63157</v>
      </c>
      <c r="Q355" s="2191">
        <v>2.5018699999999998</v>
      </c>
      <c r="R355" s="2191">
        <f>Q355*H355</f>
        <v>19.169327939999999</v>
      </c>
      <c r="S355" s="2191">
        <v>0</v>
      </c>
      <c r="T355" s="2192">
        <f>S355*H355</f>
        <v>0</v>
      </c>
      <c r="AR355" s="2193" t="s">
        <v>856</v>
      </c>
      <c r="AT355" s="2193" t="s">
        <v>3286</v>
      </c>
      <c r="AU355" s="2193" t="s">
        <v>134</v>
      </c>
      <c r="AY355" s="2056" t="s">
        <v>3285</v>
      </c>
      <c r="BE355" s="2194">
        <f>IF(N355="základní",J355,0)</f>
        <v>0</v>
      </c>
      <c r="BF355" s="2194">
        <f>IF(N355="snížená",J355,0)</f>
        <v>0</v>
      </c>
      <c r="BG355" s="2194">
        <f>IF(N355="zákl. přenesená",J355,0)</f>
        <v>0</v>
      </c>
      <c r="BH355" s="2194">
        <f>IF(N355="sníž. přenesená",J355,0)</f>
        <v>0</v>
      </c>
      <c r="BI355" s="2194">
        <f>IF(N355="nulová",J355,0)</f>
        <v>0</v>
      </c>
      <c r="BJ355" s="2056" t="s">
        <v>134</v>
      </c>
      <c r="BK355" s="2194">
        <f>ROUND(I355*H355,2)</f>
        <v>0</v>
      </c>
      <c r="BL355" s="2056" t="s">
        <v>856</v>
      </c>
      <c r="BM355" s="2193" t="s">
        <v>3494</v>
      </c>
    </row>
    <row r="356" spans="2:65" s="2195" customFormat="1">
      <c r="B356" s="2196"/>
      <c r="D356" s="2197" t="s">
        <v>3303</v>
      </c>
      <c r="E356" s="2198" t="s">
        <v>3146</v>
      </c>
      <c r="F356" s="2199" t="s">
        <v>3495</v>
      </c>
      <c r="H356" s="2198" t="s">
        <v>3146</v>
      </c>
      <c r="L356" s="2196"/>
      <c r="M356" s="2200"/>
      <c r="T356" s="2201"/>
      <c r="AT356" s="2198" t="s">
        <v>3303</v>
      </c>
      <c r="AU356" s="2198" t="s">
        <v>134</v>
      </c>
      <c r="AV356" s="2195" t="s">
        <v>133</v>
      </c>
      <c r="AW356" s="2195" t="s">
        <v>3171</v>
      </c>
      <c r="AX356" s="2195" t="s">
        <v>3213</v>
      </c>
      <c r="AY356" s="2198" t="s">
        <v>3285</v>
      </c>
    </row>
    <row r="357" spans="2:65" s="2209" customFormat="1">
      <c r="B357" s="2210"/>
      <c r="D357" s="2197" t="s">
        <v>3303</v>
      </c>
      <c r="E357" s="2211" t="s">
        <v>3146</v>
      </c>
      <c r="F357" s="2212" t="s">
        <v>3496</v>
      </c>
      <c r="H357" s="2213">
        <v>7.6619999999999999</v>
      </c>
      <c r="L357" s="2210"/>
      <c r="M357" s="2214"/>
      <c r="T357" s="2215"/>
      <c r="AT357" s="2211" t="s">
        <v>3303</v>
      </c>
      <c r="AU357" s="2211" t="s">
        <v>134</v>
      </c>
      <c r="AV357" s="2209" t="s">
        <v>134</v>
      </c>
      <c r="AW357" s="2209" t="s">
        <v>3171</v>
      </c>
      <c r="AX357" s="2209" t="s">
        <v>3213</v>
      </c>
      <c r="AY357" s="2211" t="s">
        <v>3285</v>
      </c>
    </row>
    <row r="358" spans="2:65" s="2216" customFormat="1">
      <c r="B358" s="2217"/>
      <c r="D358" s="2197" t="s">
        <v>3303</v>
      </c>
      <c r="E358" s="2218" t="s">
        <v>3146</v>
      </c>
      <c r="F358" s="2219" t="s">
        <v>3306</v>
      </c>
      <c r="H358" s="2220">
        <v>7.6619999999999999</v>
      </c>
      <c r="L358" s="2217"/>
      <c r="M358" s="2221"/>
      <c r="T358" s="2222"/>
      <c r="AT358" s="2218" t="s">
        <v>3303</v>
      </c>
      <c r="AU358" s="2218" t="s">
        <v>134</v>
      </c>
      <c r="AV358" s="2216" t="s">
        <v>856</v>
      </c>
      <c r="AW358" s="2216" t="s">
        <v>3171</v>
      </c>
      <c r="AX358" s="2216" t="s">
        <v>133</v>
      </c>
      <c r="AY358" s="2218" t="s">
        <v>3285</v>
      </c>
    </row>
    <row r="359" spans="2:65" s="2070" customFormat="1" ht="16.5" customHeight="1">
      <c r="B359" s="2164"/>
      <c r="C359" s="4608">
        <v>54</v>
      </c>
      <c r="D359" s="4608" t="s">
        <v>3286</v>
      </c>
      <c r="E359" s="4609" t="s">
        <v>3498</v>
      </c>
      <c r="F359" s="4610" t="s">
        <v>3499</v>
      </c>
      <c r="G359" s="4611" t="s">
        <v>611</v>
      </c>
      <c r="H359" s="4612">
        <v>55.863999999999997</v>
      </c>
      <c r="I359" s="4613"/>
      <c r="J359" s="4613">
        <f>ROUND(I359*H359,2)</f>
        <v>0</v>
      </c>
      <c r="K359" s="4610" t="s">
        <v>142</v>
      </c>
      <c r="L359" s="2071"/>
      <c r="M359" s="2190" t="s">
        <v>3146</v>
      </c>
      <c r="N359" s="2163" t="s">
        <v>3181</v>
      </c>
      <c r="O359" s="2191">
        <v>0.51800000000000002</v>
      </c>
      <c r="P359" s="2191">
        <f>O359*H359</f>
        <v>28.937552</v>
      </c>
      <c r="Q359" s="2191">
        <v>2.7499999999999998E-3</v>
      </c>
      <c r="R359" s="2191">
        <f>Q359*H359</f>
        <v>0.15362599999999998</v>
      </c>
      <c r="S359" s="2191">
        <v>0</v>
      </c>
      <c r="T359" s="2192">
        <f>S359*H359</f>
        <v>0</v>
      </c>
      <c r="AR359" s="2193" t="s">
        <v>856</v>
      </c>
      <c r="AT359" s="2193" t="s">
        <v>3286</v>
      </c>
      <c r="AU359" s="2193" t="s">
        <v>134</v>
      </c>
      <c r="AY359" s="2056" t="s">
        <v>3285</v>
      </c>
      <c r="BE359" s="2194">
        <f>IF(N359="základní",J359,0)</f>
        <v>0</v>
      </c>
      <c r="BF359" s="2194">
        <f>IF(N359="snížená",J359,0)</f>
        <v>0</v>
      </c>
      <c r="BG359" s="2194">
        <f>IF(N359="zákl. přenesená",J359,0)</f>
        <v>0</v>
      </c>
      <c r="BH359" s="2194">
        <f>IF(N359="sníž. přenesená",J359,0)</f>
        <v>0</v>
      </c>
      <c r="BI359" s="2194">
        <f>IF(N359="nulová",J359,0)</f>
        <v>0</v>
      </c>
      <c r="BJ359" s="2056" t="s">
        <v>134</v>
      </c>
      <c r="BK359" s="2194">
        <f>ROUND(I359*H359,2)</f>
        <v>0</v>
      </c>
      <c r="BL359" s="2056" t="s">
        <v>856</v>
      </c>
      <c r="BM359" s="2193" t="s">
        <v>3500</v>
      </c>
    </row>
    <row r="360" spans="2:65" s="2195" customFormat="1">
      <c r="B360" s="2196"/>
      <c r="D360" s="2197" t="s">
        <v>3303</v>
      </c>
      <c r="E360" s="2198" t="s">
        <v>3146</v>
      </c>
      <c r="F360" s="2199" t="s">
        <v>3495</v>
      </c>
      <c r="H360" s="2198" t="s">
        <v>3146</v>
      </c>
      <c r="L360" s="2196"/>
      <c r="M360" s="2200"/>
      <c r="T360" s="2201"/>
      <c r="AT360" s="2198" t="s">
        <v>3303</v>
      </c>
      <c r="AU360" s="2198" t="s">
        <v>134</v>
      </c>
      <c r="AV360" s="2195" t="s">
        <v>133</v>
      </c>
      <c r="AW360" s="2195" t="s">
        <v>3171</v>
      </c>
      <c r="AX360" s="2195" t="s">
        <v>3213</v>
      </c>
      <c r="AY360" s="2198" t="s">
        <v>3285</v>
      </c>
    </row>
    <row r="361" spans="2:65" s="2209" customFormat="1">
      <c r="B361" s="2210"/>
      <c r="D361" s="2197" t="s">
        <v>3303</v>
      </c>
      <c r="E361" s="2211" t="s">
        <v>3146</v>
      </c>
      <c r="F361" s="2212" t="s">
        <v>3501</v>
      </c>
      <c r="H361" s="2213">
        <v>55.863999999999997</v>
      </c>
      <c r="L361" s="2210"/>
      <c r="M361" s="2214"/>
      <c r="T361" s="2215"/>
      <c r="AT361" s="2211" t="s">
        <v>3303</v>
      </c>
      <c r="AU361" s="2211" t="s">
        <v>134</v>
      </c>
      <c r="AV361" s="2209" t="s">
        <v>134</v>
      </c>
      <c r="AW361" s="2209" t="s">
        <v>3171</v>
      </c>
      <c r="AX361" s="2209" t="s">
        <v>3213</v>
      </c>
      <c r="AY361" s="2211" t="s">
        <v>3285</v>
      </c>
    </row>
    <row r="362" spans="2:65" s="2216" customFormat="1">
      <c r="B362" s="2217"/>
      <c r="D362" s="2197" t="s">
        <v>3303</v>
      </c>
      <c r="E362" s="2218" t="s">
        <v>3146</v>
      </c>
      <c r="F362" s="2219" t="s">
        <v>3306</v>
      </c>
      <c r="H362" s="2220">
        <v>55.863999999999997</v>
      </c>
      <c r="L362" s="2217"/>
      <c r="M362" s="2221"/>
      <c r="T362" s="2222"/>
      <c r="AT362" s="2218" t="s">
        <v>3303</v>
      </c>
      <c r="AU362" s="2218" t="s">
        <v>134</v>
      </c>
      <c r="AV362" s="2216" t="s">
        <v>856</v>
      </c>
      <c r="AW362" s="2216" t="s">
        <v>3171</v>
      </c>
      <c r="AX362" s="2216" t="s">
        <v>133</v>
      </c>
      <c r="AY362" s="2218" t="s">
        <v>3285</v>
      </c>
    </row>
    <row r="363" spans="2:65" s="2070" customFormat="1" ht="21.75" customHeight="1">
      <c r="B363" s="2164"/>
      <c r="C363" s="4608">
        <v>55</v>
      </c>
      <c r="D363" s="4608" t="s">
        <v>3286</v>
      </c>
      <c r="E363" s="4609" t="s">
        <v>3503</v>
      </c>
      <c r="F363" s="4610" t="s">
        <v>3504</v>
      </c>
      <c r="G363" s="4611" t="s">
        <v>611</v>
      </c>
      <c r="H363" s="4612">
        <v>55.863999999999997</v>
      </c>
      <c r="I363" s="4613"/>
      <c r="J363" s="4613">
        <f>ROUND(I363*H363,2)</f>
        <v>0</v>
      </c>
      <c r="K363" s="4610" t="s">
        <v>142</v>
      </c>
      <c r="L363" s="2071"/>
      <c r="M363" s="2190" t="s">
        <v>3146</v>
      </c>
      <c r="N363" s="2163" t="s">
        <v>3181</v>
      </c>
      <c r="O363" s="2191">
        <v>0.17699999999999999</v>
      </c>
      <c r="P363" s="2191">
        <f>O363*H363</f>
        <v>9.8879279999999987</v>
      </c>
      <c r="Q363" s="2191">
        <v>0</v>
      </c>
      <c r="R363" s="2191">
        <f>Q363*H363</f>
        <v>0</v>
      </c>
      <c r="S363" s="2191">
        <v>0</v>
      </c>
      <c r="T363" s="2192">
        <f>S363*H363</f>
        <v>0</v>
      </c>
      <c r="AR363" s="2193" t="s">
        <v>856</v>
      </c>
      <c r="AT363" s="2193" t="s">
        <v>3286</v>
      </c>
      <c r="AU363" s="2193" t="s">
        <v>134</v>
      </c>
      <c r="AY363" s="2056" t="s">
        <v>3285</v>
      </c>
      <c r="BE363" s="2194">
        <f>IF(N363="základní",J363,0)</f>
        <v>0</v>
      </c>
      <c r="BF363" s="2194">
        <f>IF(N363="snížená",J363,0)</f>
        <v>0</v>
      </c>
      <c r="BG363" s="2194">
        <f>IF(N363="zákl. přenesená",J363,0)</f>
        <v>0</v>
      </c>
      <c r="BH363" s="2194">
        <f>IF(N363="sníž. přenesená",J363,0)</f>
        <v>0</v>
      </c>
      <c r="BI363" s="2194">
        <f>IF(N363="nulová",J363,0)</f>
        <v>0</v>
      </c>
      <c r="BJ363" s="2056" t="s">
        <v>134</v>
      </c>
      <c r="BK363" s="2194">
        <f>ROUND(I363*H363,2)</f>
        <v>0</v>
      </c>
      <c r="BL363" s="2056" t="s">
        <v>856</v>
      </c>
      <c r="BM363" s="2193" t="s">
        <v>3505</v>
      </c>
    </row>
    <row r="364" spans="2:65" s="2070" customFormat="1" ht="24.2" customHeight="1">
      <c r="B364" s="2164"/>
      <c r="C364" s="4608">
        <v>56</v>
      </c>
      <c r="D364" s="4608" t="s">
        <v>3286</v>
      </c>
      <c r="E364" s="4609" t="s">
        <v>3506</v>
      </c>
      <c r="F364" s="4610" t="s">
        <v>3507</v>
      </c>
      <c r="G364" s="4611" t="s">
        <v>302</v>
      </c>
      <c r="H364" s="4612">
        <v>0.84299999999999997</v>
      </c>
      <c r="I364" s="4613"/>
      <c r="J364" s="4613">
        <f>ROUND(I364*H364,2)</f>
        <v>0</v>
      </c>
      <c r="K364" s="4610" t="s">
        <v>142</v>
      </c>
      <c r="L364" s="2071"/>
      <c r="M364" s="2190" t="s">
        <v>3146</v>
      </c>
      <c r="N364" s="2163" t="s">
        <v>3181</v>
      </c>
      <c r="O364" s="2191">
        <v>22.491</v>
      </c>
      <c r="P364" s="2191">
        <f>O364*H364</f>
        <v>18.959913</v>
      </c>
      <c r="Q364" s="2191">
        <v>1.0593999999999999</v>
      </c>
      <c r="R364" s="2191">
        <f>Q364*H364</f>
        <v>0.89307419999999993</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3508</v>
      </c>
    </row>
    <row r="365" spans="2:65" s="2209" customFormat="1">
      <c r="B365" s="2210"/>
      <c r="D365" s="2197" t="s">
        <v>3303</v>
      </c>
      <c r="E365" s="2211" t="s">
        <v>3146</v>
      </c>
      <c r="F365" s="2212" t="s">
        <v>3509</v>
      </c>
      <c r="H365" s="2213">
        <v>0.84299999999999997</v>
      </c>
      <c r="L365" s="2210"/>
      <c r="M365" s="2214"/>
      <c r="T365" s="2215"/>
      <c r="AT365" s="2211" t="s">
        <v>3303</v>
      </c>
      <c r="AU365" s="2211" t="s">
        <v>134</v>
      </c>
      <c r="AV365" s="2209" t="s">
        <v>134</v>
      </c>
      <c r="AW365" s="2209" t="s">
        <v>3171</v>
      </c>
      <c r="AX365" s="2209" t="s">
        <v>133</v>
      </c>
      <c r="AY365" s="2211" t="s">
        <v>3285</v>
      </c>
    </row>
    <row r="366" spans="2:65" s="2070" customFormat="1" ht="24.2" customHeight="1">
      <c r="B366" s="2164"/>
      <c r="C366" s="4608">
        <v>57</v>
      </c>
      <c r="D366" s="4608" t="s">
        <v>3286</v>
      </c>
      <c r="E366" s="4609" t="s">
        <v>3510</v>
      </c>
      <c r="F366" s="4610" t="s">
        <v>3511</v>
      </c>
      <c r="G366" s="4611" t="s">
        <v>221</v>
      </c>
      <c r="H366" s="4612">
        <v>220</v>
      </c>
      <c r="I366" s="4613"/>
      <c r="J366" s="4613">
        <f>ROUND(I366*H366,2)</f>
        <v>0</v>
      </c>
      <c r="K366" s="4610" t="s">
        <v>142</v>
      </c>
      <c r="L366" s="2071"/>
      <c r="M366" s="2190" t="s">
        <v>3146</v>
      </c>
      <c r="N366" s="2163" t="s">
        <v>3181</v>
      </c>
      <c r="O366" s="2191">
        <v>0.185</v>
      </c>
      <c r="P366" s="2191">
        <f>O366*H366</f>
        <v>40.700000000000003</v>
      </c>
      <c r="Q366" s="2191">
        <v>1.9312499999999999</v>
      </c>
      <c r="R366" s="2191">
        <f>Q366*H366</f>
        <v>424.875</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3512</v>
      </c>
    </row>
    <row r="367" spans="2:65" s="2209" customFormat="1">
      <c r="B367" s="2210"/>
      <c r="D367" s="2197" t="s">
        <v>3303</v>
      </c>
      <c r="E367" s="2211" t="s">
        <v>3146</v>
      </c>
      <c r="F367" s="2212" t="s">
        <v>3513</v>
      </c>
      <c r="H367" s="2213">
        <v>220</v>
      </c>
      <c r="L367" s="2210"/>
      <c r="M367" s="2214"/>
      <c r="T367" s="2215"/>
      <c r="AT367" s="2211" t="s">
        <v>3303</v>
      </c>
      <c r="AU367" s="2211" t="s">
        <v>134</v>
      </c>
      <c r="AV367" s="2209" t="s">
        <v>134</v>
      </c>
      <c r="AW367" s="2209" t="s">
        <v>3171</v>
      </c>
      <c r="AX367" s="2209" t="s">
        <v>133</v>
      </c>
      <c r="AY367" s="2211" t="s">
        <v>3285</v>
      </c>
    </row>
    <row r="368" spans="2:65" s="2178" customFormat="1" ht="22.9" customHeight="1">
      <c r="B368" s="2179"/>
      <c r="D368" s="2180" t="s">
        <v>3212</v>
      </c>
      <c r="E368" s="2188" t="s">
        <v>854</v>
      </c>
      <c r="F368" s="2188" t="s">
        <v>2544</v>
      </c>
      <c r="J368" s="2189">
        <f>BK368</f>
        <v>0</v>
      </c>
      <c r="L368" s="2179"/>
      <c r="M368" s="2183"/>
      <c r="P368" s="2184">
        <f>SUM(P369:P441)</f>
        <v>9771.3769680000005</v>
      </c>
      <c r="R368" s="2184">
        <f>SUM(R369:R441)</f>
        <v>2082.9608918699996</v>
      </c>
      <c r="T368" s="2185">
        <f>SUM(T369:T441)</f>
        <v>0</v>
      </c>
      <c r="AR368" s="2180" t="s">
        <v>133</v>
      </c>
      <c r="AT368" s="2186" t="s">
        <v>3212</v>
      </c>
      <c r="AU368" s="2186" t="s">
        <v>133</v>
      </c>
      <c r="AY368" s="2180" t="s">
        <v>3285</v>
      </c>
      <c r="BK368" s="2187">
        <f>SUM(BK369:BK441)</f>
        <v>0</v>
      </c>
    </row>
    <row r="369" spans="2:65" s="2070" customFormat="1" ht="24.2" customHeight="1">
      <c r="B369" s="2164"/>
      <c r="C369" s="4608">
        <v>58</v>
      </c>
      <c r="D369" s="4608" t="s">
        <v>3286</v>
      </c>
      <c r="E369" s="4609" t="s">
        <v>10730</v>
      </c>
      <c r="F369" s="4610" t="s">
        <v>10731</v>
      </c>
      <c r="G369" s="4611" t="s">
        <v>221</v>
      </c>
      <c r="H369" s="4612">
        <v>2.3130000000000002</v>
      </c>
      <c r="I369" s="4613"/>
      <c r="J369" s="4613">
        <f>ROUND(I369*H369,2)</f>
        <v>0</v>
      </c>
      <c r="K369" s="4610" t="s">
        <v>142</v>
      </c>
      <c r="L369" s="2071"/>
      <c r="M369" s="2190" t="s">
        <v>3146</v>
      </c>
      <c r="N369" s="2163" t="s">
        <v>3181</v>
      </c>
      <c r="O369" s="2191">
        <v>3.8050000000000002</v>
      </c>
      <c r="P369" s="2191">
        <f>O369*H369</f>
        <v>8.8009650000000015</v>
      </c>
      <c r="Q369" s="2191">
        <v>1.6285000000000001</v>
      </c>
      <c r="R369" s="2191">
        <f>Q369*H369</f>
        <v>3.7667205000000004</v>
      </c>
      <c r="S369" s="2191">
        <v>0</v>
      </c>
      <c r="T369" s="2192">
        <f>S369*H369</f>
        <v>0</v>
      </c>
      <c r="AR369" s="2193" t="s">
        <v>856</v>
      </c>
      <c r="AT369" s="2193" t="s">
        <v>3286</v>
      </c>
      <c r="AU369" s="2193" t="s">
        <v>134</v>
      </c>
      <c r="AY369" s="2056" t="s">
        <v>3285</v>
      </c>
      <c r="BE369" s="2194">
        <f>IF(N369="základní",J369,0)</f>
        <v>0</v>
      </c>
      <c r="BF369" s="2194">
        <f>IF(N369="snížená",J369,0)</f>
        <v>0</v>
      </c>
      <c r="BG369" s="2194">
        <f>IF(N369="zákl. přenesená",J369,0)</f>
        <v>0</v>
      </c>
      <c r="BH369" s="2194">
        <f>IF(N369="sníž. přenesená",J369,0)</f>
        <v>0</v>
      </c>
      <c r="BI369" s="2194">
        <f>IF(N369="nulová",J369,0)</f>
        <v>0</v>
      </c>
      <c r="BJ369" s="2056" t="s">
        <v>134</v>
      </c>
      <c r="BK369" s="2194">
        <f>ROUND(I369*H369,2)</f>
        <v>0</v>
      </c>
      <c r="BL369" s="2056" t="s">
        <v>856</v>
      </c>
      <c r="BM369" s="2193" t="s">
        <v>10732</v>
      </c>
    </row>
    <row r="370" spans="2:65" s="2209" customFormat="1">
      <c r="B370" s="2210"/>
      <c r="D370" s="2197" t="s">
        <v>3303</v>
      </c>
      <c r="E370" s="2211" t="s">
        <v>3146</v>
      </c>
      <c r="F370" s="2212" t="s">
        <v>10733</v>
      </c>
      <c r="H370" s="2213">
        <v>2.3130000000000002</v>
      </c>
      <c r="L370" s="2210"/>
      <c r="M370" s="2214"/>
      <c r="T370" s="2215"/>
      <c r="AT370" s="2211" t="s">
        <v>3303</v>
      </c>
      <c r="AU370" s="2211" t="s">
        <v>134</v>
      </c>
      <c r="AV370" s="2209" t="s">
        <v>134</v>
      </c>
      <c r="AW370" s="2209" t="s">
        <v>3171</v>
      </c>
      <c r="AX370" s="2209" t="s">
        <v>3213</v>
      </c>
      <c r="AY370" s="2211" t="s">
        <v>3285</v>
      </c>
    </row>
    <row r="371" spans="2:65" s="2216" customFormat="1">
      <c r="B371" s="2217"/>
      <c r="D371" s="2197" t="s">
        <v>3303</v>
      </c>
      <c r="E371" s="2218" t="s">
        <v>3146</v>
      </c>
      <c r="F371" s="2219" t="s">
        <v>3306</v>
      </c>
      <c r="H371" s="2220">
        <v>2.3130000000000002</v>
      </c>
      <c r="L371" s="2217"/>
      <c r="M371" s="2221"/>
      <c r="T371" s="2222"/>
      <c r="AT371" s="2218" t="s">
        <v>3303</v>
      </c>
      <c r="AU371" s="2218" t="s">
        <v>134</v>
      </c>
      <c r="AV371" s="2216" t="s">
        <v>856</v>
      </c>
      <c r="AW371" s="2216" t="s">
        <v>3171</v>
      </c>
      <c r="AX371" s="2216" t="s">
        <v>133</v>
      </c>
      <c r="AY371" s="2218" t="s">
        <v>3285</v>
      </c>
    </row>
    <row r="372" spans="2:65" s="2070" customFormat="1" ht="33" customHeight="1">
      <c r="B372" s="2164"/>
      <c r="C372" s="4608">
        <v>59</v>
      </c>
      <c r="D372" s="4608" t="s">
        <v>3286</v>
      </c>
      <c r="E372" s="4609" t="s">
        <v>3514</v>
      </c>
      <c r="F372" s="4610" t="s">
        <v>3515</v>
      </c>
      <c r="G372" s="4611" t="s">
        <v>155</v>
      </c>
      <c r="H372" s="4612">
        <v>5</v>
      </c>
      <c r="I372" s="4613"/>
      <c r="J372" s="4613">
        <f>ROUND(I372*H372,2)</f>
        <v>0</v>
      </c>
      <c r="K372" s="4610" t="s">
        <v>142</v>
      </c>
      <c r="L372" s="2071"/>
      <c r="M372" s="2190" t="s">
        <v>3146</v>
      </c>
      <c r="N372" s="2163" t="s">
        <v>3181</v>
      </c>
      <c r="O372" s="2191">
        <v>0.254</v>
      </c>
      <c r="P372" s="2191">
        <f>O372*H372</f>
        <v>1.27</v>
      </c>
      <c r="Q372" s="2191">
        <v>5.2630000000000003E-2</v>
      </c>
      <c r="R372" s="2191">
        <f>Q372*H372</f>
        <v>0.26315</v>
      </c>
      <c r="S372" s="2191">
        <v>0</v>
      </c>
      <c r="T372" s="2192">
        <f>S372*H372</f>
        <v>0</v>
      </c>
      <c r="AR372" s="2193" t="s">
        <v>856</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856</v>
      </c>
      <c r="BM372" s="2193" t="s">
        <v>3516</v>
      </c>
    </row>
    <row r="373" spans="2:65" s="2195" customFormat="1">
      <c r="B373" s="2196"/>
      <c r="D373" s="2197" t="s">
        <v>3303</v>
      </c>
      <c r="E373" s="2198" t="s">
        <v>3146</v>
      </c>
      <c r="F373" s="2199" t="s">
        <v>3517</v>
      </c>
      <c r="H373" s="2198" t="s">
        <v>3146</v>
      </c>
      <c r="L373" s="2196"/>
      <c r="M373" s="2200"/>
      <c r="T373" s="2201"/>
      <c r="AT373" s="2198" t="s">
        <v>3303</v>
      </c>
      <c r="AU373" s="2198" t="s">
        <v>134</v>
      </c>
      <c r="AV373" s="2195" t="s">
        <v>133</v>
      </c>
      <c r="AW373" s="2195" t="s">
        <v>3171</v>
      </c>
      <c r="AX373" s="2195" t="s">
        <v>3213</v>
      </c>
      <c r="AY373" s="2198" t="s">
        <v>3285</v>
      </c>
    </row>
    <row r="374" spans="2:65" s="2195" customFormat="1">
      <c r="B374" s="2196"/>
      <c r="D374" s="2197" t="s">
        <v>3303</v>
      </c>
      <c r="E374" s="2198" t="s">
        <v>3146</v>
      </c>
      <c r="F374" s="2199" t="s">
        <v>3518</v>
      </c>
      <c r="H374" s="2198" t="s">
        <v>3146</v>
      </c>
      <c r="L374" s="2196"/>
      <c r="M374" s="2200"/>
      <c r="T374" s="2201"/>
      <c r="AT374" s="2198" t="s">
        <v>3303</v>
      </c>
      <c r="AU374" s="2198" t="s">
        <v>134</v>
      </c>
      <c r="AV374" s="2195" t="s">
        <v>133</v>
      </c>
      <c r="AW374" s="2195" t="s">
        <v>3171</v>
      </c>
      <c r="AX374" s="2195" t="s">
        <v>3213</v>
      </c>
      <c r="AY374" s="2198" t="s">
        <v>3285</v>
      </c>
    </row>
    <row r="375" spans="2:65" s="2209" customFormat="1">
      <c r="B375" s="2210"/>
      <c r="D375" s="2197" t="s">
        <v>3303</v>
      </c>
      <c r="E375" s="2211" t="s">
        <v>3146</v>
      </c>
      <c r="F375" s="2212" t="s">
        <v>133</v>
      </c>
      <c r="H375" s="2213">
        <v>1</v>
      </c>
      <c r="L375" s="2210"/>
      <c r="M375" s="2214"/>
      <c r="T375" s="2215"/>
      <c r="AT375" s="2211" t="s">
        <v>3303</v>
      </c>
      <c r="AU375" s="2211" t="s">
        <v>134</v>
      </c>
      <c r="AV375" s="2209" t="s">
        <v>134</v>
      </c>
      <c r="AW375" s="2209" t="s">
        <v>3171</v>
      </c>
      <c r="AX375" s="2209" t="s">
        <v>3213</v>
      </c>
      <c r="AY375" s="2211" t="s">
        <v>3285</v>
      </c>
    </row>
    <row r="376" spans="2:65" s="2195" customFormat="1">
      <c r="B376" s="2196"/>
      <c r="D376" s="2197" t="s">
        <v>3303</v>
      </c>
      <c r="E376" s="2198" t="s">
        <v>3146</v>
      </c>
      <c r="F376" s="2199" t="s">
        <v>3519</v>
      </c>
      <c r="H376" s="2198" t="s">
        <v>3146</v>
      </c>
      <c r="L376" s="2196"/>
      <c r="M376" s="2200"/>
      <c r="T376" s="2201"/>
      <c r="AT376" s="2198" t="s">
        <v>3303</v>
      </c>
      <c r="AU376" s="2198" t="s">
        <v>134</v>
      </c>
      <c r="AV376" s="2195" t="s">
        <v>133</v>
      </c>
      <c r="AW376" s="2195" t="s">
        <v>3171</v>
      </c>
      <c r="AX376" s="2195" t="s">
        <v>3213</v>
      </c>
      <c r="AY376" s="2198" t="s">
        <v>3285</v>
      </c>
    </row>
    <row r="377" spans="2:65" s="2209" customFormat="1">
      <c r="B377" s="2210"/>
      <c r="D377" s="2197" t="s">
        <v>3303</v>
      </c>
      <c r="E377" s="2211" t="s">
        <v>3146</v>
      </c>
      <c r="F377" s="2212" t="s">
        <v>856</v>
      </c>
      <c r="H377" s="2213">
        <v>4</v>
      </c>
      <c r="L377" s="2210"/>
      <c r="M377" s="2214"/>
      <c r="T377" s="2215"/>
      <c r="AT377" s="2211" t="s">
        <v>3303</v>
      </c>
      <c r="AU377" s="2211" t="s">
        <v>134</v>
      </c>
      <c r="AV377" s="2209" t="s">
        <v>134</v>
      </c>
      <c r="AW377" s="2209" t="s">
        <v>3171</v>
      </c>
      <c r="AX377" s="2209" t="s">
        <v>3213</v>
      </c>
      <c r="AY377" s="2211" t="s">
        <v>3285</v>
      </c>
    </row>
    <row r="378" spans="2:65" s="2216" customFormat="1">
      <c r="B378" s="2217"/>
      <c r="D378" s="2197" t="s">
        <v>3303</v>
      </c>
      <c r="E378" s="2218" t="s">
        <v>3146</v>
      </c>
      <c r="F378" s="2219" t="s">
        <v>3306</v>
      </c>
      <c r="H378" s="2220">
        <v>5</v>
      </c>
      <c r="L378" s="2217"/>
      <c r="M378" s="2221"/>
      <c r="T378" s="2222"/>
      <c r="AT378" s="2218" t="s">
        <v>3303</v>
      </c>
      <c r="AU378" s="2218" t="s">
        <v>134</v>
      </c>
      <c r="AV378" s="2216" t="s">
        <v>856</v>
      </c>
      <c r="AW378" s="2216" t="s">
        <v>3171</v>
      </c>
      <c r="AX378" s="2216" t="s">
        <v>133</v>
      </c>
      <c r="AY378" s="2218" t="s">
        <v>3285</v>
      </c>
    </row>
    <row r="379" spans="2:65" s="2070" customFormat="1" ht="33" customHeight="1">
      <c r="B379" s="2164"/>
      <c r="C379" s="4608">
        <v>60</v>
      </c>
      <c r="D379" s="4608" t="s">
        <v>3286</v>
      </c>
      <c r="E379" s="4609" t="s">
        <v>3520</v>
      </c>
      <c r="F379" s="4610" t="s">
        <v>3521</v>
      </c>
      <c r="G379" s="4611" t="s">
        <v>155</v>
      </c>
      <c r="H379" s="4612">
        <v>4</v>
      </c>
      <c r="I379" s="4613"/>
      <c r="J379" s="4613">
        <f>ROUND(I379*H379,2)</f>
        <v>0</v>
      </c>
      <c r="K379" s="4610" t="s">
        <v>142</v>
      </c>
      <c r="L379" s="2071"/>
      <c r="M379" s="2190" t="s">
        <v>3146</v>
      </c>
      <c r="N379" s="2163" t="s">
        <v>3181</v>
      </c>
      <c r="O379" s="2191">
        <v>0.36899999999999999</v>
      </c>
      <c r="P379" s="2191">
        <f>O379*H379</f>
        <v>1.476</v>
      </c>
      <c r="Q379" s="2191">
        <v>8.763E-2</v>
      </c>
      <c r="R379" s="2191">
        <f>Q379*H379</f>
        <v>0.35052</v>
      </c>
      <c r="S379" s="2191">
        <v>0</v>
      </c>
      <c r="T379" s="2192">
        <f>S379*H379</f>
        <v>0</v>
      </c>
      <c r="AR379" s="2193" t="s">
        <v>856</v>
      </c>
      <c r="AT379" s="2193" t="s">
        <v>3286</v>
      </c>
      <c r="AU379" s="2193" t="s">
        <v>134</v>
      </c>
      <c r="AY379" s="2056" t="s">
        <v>3285</v>
      </c>
      <c r="BE379" s="2194">
        <f>IF(N379="základní",J379,0)</f>
        <v>0</v>
      </c>
      <c r="BF379" s="2194">
        <f>IF(N379="snížená",J379,0)</f>
        <v>0</v>
      </c>
      <c r="BG379" s="2194">
        <f>IF(N379="zákl. přenesená",J379,0)</f>
        <v>0</v>
      </c>
      <c r="BH379" s="2194">
        <f>IF(N379="sníž. přenesená",J379,0)</f>
        <v>0</v>
      </c>
      <c r="BI379" s="2194">
        <f>IF(N379="nulová",J379,0)</f>
        <v>0</v>
      </c>
      <c r="BJ379" s="2056" t="s">
        <v>134</v>
      </c>
      <c r="BK379" s="2194">
        <f>ROUND(I379*H379,2)</f>
        <v>0</v>
      </c>
      <c r="BL379" s="2056" t="s">
        <v>856</v>
      </c>
      <c r="BM379" s="2193" t="s">
        <v>3522</v>
      </c>
    </row>
    <row r="380" spans="2:65" s="2195" customFormat="1">
      <c r="B380" s="2196"/>
      <c r="D380" s="2197" t="s">
        <v>3303</v>
      </c>
      <c r="E380" s="2198" t="s">
        <v>3146</v>
      </c>
      <c r="F380" s="2199" t="s">
        <v>3523</v>
      </c>
      <c r="H380" s="2198" t="s">
        <v>3146</v>
      </c>
      <c r="L380" s="2196"/>
      <c r="M380" s="2200"/>
      <c r="T380" s="2201"/>
      <c r="AT380" s="2198" t="s">
        <v>3303</v>
      </c>
      <c r="AU380" s="2198" t="s">
        <v>134</v>
      </c>
      <c r="AV380" s="2195" t="s">
        <v>133</v>
      </c>
      <c r="AW380" s="2195" t="s">
        <v>3171</v>
      </c>
      <c r="AX380" s="2195" t="s">
        <v>3213</v>
      </c>
      <c r="AY380" s="2198" t="s">
        <v>3285</v>
      </c>
    </row>
    <row r="381" spans="2:65" s="2209" customFormat="1">
      <c r="B381" s="2210"/>
      <c r="D381" s="2197" t="s">
        <v>3303</v>
      </c>
      <c r="E381" s="2211" t="s">
        <v>3146</v>
      </c>
      <c r="F381" s="2212" t="s">
        <v>856</v>
      </c>
      <c r="H381" s="2213">
        <v>4</v>
      </c>
      <c r="L381" s="2210"/>
      <c r="M381" s="2214"/>
      <c r="T381" s="2215"/>
      <c r="AT381" s="2211" t="s">
        <v>3303</v>
      </c>
      <c r="AU381" s="2211" t="s">
        <v>134</v>
      </c>
      <c r="AV381" s="2209" t="s">
        <v>134</v>
      </c>
      <c r="AW381" s="2209" t="s">
        <v>3171</v>
      </c>
      <c r="AX381" s="2209" t="s">
        <v>3213</v>
      </c>
      <c r="AY381" s="2211" t="s">
        <v>3285</v>
      </c>
    </row>
    <row r="382" spans="2:65" s="2216" customFormat="1">
      <c r="B382" s="2217"/>
      <c r="D382" s="2197" t="s">
        <v>3303</v>
      </c>
      <c r="E382" s="2218" t="s">
        <v>3146</v>
      </c>
      <c r="F382" s="2219" t="s">
        <v>3306</v>
      </c>
      <c r="H382" s="2220">
        <v>4</v>
      </c>
      <c r="L382" s="2217"/>
      <c r="M382" s="2221"/>
      <c r="T382" s="2222"/>
      <c r="AT382" s="2218" t="s">
        <v>3303</v>
      </c>
      <c r="AU382" s="2218" t="s">
        <v>134</v>
      </c>
      <c r="AV382" s="2216" t="s">
        <v>856</v>
      </c>
      <c r="AW382" s="2216" t="s">
        <v>3171</v>
      </c>
      <c r="AX382" s="2216" t="s">
        <v>133</v>
      </c>
      <c r="AY382" s="2218" t="s">
        <v>3285</v>
      </c>
    </row>
    <row r="383" spans="2:65" s="2070" customFormat="1" ht="16.5" customHeight="1">
      <c r="B383" s="2164"/>
      <c r="C383" s="4608">
        <v>61</v>
      </c>
      <c r="D383" s="4608" t="s">
        <v>3286</v>
      </c>
      <c r="E383" s="4609" t="s">
        <v>3524</v>
      </c>
      <c r="F383" s="4610" t="s">
        <v>3525</v>
      </c>
      <c r="G383" s="4611" t="s">
        <v>221</v>
      </c>
      <c r="H383" s="4612">
        <v>751.03200000000004</v>
      </c>
      <c r="I383" s="4613"/>
      <c r="J383" s="4613">
        <f>ROUND(I383*H383,2)</f>
        <v>0</v>
      </c>
      <c r="K383" s="4610" t="s">
        <v>142</v>
      </c>
      <c r="L383" s="2071"/>
      <c r="M383" s="2190" t="s">
        <v>3146</v>
      </c>
      <c r="N383" s="2163" t="s">
        <v>3181</v>
      </c>
      <c r="O383" s="2191">
        <v>1.593</v>
      </c>
      <c r="P383" s="2191">
        <f>O383*H383</f>
        <v>1196.3939760000001</v>
      </c>
      <c r="Q383" s="2191">
        <v>2.5018799999999999</v>
      </c>
      <c r="R383" s="2191">
        <f>Q383*H383</f>
        <v>1878.99194016</v>
      </c>
      <c r="S383" s="2191">
        <v>0</v>
      </c>
      <c r="T383" s="2192">
        <f>S383*H383</f>
        <v>0</v>
      </c>
      <c r="AR383" s="2193" t="s">
        <v>856</v>
      </c>
      <c r="AT383" s="2193" t="s">
        <v>3286</v>
      </c>
      <c r="AU383" s="2193" t="s">
        <v>134</v>
      </c>
      <c r="AY383" s="2056" t="s">
        <v>3285</v>
      </c>
      <c r="BE383" s="2194">
        <f>IF(N383="základní",J383,0)</f>
        <v>0</v>
      </c>
      <c r="BF383" s="2194">
        <f>IF(N383="snížená",J383,0)</f>
        <v>0</v>
      </c>
      <c r="BG383" s="2194">
        <f>IF(N383="zákl. přenesená",J383,0)</f>
        <v>0</v>
      </c>
      <c r="BH383" s="2194">
        <f>IF(N383="sníž. přenesená",J383,0)</f>
        <v>0</v>
      </c>
      <c r="BI383" s="2194">
        <f>IF(N383="nulová",J383,0)</f>
        <v>0</v>
      </c>
      <c r="BJ383" s="2056" t="s">
        <v>134</v>
      </c>
      <c r="BK383" s="2194">
        <f>ROUND(I383*H383,2)</f>
        <v>0</v>
      </c>
      <c r="BL383" s="2056" t="s">
        <v>856</v>
      </c>
      <c r="BM383" s="2193" t="s">
        <v>3526</v>
      </c>
    </row>
    <row r="384" spans="2:65" s="2195" customFormat="1">
      <c r="B384" s="2196"/>
      <c r="D384" s="2197" t="s">
        <v>3303</v>
      </c>
      <c r="E384" s="2198" t="s">
        <v>3146</v>
      </c>
      <c r="F384" s="2199" t="s">
        <v>3517</v>
      </c>
      <c r="H384" s="2198" t="s">
        <v>3146</v>
      </c>
      <c r="L384" s="2196"/>
      <c r="M384" s="2200"/>
      <c r="T384" s="2201"/>
      <c r="AT384" s="2198" t="s">
        <v>3303</v>
      </c>
      <c r="AU384" s="2198" t="s">
        <v>134</v>
      </c>
      <c r="AV384" s="2195" t="s">
        <v>133</v>
      </c>
      <c r="AW384" s="2195" t="s">
        <v>3171</v>
      </c>
      <c r="AX384" s="2195" t="s">
        <v>3213</v>
      </c>
      <c r="AY384" s="2198" t="s">
        <v>3285</v>
      </c>
    </row>
    <row r="385" spans="2:65" s="2195" customFormat="1">
      <c r="B385" s="2196"/>
      <c r="D385" s="2197" t="s">
        <v>3303</v>
      </c>
      <c r="E385" s="2198" t="s">
        <v>3146</v>
      </c>
      <c r="F385" s="2199" t="s">
        <v>3527</v>
      </c>
      <c r="H385" s="2198" t="s">
        <v>3146</v>
      </c>
      <c r="L385" s="2196"/>
      <c r="M385" s="2200"/>
      <c r="T385" s="2201"/>
      <c r="AT385" s="2198" t="s">
        <v>3303</v>
      </c>
      <c r="AU385" s="2198" t="s">
        <v>134</v>
      </c>
      <c r="AV385" s="2195" t="s">
        <v>133</v>
      </c>
      <c r="AW385" s="2195" t="s">
        <v>3171</v>
      </c>
      <c r="AX385" s="2195" t="s">
        <v>3213</v>
      </c>
      <c r="AY385" s="2198" t="s">
        <v>3285</v>
      </c>
    </row>
    <row r="386" spans="2:65" s="2209" customFormat="1">
      <c r="B386" s="2210"/>
      <c r="D386" s="2197" t="s">
        <v>3303</v>
      </c>
      <c r="E386" s="2211" t="s">
        <v>3146</v>
      </c>
      <c r="F386" s="2212" t="s">
        <v>3528</v>
      </c>
      <c r="H386" s="2213">
        <v>21.17</v>
      </c>
      <c r="L386" s="2210"/>
      <c r="M386" s="2214"/>
      <c r="T386" s="2215"/>
      <c r="AT386" s="2211" t="s">
        <v>3303</v>
      </c>
      <c r="AU386" s="2211" t="s">
        <v>134</v>
      </c>
      <c r="AV386" s="2209" t="s">
        <v>134</v>
      </c>
      <c r="AW386" s="2209" t="s">
        <v>3171</v>
      </c>
      <c r="AX386" s="2209" t="s">
        <v>3213</v>
      </c>
      <c r="AY386" s="2211" t="s">
        <v>3285</v>
      </c>
    </row>
    <row r="387" spans="2:65" s="2195" customFormat="1">
      <c r="B387" s="2196"/>
      <c r="D387" s="2197" t="s">
        <v>3303</v>
      </c>
      <c r="E387" s="2198" t="s">
        <v>3146</v>
      </c>
      <c r="F387" s="2199" t="s">
        <v>3529</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3530</v>
      </c>
      <c r="H388" s="2213">
        <v>74.423000000000002</v>
      </c>
      <c r="L388" s="2210"/>
      <c r="M388" s="2214"/>
      <c r="T388" s="2215"/>
      <c r="AT388" s="2211" t="s">
        <v>3303</v>
      </c>
      <c r="AU388" s="2211" t="s">
        <v>134</v>
      </c>
      <c r="AV388" s="2209" t="s">
        <v>134</v>
      </c>
      <c r="AW388" s="2209" t="s">
        <v>3171</v>
      </c>
      <c r="AX388" s="2209" t="s">
        <v>3213</v>
      </c>
      <c r="AY388" s="2211" t="s">
        <v>3285</v>
      </c>
    </row>
    <row r="389" spans="2:65" s="2195" customFormat="1">
      <c r="B389" s="2196"/>
      <c r="D389" s="2197" t="s">
        <v>3303</v>
      </c>
      <c r="E389" s="2198" t="s">
        <v>3146</v>
      </c>
      <c r="F389" s="2199" t="s">
        <v>3531</v>
      </c>
      <c r="H389" s="2198" t="s">
        <v>3146</v>
      </c>
      <c r="L389" s="2196"/>
      <c r="M389" s="2200"/>
      <c r="T389" s="2201"/>
      <c r="AT389" s="2198" t="s">
        <v>3303</v>
      </c>
      <c r="AU389" s="2198" t="s">
        <v>134</v>
      </c>
      <c r="AV389" s="2195" t="s">
        <v>133</v>
      </c>
      <c r="AW389" s="2195" t="s">
        <v>3171</v>
      </c>
      <c r="AX389" s="2195" t="s">
        <v>3213</v>
      </c>
      <c r="AY389" s="2198" t="s">
        <v>3285</v>
      </c>
    </row>
    <row r="390" spans="2:65" s="2209" customFormat="1">
      <c r="B390" s="2210"/>
      <c r="D390" s="2197" t="s">
        <v>3303</v>
      </c>
      <c r="E390" s="2211" t="s">
        <v>3146</v>
      </c>
      <c r="F390" s="2212" t="s">
        <v>10734</v>
      </c>
      <c r="H390" s="2213">
        <v>220.364</v>
      </c>
      <c r="L390" s="2210"/>
      <c r="M390" s="2214"/>
      <c r="T390" s="2215"/>
      <c r="AT390" s="2211" t="s">
        <v>3303</v>
      </c>
      <c r="AU390" s="2211" t="s">
        <v>134</v>
      </c>
      <c r="AV390" s="2209" t="s">
        <v>134</v>
      </c>
      <c r="AW390" s="2209" t="s">
        <v>3171</v>
      </c>
      <c r="AX390" s="2209" t="s">
        <v>3213</v>
      </c>
      <c r="AY390" s="2211" t="s">
        <v>3285</v>
      </c>
    </row>
    <row r="391" spans="2:65" s="2202" customFormat="1">
      <c r="B391" s="2203"/>
      <c r="D391" s="2197" t="s">
        <v>3303</v>
      </c>
      <c r="E391" s="2204" t="s">
        <v>3146</v>
      </c>
      <c r="F391" s="2205" t="s">
        <v>3305</v>
      </c>
      <c r="H391" s="2206">
        <v>315.95699999999999</v>
      </c>
      <c r="L391" s="2203"/>
      <c r="M391" s="2207"/>
      <c r="T391" s="2208"/>
      <c r="AT391" s="2204" t="s">
        <v>3303</v>
      </c>
      <c r="AU391" s="2204" t="s">
        <v>134</v>
      </c>
      <c r="AV391" s="2202" t="s">
        <v>854</v>
      </c>
      <c r="AW391" s="2202" t="s">
        <v>3171</v>
      </c>
      <c r="AX391" s="2202" t="s">
        <v>3213</v>
      </c>
      <c r="AY391" s="2204" t="s">
        <v>3285</v>
      </c>
    </row>
    <row r="392" spans="2:65" s="2195" customFormat="1">
      <c r="B392" s="2196"/>
      <c r="D392" s="2197" t="s">
        <v>3303</v>
      </c>
      <c r="E392" s="2198" t="s">
        <v>3146</v>
      </c>
      <c r="F392" s="2199" t="s">
        <v>3661</v>
      </c>
      <c r="H392" s="2198" t="s">
        <v>3146</v>
      </c>
      <c r="L392" s="2196"/>
      <c r="M392" s="2200"/>
      <c r="T392" s="2201"/>
      <c r="AT392" s="2198" t="s">
        <v>3303</v>
      </c>
      <c r="AU392" s="2198" t="s">
        <v>134</v>
      </c>
      <c r="AV392" s="2195" t="s">
        <v>133</v>
      </c>
      <c r="AW392" s="2195" t="s">
        <v>3171</v>
      </c>
      <c r="AX392" s="2195" t="s">
        <v>3213</v>
      </c>
      <c r="AY392" s="2198" t="s">
        <v>3285</v>
      </c>
    </row>
    <row r="393" spans="2:65" s="2209" customFormat="1">
      <c r="B393" s="2210"/>
      <c r="D393" s="2197" t="s">
        <v>3303</v>
      </c>
      <c r="E393" s="2211" t="s">
        <v>3146</v>
      </c>
      <c r="F393" s="2212" t="s">
        <v>10735</v>
      </c>
      <c r="H393" s="2213">
        <v>163.624</v>
      </c>
      <c r="L393" s="2210"/>
      <c r="M393" s="2214"/>
      <c r="T393" s="2215"/>
      <c r="AT393" s="2211" t="s">
        <v>3303</v>
      </c>
      <c r="AU393" s="2211" t="s">
        <v>134</v>
      </c>
      <c r="AV393" s="2209" t="s">
        <v>134</v>
      </c>
      <c r="AW393" s="2209" t="s">
        <v>3171</v>
      </c>
      <c r="AX393" s="2209" t="s">
        <v>3213</v>
      </c>
      <c r="AY393" s="2211" t="s">
        <v>3285</v>
      </c>
    </row>
    <row r="394" spans="2:65" s="2195" customFormat="1">
      <c r="B394" s="2196"/>
      <c r="D394" s="2197" t="s">
        <v>3303</v>
      </c>
      <c r="E394" s="2198" t="s">
        <v>3146</v>
      </c>
      <c r="F394" s="2199" t="s">
        <v>3578</v>
      </c>
      <c r="H394" s="2198" t="s">
        <v>3146</v>
      </c>
      <c r="L394" s="2196"/>
      <c r="M394" s="2200"/>
      <c r="T394" s="2201"/>
      <c r="AT394" s="2198" t="s">
        <v>3303</v>
      </c>
      <c r="AU394" s="2198" t="s">
        <v>134</v>
      </c>
      <c r="AV394" s="2195" t="s">
        <v>133</v>
      </c>
      <c r="AW394" s="2195" t="s">
        <v>3171</v>
      </c>
      <c r="AX394" s="2195" t="s">
        <v>3213</v>
      </c>
      <c r="AY394" s="2198" t="s">
        <v>3285</v>
      </c>
    </row>
    <row r="395" spans="2:65" s="2209" customFormat="1">
      <c r="B395" s="2210"/>
      <c r="D395" s="2197" t="s">
        <v>3303</v>
      </c>
      <c r="E395" s="2211" t="s">
        <v>3146</v>
      </c>
      <c r="F395" s="2212" t="s">
        <v>10736</v>
      </c>
      <c r="H395" s="2213">
        <v>36.479999999999997</v>
      </c>
      <c r="L395" s="2210"/>
      <c r="M395" s="2214"/>
      <c r="T395" s="2215"/>
      <c r="AT395" s="2211" t="s">
        <v>3303</v>
      </c>
      <c r="AU395" s="2211" t="s">
        <v>134</v>
      </c>
      <c r="AV395" s="2209" t="s">
        <v>134</v>
      </c>
      <c r="AW395" s="2209" t="s">
        <v>3171</v>
      </c>
      <c r="AX395" s="2209" t="s">
        <v>3213</v>
      </c>
      <c r="AY395" s="2211" t="s">
        <v>3285</v>
      </c>
    </row>
    <row r="396" spans="2:65" s="2195" customFormat="1">
      <c r="B396" s="2196"/>
      <c r="D396" s="2197" t="s">
        <v>3303</v>
      </c>
      <c r="E396" s="2198" t="s">
        <v>3146</v>
      </c>
      <c r="F396" s="2199" t="s">
        <v>3580</v>
      </c>
      <c r="H396" s="2198" t="s">
        <v>3146</v>
      </c>
      <c r="L396" s="2196"/>
      <c r="M396" s="2200"/>
      <c r="T396" s="2201"/>
      <c r="AT396" s="2198" t="s">
        <v>3303</v>
      </c>
      <c r="AU396" s="2198" t="s">
        <v>134</v>
      </c>
      <c r="AV396" s="2195" t="s">
        <v>133</v>
      </c>
      <c r="AW396" s="2195" t="s">
        <v>3171</v>
      </c>
      <c r="AX396" s="2195" t="s">
        <v>3213</v>
      </c>
      <c r="AY396" s="2198" t="s">
        <v>3285</v>
      </c>
    </row>
    <row r="397" spans="2:65" s="2209" customFormat="1">
      <c r="B397" s="2210"/>
      <c r="D397" s="2197" t="s">
        <v>3303</v>
      </c>
      <c r="E397" s="2211" t="s">
        <v>3146</v>
      </c>
      <c r="F397" s="2212" t="s">
        <v>10737</v>
      </c>
      <c r="H397" s="2213">
        <v>172.804</v>
      </c>
      <c r="L397" s="2210"/>
      <c r="M397" s="2214"/>
      <c r="T397" s="2215"/>
      <c r="AT397" s="2211" t="s">
        <v>3303</v>
      </c>
      <c r="AU397" s="2211" t="s">
        <v>134</v>
      </c>
      <c r="AV397" s="2209" t="s">
        <v>134</v>
      </c>
      <c r="AW397" s="2209" t="s">
        <v>3171</v>
      </c>
      <c r="AX397" s="2209" t="s">
        <v>3213</v>
      </c>
      <c r="AY397" s="2211" t="s">
        <v>3285</v>
      </c>
    </row>
    <row r="398" spans="2:65" s="2209" customFormat="1">
      <c r="B398" s="2210"/>
      <c r="D398" s="2197" t="s">
        <v>3303</v>
      </c>
      <c r="E398" s="2211" t="s">
        <v>3146</v>
      </c>
      <c r="F398" s="2212" t="s">
        <v>10738</v>
      </c>
      <c r="H398" s="2213">
        <v>62.167000000000002</v>
      </c>
      <c r="L398" s="2210"/>
      <c r="M398" s="2214"/>
      <c r="T398" s="2215"/>
      <c r="AT398" s="2211" t="s">
        <v>3303</v>
      </c>
      <c r="AU398" s="2211" t="s">
        <v>134</v>
      </c>
      <c r="AV398" s="2209" t="s">
        <v>134</v>
      </c>
      <c r="AW398" s="2209" t="s">
        <v>3171</v>
      </c>
      <c r="AX398" s="2209" t="s">
        <v>3213</v>
      </c>
      <c r="AY398" s="2211" t="s">
        <v>3285</v>
      </c>
    </row>
    <row r="399" spans="2:65" s="2216" customFormat="1">
      <c r="B399" s="2217"/>
      <c r="D399" s="2197" t="s">
        <v>3303</v>
      </c>
      <c r="E399" s="2218" t="s">
        <v>3146</v>
      </c>
      <c r="F399" s="2219" t="s">
        <v>3306</v>
      </c>
      <c r="H399" s="2220">
        <v>751.03200000000004</v>
      </c>
      <c r="L399" s="2217"/>
      <c r="M399" s="2221"/>
      <c r="T399" s="2222"/>
      <c r="AT399" s="2218" t="s">
        <v>3303</v>
      </c>
      <c r="AU399" s="2218" t="s">
        <v>134</v>
      </c>
      <c r="AV399" s="2216" t="s">
        <v>856</v>
      </c>
      <c r="AW399" s="2216" t="s">
        <v>3171</v>
      </c>
      <c r="AX399" s="2216" t="s">
        <v>133</v>
      </c>
      <c r="AY399" s="2218" t="s">
        <v>3285</v>
      </c>
    </row>
    <row r="400" spans="2:65" s="2070" customFormat="1" ht="16.5" customHeight="1">
      <c r="B400" s="2164"/>
      <c r="C400" s="4608">
        <v>62</v>
      </c>
      <c r="D400" s="4608" t="s">
        <v>3286</v>
      </c>
      <c r="E400" s="4609" t="s">
        <v>3532</v>
      </c>
      <c r="F400" s="4610" t="s">
        <v>3533</v>
      </c>
      <c r="G400" s="4611" t="s">
        <v>611</v>
      </c>
      <c r="H400" s="4612">
        <v>8655.0630000000001</v>
      </c>
      <c r="I400" s="4613"/>
      <c r="J400" s="4613">
        <f>ROUND(I400*H400,2)</f>
        <v>0</v>
      </c>
      <c r="K400" s="4610" t="s">
        <v>142</v>
      </c>
      <c r="L400" s="2071"/>
      <c r="M400" s="2190" t="s">
        <v>3146</v>
      </c>
      <c r="N400" s="2163" t="s">
        <v>3181</v>
      </c>
      <c r="O400" s="2191">
        <v>0.53800000000000003</v>
      </c>
      <c r="P400" s="2191">
        <f>O400*H400</f>
        <v>4656.4238940000005</v>
      </c>
      <c r="Q400" s="2191">
        <v>2.7499999999999998E-3</v>
      </c>
      <c r="R400" s="2191">
        <f>Q400*H400</f>
        <v>23.801423249999999</v>
      </c>
      <c r="S400" s="2191">
        <v>0</v>
      </c>
      <c r="T400" s="2192">
        <f>S400*H400</f>
        <v>0</v>
      </c>
      <c r="AR400" s="2193" t="s">
        <v>856</v>
      </c>
      <c r="AT400" s="2193" t="s">
        <v>3286</v>
      </c>
      <c r="AU400" s="2193" t="s">
        <v>134</v>
      </c>
      <c r="AY400" s="2056" t="s">
        <v>3285</v>
      </c>
      <c r="BE400" s="2194">
        <f>IF(N400="základní",J400,0)</f>
        <v>0</v>
      </c>
      <c r="BF400" s="2194">
        <f>IF(N400="snížená",J400,0)</f>
        <v>0</v>
      </c>
      <c r="BG400" s="2194">
        <f>IF(N400="zákl. přenesená",J400,0)</f>
        <v>0</v>
      </c>
      <c r="BH400" s="2194">
        <f>IF(N400="sníž. přenesená",J400,0)</f>
        <v>0</v>
      </c>
      <c r="BI400" s="2194">
        <f>IF(N400="nulová",J400,0)</f>
        <v>0</v>
      </c>
      <c r="BJ400" s="2056" t="s">
        <v>134</v>
      </c>
      <c r="BK400" s="2194">
        <f>ROUND(I400*H400,2)</f>
        <v>0</v>
      </c>
      <c r="BL400" s="2056" t="s">
        <v>856</v>
      </c>
      <c r="BM400" s="2193" t="s">
        <v>3534</v>
      </c>
    </row>
    <row r="401" spans="2:65" s="2209" customFormat="1">
      <c r="B401" s="2210"/>
      <c r="D401" s="2197" t="s">
        <v>3303</v>
      </c>
      <c r="E401" s="2211" t="s">
        <v>3146</v>
      </c>
      <c r="F401" s="2212" t="s">
        <v>3535</v>
      </c>
      <c r="H401" s="2213">
        <v>35.207999999999998</v>
      </c>
      <c r="L401" s="2210"/>
      <c r="M401" s="2214"/>
      <c r="T401" s="2215"/>
      <c r="AT401" s="2211" t="s">
        <v>3303</v>
      </c>
      <c r="AU401" s="2211" t="s">
        <v>134</v>
      </c>
      <c r="AV401" s="2209" t="s">
        <v>134</v>
      </c>
      <c r="AW401" s="2209" t="s">
        <v>3171</v>
      </c>
      <c r="AX401" s="2209" t="s">
        <v>3213</v>
      </c>
      <c r="AY401" s="2211" t="s">
        <v>3285</v>
      </c>
    </row>
    <row r="402" spans="2:65" s="2195" customFormat="1">
      <c r="B402" s="2196"/>
      <c r="D402" s="2197" t="s">
        <v>3303</v>
      </c>
      <c r="E402" s="2198" t="s">
        <v>3146</v>
      </c>
      <c r="F402" s="2199" t="s">
        <v>3517</v>
      </c>
      <c r="H402" s="2198" t="s">
        <v>3146</v>
      </c>
      <c r="L402" s="2196"/>
      <c r="M402" s="2200"/>
      <c r="T402" s="2201"/>
      <c r="AT402" s="2198" t="s">
        <v>3303</v>
      </c>
      <c r="AU402" s="2198" t="s">
        <v>134</v>
      </c>
      <c r="AV402" s="2195" t="s">
        <v>133</v>
      </c>
      <c r="AW402" s="2195" t="s">
        <v>3171</v>
      </c>
      <c r="AX402" s="2195" t="s">
        <v>3213</v>
      </c>
      <c r="AY402" s="2198" t="s">
        <v>3285</v>
      </c>
    </row>
    <row r="403" spans="2:65" s="2202" customFormat="1">
      <c r="B403" s="2203"/>
      <c r="D403" s="2197" t="s">
        <v>3303</v>
      </c>
      <c r="E403" s="2204" t="s">
        <v>3146</v>
      </c>
      <c r="F403" s="2205" t="s">
        <v>3305</v>
      </c>
      <c r="H403" s="2206">
        <v>35.207999999999998</v>
      </c>
      <c r="L403" s="2203"/>
      <c r="M403" s="2207"/>
      <c r="T403" s="2208"/>
      <c r="AT403" s="2204" t="s">
        <v>3303</v>
      </c>
      <c r="AU403" s="2204" t="s">
        <v>134</v>
      </c>
      <c r="AV403" s="2202" t="s">
        <v>854</v>
      </c>
      <c r="AW403" s="2202" t="s">
        <v>3171</v>
      </c>
      <c r="AX403" s="2202" t="s">
        <v>3213</v>
      </c>
      <c r="AY403" s="2204" t="s">
        <v>3285</v>
      </c>
    </row>
    <row r="404" spans="2:65" s="2209" customFormat="1">
      <c r="B404" s="2210"/>
      <c r="D404" s="2197" t="s">
        <v>3303</v>
      </c>
      <c r="E404" s="2211" t="s">
        <v>3146</v>
      </c>
      <c r="F404" s="2212" t="s">
        <v>10739</v>
      </c>
      <c r="H404" s="2213">
        <v>2471.8789999999999</v>
      </c>
      <c r="L404" s="2210"/>
      <c r="M404" s="2214"/>
      <c r="T404" s="2215"/>
      <c r="AT404" s="2211" t="s">
        <v>3303</v>
      </c>
      <c r="AU404" s="2211" t="s">
        <v>134</v>
      </c>
      <c r="AV404" s="2209" t="s">
        <v>134</v>
      </c>
      <c r="AW404" s="2209" t="s">
        <v>3171</v>
      </c>
      <c r="AX404" s="2209" t="s">
        <v>3213</v>
      </c>
      <c r="AY404" s="2211" t="s">
        <v>3285</v>
      </c>
    </row>
    <row r="405" spans="2:65" s="2195" customFormat="1">
      <c r="B405" s="2196"/>
      <c r="D405" s="2197" t="s">
        <v>3303</v>
      </c>
      <c r="E405" s="2198" t="s">
        <v>3146</v>
      </c>
      <c r="F405" s="2199" t="s">
        <v>3661</v>
      </c>
      <c r="H405" s="2198" t="s">
        <v>3146</v>
      </c>
      <c r="L405" s="2196"/>
      <c r="M405" s="2200"/>
      <c r="T405" s="2201"/>
      <c r="AT405" s="2198" t="s">
        <v>3303</v>
      </c>
      <c r="AU405" s="2198" t="s">
        <v>134</v>
      </c>
      <c r="AV405" s="2195" t="s">
        <v>133</v>
      </c>
      <c r="AW405" s="2195" t="s">
        <v>3171</v>
      </c>
      <c r="AX405" s="2195" t="s">
        <v>3213</v>
      </c>
      <c r="AY405" s="2198" t="s">
        <v>3285</v>
      </c>
    </row>
    <row r="406" spans="2:65" s="2209" customFormat="1">
      <c r="B406" s="2210"/>
      <c r="D406" s="2197" t="s">
        <v>3303</v>
      </c>
      <c r="E406" s="2211" t="s">
        <v>3146</v>
      </c>
      <c r="F406" s="2212" t="s">
        <v>10740</v>
      </c>
      <c r="H406" s="2213">
        <v>1426.2329999999999</v>
      </c>
      <c r="L406" s="2210"/>
      <c r="M406" s="2214"/>
      <c r="T406" s="2215"/>
      <c r="AT406" s="2211" t="s">
        <v>3303</v>
      </c>
      <c r="AU406" s="2211" t="s">
        <v>134</v>
      </c>
      <c r="AV406" s="2209" t="s">
        <v>134</v>
      </c>
      <c r="AW406" s="2209" t="s">
        <v>3171</v>
      </c>
      <c r="AX406" s="2209" t="s">
        <v>3213</v>
      </c>
      <c r="AY406" s="2211" t="s">
        <v>3285</v>
      </c>
    </row>
    <row r="407" spans="2:65" s="2195" customFormat="1">
      <c r="B407" s="2196"/>
      <c r="D407" s="2197" t="s">
        <v>3303</v>
      </c>
      <c r="E407" s="2198" t="s">
        <v>3146</v>
      </c>
      <c r="F407" s="2199" t="s">
        <v>3578</v>
      </c>
      <c r="H407" s="2198" t="s">
        <v>3146</v>
      </c>
      <c r="L407" s="2196"/>
      <c r="M407" s="2200"/>
      <c r="T407" s="2201"/>
      <c r="AT407" s="2198" t="s">
        <v>3303</v>
      </c>
      <c r="AU407" s="2198" t="s">
        <v>134</v>
      </c>
      <c r="AV407" s="2195" t="s">
        <v>133</v>
      </c>
      <c r="AW407" s="2195" t="s">
        <v>3171</v>
      </c>
      <c r="AX407" s="2195" t="s">
        <v>3213</v>
      </c>
      <c r="AY407" s="2198" t="s">
        <v>3285</v>
      </c>
    </row>
    <row r="408" spans="2:65" s="2209" customFormat="1">
      <c r="B408" s="2210"/>
      <c r="D408" s="2197" t="s">
        <v>3303</v>
      </c>
      <c r="E408" s="2211" t="s">
        <v>3146</v>
      </c>
      <c r="F408" s="2212" t="s">
        <v>10741</v>
      </c>
      <c r="H408" s="2213">
        <v>1575.125</v>
      </c>
      <c r="L408" s="2210"/>
      <c r="M408" s="2214"/>
      <c r="T408" s="2215"/>
      <c r="AT408" s="2211" t="s">
        <v>3303</v>
      </c>
      <c r="AU408" s="2211" t="s">
        <v>134</v>
      </c>
      <c r="AV408" s="2209" t="s">
        <v>134</v>
      </c>
      <c r="AW408" s="2209" t="s">
        <v>3171</v>
      </c>
      <c r="AX408" s="2209" t="s">
        <v>3213</v>
      </c>
      <c r="AY408" s="2211" t="s">
        <v>3285</v>
      </c>
    </row>
    <row r="409" spans="2:65" s="2195" customFormat="1">
      <c r="B409" s="2196"/>
      <c r="D409" s="2197" t="s">
        <v>3303</v>
      </c>
      <c r="E409" s="2198" t="s">
        <v>3146</v>
      </c>
      <c r="F409" s="2199" t="s">
        <v>3580</v>
      </c>
      <c r="H409" s="2198" t="s">
        <v>3146</v>
      </c>
      <c r="L409" s="2196"/>
      <c r="M409" s="2200"/>
      <c r="T409" s="2201"/>
      <c r="AT409" s="2198" t="s">
        <v>3303</v>
      </c>
      <c r="AU409" s="2198" t="s">
        <v>134</v>
      </c>
      <c r="AV409" s="2195" t="s">
        <v>133</v>
      </c>
      <c r="AW409" s="2195" t="s">
        <v>3171</v>
      </c>
      <c r="AX409" s="2195" t="s">
        <v>3213</v>
      </c>
      <c r="AY409" s="2198" t="s">
        <v>3285</v>
      </c>
    </row>
    <row r="410" spans="2:65" s="2209" customFormat="1">
      <c r="B410" s="2210"/>
      <c r="D410" s="2197" t="s">
        <v>3303</v>
      </c>
      <c r="E410" s="2211" t="s">
        <v>3146</v>
      </c>
      <c r="F410" s="2212" t="s">
        <v>10742</v>
      </c>
      <c r="H410" s="2213">
        <v>1515.345</v>
      </c>
      <c r="L410" s="2210"/>
      <c r="M410" s="2214"/>
      <c r="T410" s="2215"/>
      <c r="AT410" s="2211" t="s">
        <v>3303</v>
      </c>
      <c r="AU410" s="2211" t="s">
        <v>134</v>
      </c>
      <c r="AV410" s="2209" t="s">
        <v>134</v>
      </c>
      <c r="AW410" s="2209" t="s">
        <v>3171</v>
      </c>
      <c r="AX410" s="2209" t="s">
        <v>3213</v>
      </c>
      <c r="AY410" s="2211" t="s">
        <v>3285</v>
      </c>
    </row>
    <row r="411" spans="2:65" s="2195" customFormat="1">
      <c r="B411" s="2196"/>
      <c r="D411" s="2197" t="s">
        <v>3303</v>
      </c>
      <c r="E411" s="2198" t="s">
        <v>3146</v>
      </c>
      <c r="F411" s="2199" t="s">
        <v>10743</v>
      </c>
      <c r="H411" s="2198" t="s">
        <v>3146</v>
      </c>
      <c r="L411" s="2196"/>
      <c r="M411" s="2200"/>
      <c r="T411" s="2201"/>
      <c r="AT411" s="2198" t="s">
        <v>3303</v>
      </c>
      <c r="AU411" s="2198" t="s">
        <v>134</v>
      </c>
      <c r="AV411" s="2195" t="s">
        <v>133</v>
      </c>
      <c r="AW411" s="2195" t="s">
        <v>3171</v>
      </c>
      <c r="AX411" s="2195" t="s">
        <v>3213</v>
      </c>
      <c r="AY411" s="2198" t="s">
        <v>3285</v>
      </c>
    </row>
    <row r="412" spans="2:65" s="2209" customFormat="1">
      <c r="B412" s="2210"/>
      <c r="D412" s="2197" t="s">
        <v>3303</v>
      </c>
      <c r="E412" s="2211" t="s">
        <v>3146</v>
      </c>
      <c r="F412" s="2212" t="s">
        <v>10744</v>
      </c>
      <c r="H412" s="2213">
        <v>25.6</v>
      </c>
      <c r="L412" s="2210"/>
      <c r="M412" s="2214"/>
      <c r="T412" s="2215"/>
      <c r="AT412" s="2211" t="s">
        <v>3303</v>
      </c>
      <c r="AU412" s="2211" t="s">
        <v>134</v>
      </c>
      <c r="AV412" s="2209" t="s">
        <v>134</v>
      </c>
      <c r="AW412" s="2209" t="s">
        <v>3171</v>
      </c>
      <c r="AX412" s="2209" t="s">
        <v>3213</v>
      </c>
      <c r="AY412" s="2211" t="s">
        <v>3285</v>
      </c>
    </row>
    <row r="413" spans="2:65" s="2209" customFormat="1">
      <c r="B413" s="2210"/>
      <c r="D413" s="2197" t="s">
        <v>3303</v>
      </c>
      <c r="E413" s="2211" t="s">
        <v>3146</v>
      </c>
      <c r="F413" s="2212" t="s">
        <v>10745</v>
      </c>
      <c r="H413" s="2213">
        <v>476.75200000000001</v>
      </c>
      <c r="L413" s="2210"/>
      <c r="M413" s="2214"/>
      <c r="T413" s="2215"/>
      <c r="AT413" s="2211" t="s">
        <v>3303</v>
      </c>
      <c r="AU413" s="2211" t="s">
        <v>134</v>
      </c>
      <c r="AV413" s="2209" t="s">
        <v>134</v>
      </c>
      <c r="AW413" s="2209" t="s">
        <v>3171</v>
      </c>
      <c r="AX413" s="2209" t="s">
        <v>3213</v>
      </c>
      <c r="AY413" s="2211" t="s">
        <v>3285</v>
      </c>
    </row>
    <row r="414" spans="2:65" s="2216" customFormat="1">
      <c r="B414" s="2217"/>
      <c r="D414" s="2197" t="s">
        <v>3303</v>
      </c>
      <c r="E414" s="2218" t="s">
        <v>3146</v>
      </c>
      <c r="F414" s="2219" t="s">
        <v>3306</v>
      </c>
      <c r="H414" s="2220">
        <v>7526.1419999999998</v>
      </c>
      <c r="L414" s="2217"/>
      <c r="M414" s="2221"/>
      <c r="T414" s="2222"/>
      <c r="AT414" s="2218" t="s">
        <v>3303</v>
      </c>
      <c r="AU414" s="2218" t="s">
        <v>134</v>
      </c>
      <c r="AV414" s="2216" t="s">
        <v>856</v>
      </c>
      <c r="AW414" s="2216" t="s">
        <v>3171</v>
      </c>
      <c r="AX414" s="2216" t="s">
        <v>133</v>
      </c>
      <c r="AY414" s="2218" t="s">
        <v>3285</v>
      </c>
    </row>
    <row r="415" spans="2:65" s="2209" customFormat="1">
      <c r="B415" s="2210"/>
      <c r="D415" s="2197" t="s">
        <v>3303</v>
      </c>
      <c r="F415" s="2212" t="s">
        <v>10746</v>
      </c>
      <c r="H415" s="2213">
        <v>8655.0630000000001</v>
      </c>
      <c r="L415" s="2210"/>
      <c r="M415" s="2214"/>
      <c r="T415" s="2215"/>
      <c r="AT415" s="2211" t="s">
        <v>3303</v>
      </c>
      <c r="AU415" s="2211" t="s">
        <v>134</v>
      </c>
      <c r="AV415" s="2209" t="s">
        <v>134</v>
      </c>
      <c r="AW415" s="2209" t="s">
        <v>3148</v>
      </c>
      <c r="AX415" s="2209" t="s">
        <v>133</v>
      </c>
      <c r="AY415" s="2211" t="s">
        <v>3285</v>
      </c>
    </row>
    <row r="416" spans="2:65" s="2070" customFormat="1" ht="16.5" customHeight="1">
      <c r="B416" s="2164"/>
      <c r="C416" s="4608">
        <v>63</v>
      </c>
      <c r="D416" s="4608" t="s">
        <v>3286</v>
      </c>
      <c r="E416" s="4609" t="s">
        <v>3540</v>
      </c>
      <c r="F416" s="4610" t="s">
        <v>3541</v>
      </c>
      <c r="G416" s="4611" t="s">
        <v>611</v>
      </c>
      <c r="H416" s="4612">
        <v>8655.0630000000001</v>
      </c>
      <c r="I416" s="4613"/>
      <c r="J416" s="4613">
        <f>ROUND(I416*H416,2)</f>
        <v>0</v>
      </c>
      <c r="K416" s="4610" t="s">
        <v>142</v>
      </c>
      <c r="L416" s="2071"/>
      <c r="M416" s="2190" t="s">
        <v>3146</v>
      </c>
      <c r="N416" s="2163" t="s">
        <v>3181</v>
      </c>
      <c r="O416" s="2191">
        <v>0.17599999999999999</v>
      </c>
      <c r="P416" s="2191">
        <f>O416*H416</f>
        <v>1523.2910879999999</v>
      </c>
      <c r="Q416" s="2191">
        <v>0</v>
      </c>
      <c r="R416" s="2191">
        <f>Q416*H416</f>
        <v>0</v>
      </c>
      <c r="S416" s="2191">
        <v>0</v>
      </c>
      <c r="T416" s="2192">
        <f>S416*H416</f>
        <v>0</v>
      </c>
      <c r="AR416" s="2193" t="s">
        <v>856</v>
      </c>
      <c r="AT416" s="2193" t="s">
        <v>3286</v>
      </c>
      <c r="AU416" s="2193" t="s">
        <v>134</v>
      </c>
      <c r="AY416" s="2056" t="s">
        <v>3285</v>
      </c>
      <c r="BE416" s="2194">
        <f>IF(N416="základní",J416,0)</f>
        <v>0</v>
      </c>
      <c r="BF416" s="2194">
        <f>IF(N416="snížená",J416,0)</f>
        <v>0</v>
      </c>
      <c r="BG416" s="2194">
        <f>IF(N416="zákl. přenesená",J416,0)</f>
        <v>0</v>
      </c>
      <c r="BH416" s="2194">
        <f>IF(N416="sníž. přenesená",J416,0)</f>
        <v>0</v>
      </c>
      <c r="BI416" s="2194">
        <f>IF(N416="nulová",J416,0)</f>
        <v>0</v>
      </c>
      <c r="BJ416" s="2056" t="s">
        <v>134</v>
      </c>
      <c r="BK416" s="2194">
        <f>ROUND(I416*H416,2)</f>
        <v>0</v>
      </c>
      <c r="BL416" s="2056" t="s">
        <v>856</v>
      </c>
      <c r="BM416" s="2193" t="s">
        <v>3542</v>
      </c>
    </row>
    <row r="417" spans="2:65" s="2209" customFormat="1">
      <c r="B417" s="2210"/>
      <c r="D417" s="2197" t="s">
        <v>3303</v>
      </c>
      <c r="F417" s="2212" t="s">
        <v>10747</v>
      </c>
      <c r="H417" s="2213">
        <v>8655.0630000000001</v>
      </c>
      <c r="L417" s="2210"/>
      <c r="M417" s="2214"/>
      <c r="T417" s="2215"/>
      <c r="AT417" s="2211" t="s">
        <v>3303</v>
      </c>
      <c r="AU417" s="2211" t="s">
        <v>134</v>
      </c>
      <c r="AV417" s="2209" t="s">
        <v>134</v>
      </c>
      <c r="AW417" s="2209" t="s">
        <v>3148</v>
      </c>
      <c r="AX417" s="2209" t="s">
        <v>133</v>
      </c>
      <c r="AY417" s="2211" t="s">
        <v>3285</v>
      </c>
    </row>
    <row r="418" spans="2:65" s="2070" customFormat="1" ht="24.2" customHeight="1">
      <c r="B418" s="2164"/>
      <c r="C418" s="4608">
        <v>64</v>
      </c>
      <c r="D418" s="4608" t="s">
        <v>3286</v>
      </c>
      <c r="E418" s="4609" t="s">
        <v>3543</v>
      </c>
      <c r="F418" s="4610" t="s">
        <v>3544</v>
      </c>
      <c r="G418" s="4611" t="s">
        <v>611</v>
      </c>
      <c r="H418" s="4612">
        <v>19.82</v>
      </c>
      <c r="I418" s="4613"/>
      <c r="J418" s="4613">
        <f>ROUND(I418*H418,2)</f>
        <v>0</v>
      </c>
      <c r="K418" s="4610" t="s">
        <v>142</v>
      </c>
      <c r="L418" s="2071"/>
      <c r="M418" s="2190" t="s">
        <v>3146</v>
      </c>
      <c r="N418" s="2163" t="s">
        <v>3181</v>
      </c>
      <c r="O418" s="2191">
        <v>1.0720000000000001</v>
      </c>
      <c r="P418" s="2191">
        <f>O418*H418</f>
        <v>21.247040000000002</v>
      </c>
      <c r="Q418" s="2191">
        <v>4.0800000000000003E-3</v>
      </c>
      <c r="R418" s="2191">
        <f>Q418*H418</f>
        <v>8.086560000000001E-2</v>
      </c>
      <c r="S418" s="2191">
        <v>0</v>
      </c>
      <c r="T418" s="2192">
        <f>S418*H418</f>
        <v>0</v>
      </c>
      <c r="AR418" s="2193" t="s">
        <v>856</v>
      </c>
      <c r="AT418" s="2193" t="s">
        <v>3286</v>
      </c>
      <c r="AU418" s="2193" t="s">
        <v>134</v>
      </c>
      <c r="AY418" s="2056" t="s">
        <v>3285</v>
      </c>
      <c r="BE418" s="2194">
        <f>IF(N418="základní",J418,0)</f>
        <v>0</v>
      </c>
      <c r="BF418" s="2194">
        <f>IF(N418="snížená",J418,0)</f>
        <v>0</v>
      </c>
      <c r="BG418" s="2194">
        <f>IF(N418="zákl. přenesená",J418,0)</f>
        <v>0</v>
      </c>
      <c r="BH418" s="2194">
        <f>IF(N418="sníž. přenesená",J418,0)</f>
        <v>0</v>
      </c>
      <c r="BI418" s="2194">
        <f>IF(N418="nulová",J418,0)</f>
        <v>0</v>
      </c>
      <c r="BJ418" s="2056" t="s">
        <v>134</v>
      </c>
      <c r="BK418" s="2194">
        <f>ROUND(I418*H418,2)</f>
        <v>0</v>
      </c>
      <c r="BL418" s="2056" t="s">
        <v>856</v>
      </c>
      <c r="BM418" s="2193" t="s">
        <v>3545</v>
      </c>
    </row>
    <row r="419" spans="2:65" s="2209" customFormat="1">
      <c r="B419" s="2210"/>
      <c r="D419" s="2197" t="s">
        <v>3303</v>
      </c>
      <c r="E419" s="2211" t="s">
        <v>3146</v>
      </c>
      <c r="F419" s="2212" t="s">
        <v>3546</v>
      </c>
      <c r="H419" s="2213">
        <v>19.82</v>
      </c>
      <c r="L419" s="2210"/>
      <c r="M419" s="2214"/>
      <c r="T419" s="2215"/>
      <c r="AT419" s="2211" t="s">
        <v>3303</v>
      </c>
      <c r="AU419" s="2211" t="s">
        <v>134</v>
      </c>
      <c r="AV419" s="2209" t="s">
        <v>134</v>
      </c>
      <c r="AW419" s="2209" t="s">
        <v>3171</v>
      </c>
      <c r="AX419" s="2209" t="s">
        <v>133</v>
      </c>
      <c r="AY419" s="2211" t="s">
        <v>3285</v>
      </c>
    </row>
    <row r="420" spans="2:65" s="2070" customFormat="1" ht="24.2" customHeight="1">
      <c r="B420" s="2164"/>
      <c r="C420" s="4608">
        <v>65</v>
      </c>
      <c r="D420" s="4608" t="s">
        <v>3286</v>
      </c>
      <c r="E420" s="4609" t="s">
        <v>3548</v>
      </c>
      <c r="F420" s="4610" t="s">
        <v>3549</v>
      </c>
      <c r="G420" s="4611" t="s">
        <v>611</v>
      </c>
      <c r="H420" s="4612">
        <v>19.82</v>
      </c>
      <c r="I420" s="4613"/>
      <c r="J420" s="4613">
        <f>ROUND(I420*H420,2)</f>
        <v>0</v>
      </c>
      <c r="K420" s="4610" t="s">
        <v>142</v>
      </c>
      <c r="L420" s="2071"/>
      <c r="M420" s="2190" t="s">
        <v>3146</v>
      </c>
      <c r="N420" s="2163" t="s">
        <v>3181</v>
      </c>
      <c r="O420" s="2191">
        <v>0.29499999999999998</v>
      </c>
      <c r="P420" s="2191">
        <f>O420*H420</f>
        <v>5.8468999999999998</v>
      </c>
      <c r="Q420" s="2191">
        <v>0</v>
      </c>
      <c r="R420" s="2191">
        <f>Q420*H420</f>
        <v>0</v>
      </c>
      <c r="S420" s="2191">
        <v>0</v>
      </c>
      <c r="T420" s="2192">
        <f>S420*H420</f>
        <v>0</v>
      </c>
      <c r="AR420" s="2193" t="s">
        <v>856</v>
      </c>
      <c r="AT420" s="2193" t="s">
        <v>3286</v>
      </c>
      <c r="AU420" s="2193" t="s">
        <v>134</v>
      </c>
      <c r="AY420" s="2056" t="s">
        <v>3285</v>
      </c>
      <c r="BE420" s="2194">
        <f>IF(N420="základní",J420,0)</f>
        <v>0</v>
      </c>
      <c r="BF420" s="2194">
        <f>IF(N420="snížená",J420,0)</f>
        <v>0</v>
      </c>
      <c r="BG420" s="2194">
        <f>IF(N420="zákl. přenesená",J420,0)</f>
        <v>0</v>
      </c>
      <c r="BH420" s="2194">
        <f>IF(N420="sníž. přenesená",J420,0)</f>
        <v>0</v>
      </c>
      <c r="BI420" s="2194">
        <f>IF(N420="nulová",J420,0)</f>
        <v>0</v>
      </c>
      <c r="BJ420" s="2056" t="s">
        <v>134</v>
      </c>
      <c r="BK420" s="2194">
        <f>ROUND(I420*H420,2)</f>
        <v>0</v>
      </c>
      <c r="BL420" s="2056" t="s">
        <v>856</v>
      </c>
      <c r="BM420" s="2193" t="s">
        <v>3550</v>
      </c>
    </row>
    <row r="421" spans="2:65" s="2070" customFormat="1" ht="24.2" customHeight="1">
      <c r="B421" s="2164"/>
      <c r="C421" s="4608">
        <v>66</v>
      </c>
      <c r="D421" s="4608" t="s">
        <v>3286</v>
      </c>
      <c r="E421" s="4609" t="s">
        <v>3552</v>
      </c>
      <c r="F421" s="4610" t="s">
        <v>3553</v>
      </c>
      <c r="G421" s="4611" t="s">
        <v>611</v>
      </c>
      <c r="H421" s="4612">
        <v>302.76799999999997</v>
      </c>
      <c r="I421" s="4613"/>
      <c r="J421" s="4613">
        <f>ROUND(I421*H421,2)</f>
        <v>0</v>
      </c>
      <c r="K421" s="4610" t="s">
        <v>142</v>
      </c>
      <c r="L421" s="2071"/>
      <c r="M421" s="2190" t="s">
        <v>3146</v>
      </c>
      <c r="N421" s="2163" t="s">
        <v>3181</v>
      </c>
      <c r="O421" s="2191">
        <v>5.2999999999999999E-2</v>
      </c>
      <c r="P421" s="2191">
        <f>O421*H421</f>
        <v>16.046703999999998</v>
      </c>
      <c r="Q421" s="2191">
        <v>2.5999999999999999E-3</v>
      </c>
      <c r="R421" s="2191">
        <f>Q421*H421</f>
        <v>0.78719679999999992</v>
      </c>
      <c r="S421" s="2191">
        <v>0</v>
      </c>
      <c r="T421" s="2192">
        <f>S421*H421</f>
        <v>0</v>
      </c>
      <c r="AR421" s="2193" t="s">
        <v>856</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856</v>
      </c>
      <c r="BM421" s="2193" t="s">
        <v>3554</v>
      </c>
    </row>
    <row r="422" spans="2:65" s="2195" customFormat="1">
      <c r="B422" s="2196"/>
      <c r="D422" s="2197" t="s">
        <v>3303</v>
      </c>
      <c r="E422" s="2198" t="s">
        <v>3146</v>
      </c>
      <c r="F422" s="2199" t="s">
        <v>3517</v>
      </c>
      <c r="H422" s="2198" t="s">
        <v>3146</v>
      </c>
      <c r="L422" s="2196"/>
      <c r="M422" s="2200"/>
      <c r="T422" s="2201"/>
      <c r="AT422" s="2198" t="s">
        <v>3303</v>
      </c>
      <c r="AU422" s="2198" t="s">
        <v>134</v>
      </c>
      <c r="AV422" s="2195" t="s">
        <v>133</v>
      </c>
      <c r="AW422" s="2195" t="s">
        <v>3171</v>
      </c>
      <c r="AX422" s="2195" t="s">
        <v>3213</v>
      </c>
      <c r="AY422" s="2198" t="s">
        <v>3285</v>
      </c>
    </row>
    <row r="423" spans="2:65" s="2209" customFormat="1" ht="22.5">
      <c r="B423" s="2210"/>
      <c r="D423" s="2197" t="s">
        <v>3303</v>
      </c>
      <c r="E423" s="2211" t="s">
        <v>3146</v>
      </c>
      <c r="F423" s="2212" t="s">
        <v>3536</v>
      </c>
      <c r="H423" s="2213">
        <v>91.727999999999994</v>
      </c>
      <c r="L423" s="2210"/>
      <c r="M423" s="2214"/>
      <c r="T423" s="2215"/>
      <c r="AT423" s="2211" t="s">
        <v>3303</v>
      </c>
      <c r="AU423" s="2211" t="s">
        <v>134</v>
      </c>
      <c r="AV423" s="2209" t="s">
        <v>134</v>
      </c>
      <c r="AW423" s="2209" t="s">
        <v>3171</v>
      </c>
      <c r="AX423" s="2209" t="s">
        <v>3213</v>
      </c>
      <c r="AY423" s="2211" t="s">
        <v>3285</v>
      </c>
    </row>
    <row r="424" spans="2:65" s="2209" customFormat="1">
      <c r="B424" s="2210"/>
      <c r="D424" s="2197" t="s">
        <v>3303</v>
      </c>
      <c r="E424" s="2211" t="s">
        <v>3146</v>
      </c>
      <c r="F424" s="2212" t="s">
        <v>3537</v>
      </c>
      <c r="H424" s="2213">
        <v>32.256</v>
      </c>
      <c r="L424" s="2210"/>
      <c r="M424" s="2214"/>
      <c r="T424" s="2215"/>
      <c r="AT424" s="2211" t="s">
        <v>3303</v>
      </c>
      <c r="AU424" s="2211" t="s">
        <v>134</v>
      </c>
      <c r="AV424" s="2209" t="s">
        <v>134</v>
      </c>
      <c r="AW424" s="2209" t="s">
        <v>3171</v>
      </c>
      <c r="AX424" s="2209" t="s">
        <v>3213</v>
      </c>
      <c r="AY424" s="2211" t="s">
        <v>3285</v>
      </c>
    </row>
    <row r="425" spans="2:65" s="2209" customFormat="1" ht="22.5">
      <c r="B425" s="2210"/>
      <c r="D425" s="2197" t="s">
        <v>3303</v>
      </c>
      <c r="E425" s="2211" t="s">
        <v>3146</v>
      </c>
      <c r="F425" s="2212" t="s">
        <v>3538</v>
      </c>
      <c r="H425" s="2213">
        <v>158.98400000000001</v>
      </c>
      <c r="L425" s="2210"/>
      <c r="M425" s="2214"/>
      <c r="T425" s="2215"/>
      <c r="AT425" s="2211" t="s">
        <v>3303</v>
      </c>
      <c r="AU425" s="2211" t="s">
        <v>134</v>
      </c>
      <c r="AV425" s="2209" t="s">
        <v>134</v>
      </c>
      <c r="AW425" s="2209" t="s">
        <v>3171</v>
      </c>
      <c r="AX425" s="2209" t="s">
        <v>3213</v>
      </c>
      <c r="AY425" s="2211" t="s">
        <v>3285</v>
      </c>
    </row>
    <row r="426" spans="2:65" s="2209" customFormat="1">
      <c r="B426" s="2210"/>
      <c r="D426" s="2197" t="s">
        <v>3303</v>
      </c>
      <c r="E426" s="2211" t="s">
        <v>3146</v>
      </c>
      <c r="F426" s="2212" t="s">
        <v>3539</v>
      </c>
      <c r="H426" s="2213">
        <v>19.8</v>
      </c>
      <c r="L426" s="2210"/>
      <c r="M426" s="2214"/>
      <c r="T426" s="2215"/>
      <c r="AT426" s="2211" t="s">
        <v>3303</v>
      </c>
      <c r="AU426" s="2211" t="s">
        <v>134</v>
      </c>
      <c r="AV426" s="2209" t="s">
        <v>134</v>
      </c>
      <c r="AW426" s="2209" t="s">
        <v>3171</v>
      </c>
      <c r="AX426" s="2209" t="s">
        <v>3213</v>
      </c>
      <c r="AY426" s="2211" t="s">
        <v>3285</v>
      </c>
    </row>
    <row r="427" spans="2:65" s="2202" customFormat="1">
      <c r="B427" s="2203"/>
      <c r="D427" s="2197" t="s">
        <v>3303</v>
      </c>
      <c r="E427" s="2204" t="s">
        <v>3146</v>
      </c>
      <c r="F427" s="2205" t="s">
        <v>3305</v>
      </c>
      <c r="H427" s="2206">
        <v>302.76799999999997</v>
      </c>
      <c r="L427" s="2203"/>
      <c r="M427" s="2207"/>
      <c r="T427" s="2208"/>
      <c r="AT427" s="2204" t="s">
        <v>3303</v>
      </c>
      <c r="AU427" s="2204" t="s">
        <v>134</v>
      </c>
      <c r="AV427" s="2202" t="s">
        <v>854</v>
      </c>
      <c r="AW427" s="2202" t="s">
        <v>3171</v>
      </c>
      <c r="AX427" s="2202" t="s">
        <v>3213</v>
      </c>
      <c r="AY427" s="2204" t="s">
        <v>3285</v>
      </c>
    </row>
    <row r="428" spans="2:65" s="2216" customFormat="1">
      <c r="B428" s="2217"/>
      <c r="D428" s="2197" t="s">
        <v>3303</v>
      </c>
      <c r="E428" s="2218" t="s">
        <v>3146</v>
      </c>
      <c r="F428" s="2219" t="s">
        <v>3306</v>
      </c>
      <c r="H428" s="2220">
        <v>302.76799999999997</v>
      </c>
      <c r="L428" s="2217"/>
      <c r="M428" s="2221"/>
      <c r="T428" s="2222"/>
      <c r="AT428" s="2218" t="s">
        <v>3303</v>
      </c>
      <c r="AU428" s="2218" t="s">
        <v>134</v>
      </c>
      <c r="AV428" s="2216" t="s">
        <v>856</v>
      </c>
      <c r="AW428" s="2216" t="s">
        <v>3171</v>
      </c>
      <c r="AX428" s="2216" t="s">
        <v>133</v>
      </c>
      <c r="AY428" s="2218" t="s">
        <v>3285</v>
      </c>
    </row>
    <row r="429" spans="2:65" s="2070" customFormat="1" ht="16.5" customHeight="1">
      <c r="B429" s="2164"/>
      <c r="C429" s="4608">
        <v>67</v>
      </c>
      <c r="D429" s="4608" t="s">
        <v>3286</v>
      </c>
      <c r="E429" s="4609" t="s">
        <v>3556</v>
      </c>
      <c r="F429" s="4610" t="s">
        <v>3557</v>
      </c>
      <c r="G429" s="4611" t="s">
        <v>302</v>
      </c>
      <c r="H429" s="4612">
        <v>88.442999999999998</v>
      </c>
      <c r="I429" s="4613"/>
      <c r="J429" s="4613">
        <f>ROUND(I429*H429,2)</f>
        <v>0</v>
      </c>
      <c r="K429" s="4610" t="s">
        <v>142</v>
      </c>
      <c r="L429" s="2071"/>
      <c r="M429" s="2190" t="s">
        <v>3146</v>
      </c>
      <c r="N429" s="2163" t="s">
        <v>3181</v>
      </c>
      <c r="O429" s="2191">
        <v>25.327000000000002</v>
      </c>
      <c r="P429" s="2191">
        <f>O429*H429</f>
        <v>2239.9958609999999</v>
      </c>
      <c r="Q429" s="2191">
        <v>1.0463199999999999</v>
      </c>
      <c r="R429" s="2191">
        <f>Q429*H429</f>
        <v>92.539679759999984</v>
      </c>
      <c r="S429" s="2191">
        <v>0</v>
      </c>
      <c r="T429" s="2192">
        <f>S429*H429</f>
        <v>0</v>
      </c>
      <c r="AR429" s="2193" t="s">
        <v>856</v>
      </c>
      <c r="AT429" s="2193" t="s">
        <v>3286</v>
      </c>
      <c r="AU429" s="2193" t="s">
        <v>134</v>
      </c>
      <c r="AY429" s="2056" t="s">
        <v>3285</v>
      </c>
      <c r="BE429" s="2194">
        <f>IF(N429="základní",J429,0)</f>
        <v>0</v>
      </c>
      <c r="BF429" s="2194">
        <f>IF(N429="snížená",J429,0)</f>
        <v>0</v>
      </c>
      <c r="BG429" s="2194">
        <f>IF(N429="zákl. přenesená",J429,0)</f>
        <v>0</v>
      </c>
      <c r="BH429" s="2194">
        <f>IF(N429="sníž. přenesená",J429,0)</f>
        <v>0</v>
      </c>
      <c r="BI429" s="2194">
        <f>IF(N429="nulová",J429,0)</f>
        <v>0</v>
      </c>
      <c r="BJ429" s="2056" t="s">
        <v>134</v>
      </c>
      <c r="BK429" s="2194">
        <f>ROUND(I429*H429,2)</f>
        <v>0</v>
      </c>
      <c r="BL429" s="2056" t="s">
        <v>856</v>
      </c>
      <c r="BM429" s="2193" t="s">
        <v>3558</v>
      </c>
    </row>
    <row r="430" spans="2:65" s="2209" customFormat="1">
      <c r="B430" s="2210"/>
      <c r="D430" s="2197" t="s">
        <v>3303</v>
      </c>
      <c r="E430" s="2211" t="s">
        <v>3146</v>
      </c>
      <c r="F430" s="2212" t="s">
        <v>10748</v>
      </c>
      <c r="H430" s="2213">
        <v>82.613</v>
      </c>
      <c r="L430" s="2210"/>
      <c r="M430" s="2214"/>
      <c r="T430" s="2215"/>
      <c r="AT430" s="2211" t="s">
        <v>3303</v>
      </c>
      <c r="AU430" s="2211" t="s">
        <v>134</v>
      </c>
      <c r="AV430" s="2209" t="s">
        <v>134</v>
      </c>
      <c r="AW430" s="2209" t="s">
        <v>3171</v>
      </c>
      <c r="AX430" s="2209" t="s">
        <v>3213</v>
      </c>
      <c r="AY430" s="2211" t="s">
        <v>3285</v>
      </c>
    </row>
    <row r="431" spans="2:65" s="2209" customFormat="1">
      <c r="B431" s="2210"/>
      <c r="D431" s="2197" t="s">
        <v>3303</v>
      </c>
      <c r="E431" s="2211" t="s">
        <v>3146</v>
      </c>
      <c r="F431" s="2212" t="s">
        <v>10749</v>
      </c>
      <c r="H431" s="2213">
        <v>3.254</v>
      </c>
      <c r="L431" s="2210"/>
      <c r="M431" s="2214"/>
      <c r="T431" s="2215"/>
      <c r="AT431" s="2211" t="s">
        <v>3303</v>
      </c>
      <c r="AU431" s="2211" t="s">
        <v>134</v>
      </c>
      <c r="AV431" s="2209" t="s">
        <v>134</v>
      </c>
      <c r="AW431" s="2209" t="s">
        <v>3171</v>
      </c>
      <c r="AX431" s="2209" t="s">
        <v>3213</v>
      </c>
      <c r="AY431" s="2211" t="s">
        <v>3285</v>
      </c>
    </row>
    <row r="432" spans="2:65" s="2202" customFormat="1">
      <c r="B432" s="2203"/>
      <c r="D432" s="2197" t="s">
        <v>3303</v>
      </c>
      <c r="E432" s="2204" t="s">
        <v>3146</v>
      </c>
      <c r="F432" s="2205" t="s">
        <v>3305</v>
      </c>
      <c r="H432" s="2206">
        <v>85.867000000000004</v>
      </c>
      <c r="L432" s="2203"/>
      <c r="M432" s="2207"/>
      <c r="T432" s="2208"/>
      <c r="AT432" s="2204" t="s">
        <v>3303</v>
      </c>
      <c r="AU432" s="2204" t="s">
        <v>134</v>
      </c>
      <c r="AV432" s="2202" t="s">
        <v>854</v>
      </c>
      <c r="AW432" s="2202" t="s">
        <v>3171</v>
      </c>
      <c r="AX432" s="2202" t="s">
        <v>133</v>
      </c>
      <c r="AY432" s="2204" t="s">
        <v>3285</v>
      </c>
    </row>
    <row r="433" spans="2:65" s="2209" customFormat="1">
      <c r="B433" s="2210"/>
      <c r="D433" s="2197" t="s">
        <v>3303</v>
      </c>
      <c r="F433" s="2212" t="s">
        <v>10750</v>
      </c>
      <c r="H433" s="2213">
        <v>88.442999999999998</v>
      </c>
      <c r="L433" s="2210"/>
      <c r="M433" s="2214"/>
      <c r="T433" s="2215"/>
      <c r="AT433" s="2211" t="s">
        <v>3303</v>
      </c>
      <c r="AU433" s="2211" t="s">
        <v>134</v>
      </c>
      <c r="AV433" s="2209" t="s">
        <v>134</v>
      </c>
      <c r="AW433" s="2209" t="s">
        <v>3148</v>
      </c>
      <c r="AX433" s="2209" t="s">
        <v>133</v>
      </c>
      <c r="AY433" s="2211" t="s">
        <v>3285</v>
      </c>
    </row>
    <row r="434" spans="2:65" s="2070" customFormat="1" ht="24.2" customHeight="1">
      <c r="B434" s="2164"/>
      <c r="C434" s="4608">
        <v>68</v>
      </c>
      <c r="D434" s="4608" t="s">
        <v>3286</v>
      </c>
      <c r="E434" s="4609" t="s">
        <v>3560</v>
      </c>
      <c r="F434" s="4610" t="s">
        <v>3561</v>
      </c>
      <c r="G434" s="4611" t="s">
        <v>611</v>
      </c>
      <c r="H434" s="4612">
        <v>105.72</v>
      </c>
      <c r="I434" s="4613"/>
      <c r="J434" s="4613">
        <f>ROUND(I434*H434,2)</f>
        <v>0</v>
      </c>
      <c r="K434" s="4610" t="s">
        <v>142</v>
      </c>
      <c r="L434" s="2071"/>
      <c r="M434" s="2190" t="s">
        <v>3146</v>
      </c>
      <c r="N434" s="2163" t="s">
        <v>3181</v>
      </c>
      <c r="O434" s="2191">
        <v>0.54600000000000004</v>
      </c>
      <c r="P434" s="2191">
        <f>O434*H434</f>
        <v>57.723120000000002</v>
      </c>
      <c r="Q434" s="2191">
        <v>7.9210000000000003E-2</v>
      </c>
      <c r="R434" s="2191">
        <f>Q434*H434</f>
        <v>8.3740812000000009</v>
      </c>
      <c r="S434" s="2191">
        <v>0</v>
      </c>
      <c r="T434" s="2192">
        <f>S434*H434</f>
        <v>0</v>
      </c>
      <c r="AR434" s="2193" t="s">
        <v>856</v>
      </c>
      <c r="AT434" s="2193" t="s">
        <v>3286</v>
      </c>
      <c r="AU434" s="2193" t="s">
        <v>134</v>
      </c>
      <c r="AY434" s="2056" t="s">
        <v>3285</v>
      </c>
      <c r="BE434" s="2194">
        <f>IF(N434="základní",J434,0)</f>
        <v>0</v>
      </c>
      <c r="BF434" s="2194">
        <f>IF(N434="snížená",J434,0)</f>
        <v>0</v>
      </c>
      <c r="BG434" s="2194">
        <f>IF(N434="zákl. přenesená",J434,0)</f>
        <v>0</v>
      </c>
      <c r="BH434" s="2194">
        <f>IF(N434="sníž. přenesená",J434,0)</f>
        <v>0</v>
      </c>
      <c r="BI434" s="2194">
        <f>IF(N434="nulová",J434,0)</f>
        <v>0</v>
      </c>
      <c r="BJ434" s="2056" t="s">
        <v>134</v>
      </c>
      <c r="BK434" s="2194">
        <f>ROUND(I434*H434,2)</f>
        <v>0</v>
      </c>
      <c r="BL434" s="2056" t="s">
        <v>856</v>
      </c>
      <c r="BM434" s="2193" t="s">
        <v>3562</v>
      </c>
    </row>
    <row r="435" spans="2:65" s="2195" customFormat="1">
      <c r="B435" s="2196"/>
      <c r="D435" s="2197" t="s">
        <v>3303</v>
      </c>
      <c r="E435" s="2198" t="s">
        <v>3146</v>
      </c>
      <c r="F435" s="2199" t="s">
        <v>3563</v>
      </c>
      <c r="H435" s="2198" t="s">
        <v>3146</v>
      </c>
      <c r="L435" s="2196"/>
      <c r="M435" s="2200"/>
      <c r="T435" s="2201"/>
      <c r="AT435" s="2198" t="s">
        <v>3303</v>
      </c>
      <c r="AU435" s="2198" t="s">
        <v>134</v>
      </c>
      <c r="AV435" s="2195" t="s">
        <v>133</v>
      </c>
      <c r="AW435" s="2195" t="s">
        <v>3171</v>
      </c>
      <c r="AX435" s="2195" t="s">
        <v>3213</v>
      </c>
      <c r="AY435" s="2198" t="s">
        <v>3285</v>
      </c>
    </row>
    <row r="436" spans="2:65" s="2209" customFormat="1">
      <c r="B436" s="2210"/>
      <c r="D436" s="2197" t="s">
        <v>3303</v>
      </c>
      <c r="E436" s="2211" t="s">
        <v>3146</v>
      </c>
      <c r="F436" s="2212" t="s">
        <v>3564</v>
      </c>
      <c r="H436" s="2213">
        <v>105.72</v>
      </c>
      <c r="L436" s="2210"/>
      <c r="M436" s="2214"/>
      <c r="T436" s="2215"/>
      <c r="AT436" s="2211" t="s">
        <v>3303</v>
      </c>
      <c r="AU436" s="2211" t="s">
        <v>134</v>
      </c>
      <c r="AV436" s="2209" t="s">
        <v>134</v>
      </c>
      <c r="AW436" s="2209" t="s">
        <v>3171</v>
      </c>
      <c r="AX436" s="2209" t="s">
        <v>3213</v>
      </c>
      <c r="AY436" s="2211" t="s">
        <v>3285</v>
      </c>
    </row>
    <row r="437" spans="2:65" s="2216" customFormat="1">
      <c r="B437" s="2217"/>
      <c r="D437" s="2197" t="s">
        <v>3303</v>
      </c>
      <c r="E437" s="2218" t="s">
        <v>3146</v>
      </c>
      <c r="F437" s="2219" t="s">
        <v>3306</v>
      </c>
      <c r="H437" s="2220">
        <v>105.72</v>
      </c>
      <c r="L437" s="2217"/>
      <c r="M437" s="2221"/>
      <c r="T437" s="2222"/>
      <c r="AT437" s="2218" t="s">
        <v>3303</v>
      </c>
      <c r="AU437" s="2218" t="s">
        <v>134</v>
      </c>
      <c r="AV437" s="2216" t="s">
        <v>856</v>
      </c>
      <c r="AW437" s="2216" t="s">
        <v>3171</v>
      </c>
      <c r="AX437" s="2216" t="s">
        <v>133</v>
      </c>
      <c r="AY437" s="2218" t="s">
        <v>3285</v>
      </c>
    </row>
    <row r="438" spans="2:65" s="2070" customFormat="1" ht="21.75" customHeight="1">
      <c r="B438" s="2164"/>
      <c r="C438" s="4608">
        <v>69</v>
      </c>
      <c r="D438" s="4608" t="s">
        <v>3286</v>
      </c>
      <c r="E438" s="4609" t="s">
        <v>3566</v>
      </c>
      <c r="F438" s="4610" t="s">
        <v>3567</v>
      </c>
      <c r="G438" s="4611" t="s">
        <v>221</v>
      </c>
      <c r="H438" s="4612">
        <v>29.58</v>
      </c>
      <c r="I438" s="4613"/>
      <c r="J438" s="4613">
        <f>ROUND(I438*H438,2)</f>
        <v>0</v>
      </c>
      <c r="K438" s="4610" t="s">
        <v>142</v>
      </c>
      <c r="L438" s="2071"/>
      <c r="M438" s="2190" t="s">
        <v>3146</v>
      </c>
      <c r="N438" s="2163" t="s">
        <v>3181</v>
      </c>
      <c r="O438" s="2191">
        <v>1.4490000000000001</v>
      </c>
      <c r="P438" s="2191">
        <f>O438*H438</f>
        <v>42.861420000000003</v>
      </c>
      <c r="Q438" s="2191">
        <v>2.5018699999999998</v>
      </c>
      <c r="R438" s="2191">
        <f>Q438*H438</f>
        <v>74.005314599999991</v>
      </c>
      <c r="S438" s="2191">
        <v>0</v>
      </c>
      <c r="T438" s="2192">
        <f>S438*H438</f>
        <v>0</v>
      </c>
      <c r="AR438" s="2193" t="s">
        <v>856</v>
      </c>
      <c r="AT438" s="2193" t="s">
        <v>3286</v>
      </c>
      <c r="AU438" s="2193" t="s">
        <v>134</v>
      </c>
      <c r="AY438" s="2056" t="s">
        <v>3285</v>
      </c>
      <c r="BE438" s="2194">
        <f>IF(N438="základní",J438,0)</f>
        <v>0</v>
      </c>
      <c r="BF438" s="2194">
        <f>IF(N438="snížená",J438,0)</f>
        <v>0</v>
      </c>
      <c r="BG438" s="2194">
        <f>IF(N438="zákl. přenesená",J438,0)</f>
        <v>0</v>
      </c>
      <c r="BH438" s="2194">
        <f>IF(N438="sníž. přenesená",J438,0)</f>
        <v>0</v>
      </c>
      <c r="BI438" s="2194">
        <f>IF(N438="nulová",J438,0)</f>
        <v>0</v>
      </c>
      <c r="BJ438" s="2056" t="s">
        <v>134</v>
      </c>
      <c r="BK438" s="2194">
        <f>ROUND(I438*H438,2)</f>
        <v>0</v>
      </c>
      <c r="BL438" s="2056" t="s">
        <v>856</v>
      </c>
      <c r="BM438" s="2193" t="s">
        <v>3568</v>
      </c>
    </row>
    <row r="439" spans="2:65" s="2195" customFormat="1">
      <c r="B439" s="2196"/>
      <c r="D439" s="2197" t="s">
        <v>3303</v>
      </c>
      <c r="E439" s="2198" t="s">
        <v>3146</v>
      </c>
      <c r="F439" s="2199" t="s">
        <v>3569</v>
      </c>
      <c r="H439" s="2198" t="s">
        <v>3146</v>
      </c>
      <c r="L439" s="2196"/>
      <c r="M439" s="2200"/>
      <c r="T439" s="2201"/>
      <c r="AT439" s="2198" t="s">
        <v>3303</v>
      </c>
      <c r="AU439" s="2198" t="s">
        <v>134</v>
      </c>
      <c r="AV439" s="2195" t="s">
        <v>133</v>
      </c>
      <c r="AW439" s="2195" t="s">
        <v>3171</v>
      </c>
      <c r="AX439" s="2195" t="s">
        <v>3213</v>
      </c>
      <c r="AY439" s="2198" t="s">
        <v>3285</v>
      </c>
    </row>
    <row r="440" spans="2:65" s="2209" customFormat="1">
      <c r="B440" s="2210"/>
      <c r="D440" s="2197" t="s">
        <v>3303</v>
      </c>
      <c r="E440" s="2211" t="s">
        <v>3146</v>
      </c>
      <c r="F440" s="2212" t="s">
        <v>3570</v>
      </c>
      <c r="H440" s="2213">
        <v>29.58</v>
      </c>
      <c r="L440" s="2210"/>
      <c r="M440" s="2214"/>
      <c r="T440" s="2215"/>
      <c r="AT440" s="2211" t="s">
        <v>3303</v>
      </c>
      <c r="AU440" s="2211" t="s">
        <v>134</v>
      </c>
      <c r="AV440" s="2209" t="s">
        <v>134</v>
      </c>
      <c r="AW440" s="2209" t="s">
        <v>3171</v>
      </c>
      <c r="AX440" s="2209" t="s">
        <v>3213</v>
      </c>
      <c r="AY440" s="2211" t="s">
        <v>3285</v>
      </c>
    </row>
    <row r="441" spans="2:65" s="2216" customFormat="1">
      <c r="B441" s="2217"/>
      <c r="D441" s="2197" t="s">
        <v>3303</v>
      </c>
      <c r="E441" s="2218" t="s">
        <v>3146</v>
      </c>
      <c r="F441" s="2219" t="s">
        <v>3306</v>
      </c>
      <c r="H441" s="2220">
        <v>29.58</v>
      </c>
      <c r="L441" s="2217"/>
      <c r="M441" s="2221"/>
      <c r="T441" s="2222"/>
      <c r="AT441" s="2218" t="s">
        <v>3303</v>
      </c>
      <c r="AU441" s="2218" t="s">
        <v>134</v>
      </c>
      <c r="AV441" s="2216" t="s">
        <v>856</v>
      </c>
      <c r="AW441" s="2216" t="s">
        <v>3171</v>
      </c>
      <c r="AX441" s="2216" t="s">
        <v>133</v>
      </c>
      <c r="AY441" s="2218" t="s">
        <v>3285</v>
      </c>
    </row>
    <row r="442" spans="2:65" s="2178" customFormat="1" ht="22.9" customHeight="1">
      <c r="B442" s="2179"/>
      <c r="D442" s="2180" t="s">
        <v>3212</v>
      </c>
      <c r="E442" s="2188" t="s">
        <v>856</v>
      </c>
      <c r="F442" s="2188" t="s">
        <v>910</v>
      </c>
      <c r="J442" s="2189">
        <f>BK442</f>
        <v>0</v>
      </c>
      <c r="L442" s="2179"/>
      <c r="M442" s="2183"/>
      <c r="P442" s="2184">
        <f>SUM(P443:P533)</f>
        <v>10210.904622999997</v>
      </c>
      <c r="R442" s="2184">
        <f>SUM(R443:R533)</f>
        <v>2714.0400415400004</v>
      </c>
      <c r="T442" s="2185">
        <f>SUM(T443:T533)</f>
        <v>0</v>
      </c>
      <c r="AR442" s="2180" t="s">
        <v>133</v>
      </c>
      <c r="AT442" s="2186" t="s">
        <v>3212</v>
      </c>
      <c r="AU442" s="2186" t="s">
        <v>133</v>
      </c>
      <c r="AY442" s="2180" t="s">
        <v>3285</v>
      </c>
      <c r="BK442" s="2187">
        <f>SUM(BK443:BK533)</f>
        <v>0</v>
      </c>
    </row>
    <row r="443" spans="2:65" s="2070" customFormat="1" ht="16.5" customHeight="1">
      <c r="B443" s="2164"/>
      <c r="C443" s="4608">
        <v>70</v>
      </c>
      <c r="D443" s="4608" t="s">
        <v>3286</v>
      </c>
      <c r="E443" s="4609" t="s">
        <v>3572</v>
      </c>
      <c r="F443" s="4610" t="s">
        <v>3573</v>
      </c>
      <c r="G443" s="4611" t="s">
        <v>221</v>
      </c>
      <c r="H443" s="4612">
        <v>998.03300000000002</v>
      </c>
      <c r="I443" s="4613"/>
      <c r="J443" s="4613">
        <f>ROUND(I443*H443,2)</f>
        <v>0</v>
      </c>
      <c r="K443" s="4610" t="s">
        <v>142</v>
      </c>
      <c r="L443" s="2071"/>
      <c r="M443" s="2190" t="s">
        <v>3146</v>
      </c>
      <c r="N443" s="2163" t="s">
        <v>3181</v>
      </c>
      <c r="O443" s="2191">
        <v>1.224</v>
      </c>
      <c r="P443" s="2191">
        <f>O443*H443</f>
        <v>1221.592392</v>
      </c>
      <c r="Q443" s="2191">
        <v>2.5020099999999998</v>
      </c>
      <c r="R443" s="2191">
        <f>Q443*H443</f>
        <v>2497.0885463300001</v>
      </c>
      <c r="S443" s="2191">
        <v>0</v>
      </c>
      <c r="T443" s="2192">
        <f>S443*H443</f>
        <v>0</v>
      </c>
      <c r="AR443" s="2193" t="s">
        <v>856</v>
      </c>
      <c r="AT443" s="2193" t="s">
        <v>3286</v>
      </c>
      <c r="AU443" s="2193" t="s">
        <v>134</v>
      </c>
      <c r="AY443" s="2056" t="s">
        <v>3285</v>
      </c>
      <c r="BE443" s="2194">
        <f>IF(N443="základní",J443,0)</f>
        <v>0</v>
      </c>
      <c r="BF443" s="2194">
        <f>IF(N443="snížená",J443,0)</f>
        <v>0</v>
      </c>
      <c r="BG443" s="2194">
        <f>IF(N443="zákl. přenesená",J443,0)</f>
        <v>0</v>
      </c>
      <c r="BH443" s="2194">
        <f>IF(N443="sníž. přenesená",J443,0)</f>
        <v>0</v>
      </c>
      <c r="BI443" s="2194">
        <f>IF(N443="nulová",J443,0)</f>
        <v>0</v>
      </c>
      <c r="BJ443" s="2056" t="s">
        <v>134</v>
      </c>
      <c r="BK443" s="2194">
        <f>ROUND(I443*H443,2)</f>
        <v>0</v>
      </c>
      <c r="BL443" s="2056" t="s">
        <v>856</v>
      </c>
      <c r="BM443" s="2193" t="s">
        <v>3574</v>
      </c>
    </row>
    <row r="444" spans="2:65" s="2195" customFormat="1">
      <c r="B444" s="2196"/>
      <c r="D444" s="2197" t="s">
        <v>3303</v>
      </c>
      <c r="E444" s="2198" t="s">
        <v>3146</v>
      </c>
      <c r="F444" s="2199" t="s">
        <v>3517</v>
      </c>
      <c r="H444" s="2198" t="s">
        <v>3146</v>
      </c>
      <c r="L444" s="2196"/>
      <c r="M444" s="2200"/>
      <c r="T444" s="2201"/>
      <c r="AT444" s="2198" t="s">
        <v>3303</v>
      </c>
      <c r="AU444" s="2198" t="s">
        <v>134</v>
      </c>
      <c r="AV444" s="2195" t="s">
        <v>133</v>
      </c>
      <c r="AW444" s="2195" t="s">
        <v>3171</v>
      </c>
      <c r="AX444" s="2195" t="s">
        <v>3213</v>
      </c>
      <c r="AY444" s="2198" t="s">
        <v>3285</v>
      </c>
    </row>
    <row r="445" spans="2:65" s="2209" customFormat="1">
      <c r="B445" s="2210"/>
      <c r="D445" s="2197" t="s">
        <v>3303</v>
      </c>
      <c r="E445" s="2211" t="s">
        <v>3146</v>
      </c>
      <c r="F445" s="2212" t="s">
        <v>3575</v>
      </c>
      <c r="H445" s="2213">
        <v>262.20999999999998</v>
      </c>
      <c r="L445" s="2210"/>
      <c r="M445" s="2214"/>
      <c r="T445" s="2215"/>
      <c r="AT445" s="2211" t="s">
        <v>3303</v>
      </c>
      <c r="AU445" s="2211" t="s">
        <v>134</v>
      </c>
      <c r="AV445" s="2209" t="s">
        <v>134</v>
      </c>
      <c r="AW445" s="2209" t="s">
        <v>3171</v>
      </c>
      <c r="AX445" s="2209" t="s">
        <v>3213</v>
      </c>
      <c r="AY445" s="2211" t="s">
        <v>3285</v>
      </c>
    </row>
    <row r="446" spans="2:65" s="2195" customFormat="1">
      <c r="B446" s="2196"/>
      <c r="D446" s="2197" t="s">
        <v>3303</v>
      </c>
      <c r="E446" s="2198" t="s">
        <v>3146</v>
      </c>
      <c r="F446" s="2199" t="s">
        <v>3576</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3577</v>
      </c>
      <c r="H447" s="2213">
        <v>223.76599999999999</v>
      </c>
      <c r="L447" s="2210"/>
      <c r="M447" s="2214"/>
      <c r="T447" s="2215"/>
      <c r="AT447" s="2211" t="s">
        <v>3303</v>
      </c>
      <c r="AU447" s="2211" t="s">
        <v>134</v>
      </c>
      <c r="AV447" s="2209" t="s">
        <v>134</v>
      </c>
      <c r="AW447" s="2209" t="s">
        <v>3171</v>
      </c>
      <c r="AX447" s="2209" t="s">
        <v>3213</v>
      </c>
      <c r="AY447" s="2211" t="s">
        <v>3285</v>
      </c>
    </row>
    <row r="448" spans="2:65" s="2195" customFormat="1">
      <c r="B448" s="2196"/>
      <c r="D448" s="2197" t="s">
        <v>3303</v>
      </c>
      <c r="E448" s="2198" t="s">
        <v>3146</v>
      </c>
      <c r="F448" s="2199" t="s">
        <v>3578</v>
      </c>
      <c r="H448" s="2198" t="s">
        <v>3146</v>
      </c>
      <c r="L448" s="2196"/>
      <c r="M448" s="2200"/>
      <c r="T448" s="2201"/>
      <c r="AT448" s="2198" t="s">
        <v>3303</v>
      </c>
      <c r="AU448" s="2198" t="s">
        <v>134</v>
      </c>
      <c r="AV448" s="2195" t="s">
        <v>133</v>
      </c>
      <c r="AW448" s="2195" t="s">
        <v>3171</v>
      </c>
      <c r="AX448" s="2195" t="s">
        <v>3213</v>
      </c>
      <c r="AY448" s="2198" t="s">
        <v>3285</v>
      </c>
    </row>
    <row r="449" spans="2:65" s="2209" customFormat="1">
      <c r="B449" s="2210"/>
      <c r="D449" s="2197" t="s">
        <v>3303</v>
      </c>
      <c r="E449" s="2211" t="s">
        <v>3146</v>
      </c>
      <c r="F449" s="2212" t="s">
        <v>3579</v>
      </c>
      <c r="H449" s="2213">
        <v>256.16000000000003</v>
      </c>
      <c r="L449" s="2210"/>
      <c r="M449" s="2214"/>
      <c r="T449" s="2215"/>
      <c r="AT449" s="2211" t="s">
        <v>3303</v>
      </c>
      <c r="AU449" s="2211" t="s">
        <v>134</v>
      </c>
      <c r="AV449" s="2209" t="s">
        <v>134</v>
      </c>
      <c r="AW449" s="2209" t="s">
        <v>3171</v>
      </c>
      <c r="AX449" s="2209" t="s">
        <v>3213</v>
      </c>
      <c r="AY449" s="2211" t="s">
        <v>3285</v>
      </c>
    </row>
    <row r="450" spans="2:65" s="2195" customFormat="1">
      <c r="B450" s="2196"/>
      <c r="D450" s="2197" t="s">
        <v>3303</v>
      </c>
      <c r="E450" s="2198" t="s">
        <v>3146</v>
      </c>
      <c r="F450" s="2199" t="s">
        <v>3580</v>
      </c>
      <c r="H450" s="2198" t="s">
        <v>3146</v>
      </c>
      <c r="L450" s="2196"/>
      <c r="M450" s="2200"/>
      <c r="T450" s="2201"/>
      <c r="AT450" s="2198" t="s">
        <v>3303</v>
      </c>
      <c r="AU450" s="2198" t="s">
        <v>134</v>
      </c>
      <c r="AV450" s="2195" t="s">
        <v>133</v>
      </c>
      <c r="AW450" s="2195" t="s">
        <v>3171</v>
      </c>
      <c r="AX450" s="2195" t="s">
        <v>3213</v>
      </c>
      <c r="AY450" s="2198" t="s">
        <v>3285</v>
      </c>
    </row>
    <row r="451" spans="2:65" s="2209" customFormat="1">
      <c r="B451" s="2210"/>
      <c r="D451" s="2197" t="s">
        <v>3303</v>
      </c>
      <c r="E451" s="2211" t="s">
        <v>3146</v>
      </c>
      <c r="F451" s="2212" t="s">
        <v>3581</v>
      </c>
      <c r="H451" s="2213">
        <v>255.89699999999999</v>
      </c>
      <c r="L451" s="2210"/>
      <c r="M451" s="2214"/>
      <c r="T451" s="2215"/>
      <c r="AT451" s="2211" t="s">
        <v>3303</v>
      </c>
      <c r="AU451" s="2211" t="s">
        <v>134</v>
      </c>
      <c r="AV451" s="2209" t="s">
        <v>134</v>
      </c>
      <c r="AW451" s="2209" t="s">
        <v>3171</v>
      </c>
      <c r="AX451" s="2209" t="s">
        <v>3213</v>
      </c>
      <c r="AY451" s="2211" t="s">
        <v>3285</v>
      </c>
    </row>
    <row r="452" spans="2:65" s="2216" customFormat="1">
      <c r="B452" s="2217"/>
      <c r="D452" s="2197" t="s">
        <v>3303</v>
      </c>
      <c r="E452" s="2218" t="s">
        <v>3146</v>
      </c>
      <c r="F452" s="2219" t="s">
        <v>3306</v>
      </c>
      <c r="H452" s="2220">
        <v>998.03300000000002</v>
      </c>
      <c r="L452" s="2217"/>
      <c r="M452" s="2221"/>
      <c r="T452" s="2222"/>
      <c r="AT452" s="2218" t="s">
        <v>3303</v>
      </c>
      <c r="AU452" s="2218" t="s">
        <v>134</v>
      </c>
      <c r="AV452" s="2216" t="s">
        <v>856</v>
      </c>
      <c r="AW452" s="2216" t="s">
        <v>3171</v>
      </c>
      <c r="AX452" s="2216" t="s">
        <v>133</v>
      </c>
      <c r="AY452" s="2218" t="s">
        <v>3285</v>
      </c>
    </row>
    <row r="453" spans="2:65" s="2070" customFormat="1" ht="24.2" customHeight="1">
      <c r="B453" s="2164"/>
      <c r="C453" s="4608">
        <v>71</v>
      </c>
      <c r="D453" s="4608" t="s">
        <v>3286</v>
      </c>
      <c r="E453" s="4609" t="s">
        <v>3583</v>
      </c>
      <c r="F453" s="4610" t="s">
        <v>3584</v>
      </c>
      <c r="G453" s="4611" t="s">
        <v>611</v>
      </c>
      <c r="H453" s="4612">
        <v>3992.1289999999999</v>
      </c>
      <c r="I453" s="4613"/>
      <c r="J453" s="4613">
        <f>ROUND(I453*H453,2)</f>
        <v>0</v>
      </c>
      <c r="K453" s="4610" t="s">
        <v>142</v>
      </c>
      <c r="L453" s="2071"/>
      <c r="M453" s="2190" t="s">
        <v>3146</v>
      </c>
      <c r="N453" s="2163" t="s">
        <v>3181</v>
      </c>
      <c r="O453" s="2191">
        <v>0.377</v>
      </c>
      <c r="P453" s="2191">
        <f>O453*H453</f>
        <v>1505.032633</v>
      </c>
      <c r="Q453" s="2191">
        <v>5.3299999999999997E-3</v>
      </c>
      <c r="R453" s="2191">
        <f>Q453*H453</f>
        <v>21.278047569999998</v>
      </c>
      <c r="S453" s="2191">
        <v>0</v>
      </c>
      <c r="T453" s="2192">
        <f>S453*H453</f>
        <v>0</v>
      </c>
      <c r="AR453" s="2193" t="s">
        <v>856</v>
      </c>
      <c r="AT453" s="2193" t="s">
        <v>3286</v>
      </c>
      <c r="AU453" s="2193" t="s">
        <v>134</v>
      </c>
      <c r="AY453" s="2056" t="s">
        <v>3285</v>
      </c>
      <c r="BE453" s="2194">
        <f>IF(N453="základní",J453,0)</f>
        <v>0</v>
      </c>
      <c r="BF453" s="2194">
        <f>IF(N453="snížená",J453,0)</f>
        <v>0</v>
      </c>
      <c r="BG453" s="2194">
        <f>IF(N453="zákl. přenesená",J453,0)</f>
        <v>0</v>
      </c>
      <c r="BH453" s="2194">
        <f>IF(N453="sníž. přenesená",J453,0)</f>
        <v>0</v>
      </c>
      <c r="BI453" s="2194">
        <f>IF(N453="nulová",J453,0)</f>
        <v>0</v>
      </c>
      <c r="BJ453" s="2056" t="s">
        <v>134</v>
      </c>
      <c r="BK453" s="2194">
        <f>ROUND(I453*H453,2)</f>
        <v>0</v>
      </c>
      <c r="BL453" s="2056" t="s">
        <v>856</v>
      </c>
      <c r="BM453" s="2193" t="s">
        <v>3585</v>
      </c>
    </row>
    <row r="454" spans="2:65" s="2195" customFormat="1">
      <c r="B454" s="2196"/>
      <c r="D454" s="2197" t="s">
        <v>3303</v>
      </c>
      <c r="E454" s="2198" t="s">
        <v>3146</v>
      </c>
      <c r="F454" s="2199" t="s">
        <v>3517</v>
      </c>
      <c r="H454" s="2198" t="s">
        <v>3146</v>
      </c>
      <c r="L454" s="2196"/>
      <c r="M454" s="2200"/>
      <c r="T454" s="2201"/>
      <c r="AT454" s="2198" t="s">
        <v>3303</v>
      </c>
      <c r="AU454" s="2198" t="s">
        <v>134</v>
      </c>
      <c r="AV454" s="2195" t="s">
        <v>133</v>
      </c>
      <c r="AW454" s="2195" t="s">
        <v>3171</v>
      </c>
      <c r="AX454" s="2195" t="s">
        <v>3213</v>
      </c>
      <c r="AY454" s="2198" t="s">
        <v>3285</v>
      </c>
    </row>
    <row r="455" spans="2:65" s="2209" customFormat="1">
      <c r="B455" s="2210"/>
      <c r="D455" s="2197" t="s">
        <v>3303</v>
      </c>
      <c r="E455" s="2211" t="s">
        <v>3146</v>
      </c>
      <c r="F455" s="2212" t="s">
        <v>3586</v>
      </c>
      <c r="H455" s="2213">
        <v>1048.8389999999999</v>
      </c>
      <c r="L455" s="2210"/>
      <c r="M455" s="2214"/>
      <c r="T455" s="2215"/>
      <c r="AT455" s="2211" t="s">
        <v>3303</v>
      </c>
      <c r="AU455" s="2211" t="s">
        <v>134</v>
      </c>
      <c r="AV455" s="2209" t="s">
        <v>134</v>
      </c>
      <c r="AW455" s="2209" t="s">
        <v>3171</v>
      </c>
      <c r="AX455" s="2209" t="s">
        <v>3213</v>
      </c>
      <c r="AY455" s="2211" t="s">
        <v>3285</v>
      </c>
    </row>
    <row r="456" spans="2:65" s="2195" customFormat="1">
      <c r="B456" s="2196"/>
      <c r="D456" s="2197" t="s">
        <v>3303</v>
      </c>
      <c r="E456" s="2198" t="s">
        <v>3146</v>
      </c>
      <c r="F456" s="2199" t="s">
        <v>3576</v>
      </c>
      <c r="H456" s="2198" t="s">
        <v>3146</v>
      </c>
      <c r="L456" s="2196"/>
      <c r="M456" s="2200"/>
      <c r="T456" s="2201"/>
      <c r="AT456" s="2198" t="s">
        <v>3303</v>
      </c>
      <c r="AU456" s="2198" t="s">
        <v>134</v>
      </c>
      <c r="AV456" s="2195" t="s">
        <v>133</v>
      </c>
      <c r="AW456" s="2195" t="s">
        <v>3171</v>
      </c>
      <c r="AX456" s="2195" t="s">
        <v>3213</v>
      </c>
      <c r="AY456" s="2198" t="s">
        <v>3285</v>
      </c>
    </row>
    <row r="457" spans="2:65" s="2209" customFormat="1">
      <c r="B457" s="2210"/>
      <c r="D457" s="2197" t="s">
        <v>3303</v>
      </c>
      <c r="E457" s="2211" t="s">
        <v>3146</v>
      </c>
      <c r="F457" s="2212" t="s">
        <v>3587</v>
      </c>
      <c r="H457" s="2213">
        <v>895.06399999999996</v>
      </c>
      <c r="L457" s="2210"/>
      <c r="M457" s="2214"/>
      <c r="T457" s="2215"/>
      <c r="AT457" s="2211" t="s">
        <v>3303</v>
      </c>
      <c r="AU457" s="2211" t="s">
        <v>134</v>
      </c>
      <c r="AV457" s="2209" t="s">
        <v>134</v>
      </c>
      <c r="AW457" s="2209" t="s">
        <v>3171</v>
      </c>
      <c r="AX457" s="2209" t="s">
        <v>3213</v>
      </c>
      <c r="AY457" s="2211" t="s">
        <v>3285</v>
      </c>
    </row>
    <row r="458" spans="2:65" s="2195" customFormat="1">
      <c r="B458" s="2196"/>
      <c r="D458" s="2197" t="s">
        <v>3303</v>
      </c>
      <c r="E458" s="2198" t="s">
        <v>3146</v>
      </c>
      <c r="F458" s="2199" t="s">
        <v>3578</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D459" s="2197" t="s">
        <v>3303</v>
      </c>
      <c r="E459" s="2211" t="s">
        <v>3146</v>
      </c>
      <c r="F459" s="2212" t="s">
        <v>3588</v>
      </c>
      <c r="H459" s="2213">
        <v>1024.6379999999999</v>
      </c>
      <c r="L459" s="2210"/>
      <c r="M459" s="2214"/>
      <c r="T459" s="2215"/>
      <c r="AT459" s="2211" t="s">
        <v>3303</v>
      </c>
      <c r="AU459" s="2211" t="s">
        <v>134</v>
      </c>
      <c r="AV459" s="2209" t="s">
        <v>134</v>
      </c>
      <c r="AW459" s="2209" t="s">
        <v>3171</v>
      </c>
      <c r="AX459" s="2209" t="s">
        <v>3213</v>
      </c>
      <c r="AY459" s="2211" t="s">
        <v>3285</v>
      </c>
    </row>
    <row r="460" spans="2:65" s="2195" customFormat="1">
      <c r="B460" s="2196"/>
      <c r="D460" s="2197" t="s">
        <v>3303</v>
      </c>
      <c r="E460" s="2198" t="s">
        <v>3146</v>
      </c>
      <c r="F460" s="2199" t="s">
        <v>3580</v>
      </c>
      <c r="H460" s="2198" t="s">
        <v>3146</v>
      </c>
      <c r="L460" s="2196"/>
      <c r="M460" s="2200"/>
      <c r="T460" s="2201"/>
      <c r="AT460" s="2198" t="s">
        <v>3303</v>
      </c>
      <c r="AU460" s="2198" t="s">
        <v>134</v>
      </c>
      <c r="AV460" s="2195" t="s">
        <v>133</v>
      </c>
      <c r="AW460" s="2195" t="s">
        <v>3171</v>
      </c>
      <c r="AX460" s="2195" t="s">
        <v>3213</v>
      </c>
      <c r="AY460" s="2198" t="s">
        <v>3285</v>
      </c>
    </row>
    <row r="461" spans="2:65" s="2209" customFormat="1">
      <c r="B461" s="2210"/>
      <c r="D461" s="2197" t="s">
        <v>3303</v>
      </c>
      <c r="E461" s="2211" t="s">
        <v>3146</v>
      </c>
      <c r="F461" s="2212" t="s">
        <v>3589</v>
      </c>
      <c r="H461" s="2213">
        <v>1023.588</v>
      </c>
      <c r="L461" s="2210"/>
      <c r="M461" s="2214"/>
      <c r="T461" s="2215"/>
      <c r="AT461" s="2211" t="s">
        <v>3303</v>
      </c>
      <c r="AU461" s="2211" t="s">
        <v>134</v>
      </c>
      <c r="AV461" s="2209" t="s">
        <v>134</v>
      </c>
      <c r="AW461" s="2209" t="s">
        <v>3171</v>
      </c>
      <c r="AX461" s="2209" t="s">
        <v>3213</v>
      </c>
      <c r="AY461" s="2211" t="s">
        <v>3285</v>
      </c>
    </row>
    <row r="462" spans="2:65" s="2216" customFormat="1">
      <c r="B462" s="2217"/>
      <c r="D462" s="2197" t="s">
        <v>3303</v>
      </c>
      <c r="E462" s="2218" t="s">
        <v>3146</v>
      </c>
      <c r="F462" s="2219" t="s">
        <v>3306</v>
      </c>
      <c r="H462" s="2220">
        <v>3992.1289999999999</v>
      </c>
      <c r="L462" s="2217"/>
      <c r="M462" s="2221"/>
      <c r="T462" s="2222"/>
      <c r="AT462" s="2218" t="s">
        <v>3303</v>
      </c>
      <c r="AU462" s="2218" t="s">
        <v>134</v>
      </c>
      <c r="AV462" s="2216" t="s">
        <v>856</v>
      </c>
      <c r="AW462" s="2216" t="s">
        <v>3171</v>
      </c>
      <c r="AX462" s="2216" t="s">
        <v>133</v>
      </c>
      <c r="AY462" s="2218" t="s">
        <v>3285</v>
      </c>
    </row>
    <row r="463" spans="2:65" s="2070" customFormat="1" ht="24.2" customHeight="1">
      <c r="B463" s="2164"/>
      <c r="C463" s="4608">
        <v>72</v>
      </c>
      <c r="D463" s="4608" t="s">
        <v>3286</v>
      </c>
      <c r="E463" s="4609" t="s">
        <v>3591</v>
      </c>
      <c r="F463" s="4610" t="s">
        <v>3592</v>
      </c>
      <c r="G463" s="4611" t="s">
        <v>611</v>
      </c>
      <c r="H463" s="4612">
        <v>3992.1289999999999</v>
      </c>
      <c r="I463" s="4613"/>
      <c r="J463" s="4613">
        <f>ROUND(I463*H463,2)</f>
        <v>0</v>
      </c>
      <c r="K463" s="4610" t="s">
        <v>142</v>
      </c>
      <c r="L463" s="2071"/>
      <c r="M463" s="2190" t="s">
        <v>3146</v>
      </c>
      <c r="N463" s="2163" t="s">
        <v>3181</v>
      </c>
      <c r="O463" s="2191">
        <v>0.22500000000000001</v>
      </c>
      <c r="P463" s="2191">
        <f>O463*H463</f>
        <v>898.22902499999998</v>
      </c>
      <c r="Q463" s="2191">
        <v>0</v>
      </c>
      <c r="R463" s="2191">
        <f>Q463*H463</f>
        <v>0</v>
      </c>
      <c r="S463" s="2191">
        <v>0</v>
      </c>
      <c r="T463" s="2192">
        <f>S463*H463</f>
        <v>0</v>
      </c>
      <c r="AR463" s="2193" t="s">
        <v>856</v>
      </c>
      <c r="AT463" s="2193" t="s">
        <v>3286</v>
      </c>
      <c r="AU463" s="2193" t="s">
        <v>134</v>
      </c>
      <c r="AY463" s="2056" t="s">
        <v>3285</v>
      </c>
      <c r="BE463" s="2194">
        <f>IF(N463="základní",J463,0)</f>
        <v>0</v>
      </c>
      <c r="BF463" s="2194">
        <f>IF(N463="snížená",J463,0)</f>
        <v>0</v>
      </c>
      <c r="BG463" s="2194">
        <f>IF(N463="zákl. přenesená",J463,0)</f>
        <v>0</v>
      </c>
      <c r="BH463" s="2194">
        <f>IF(N463="sníž. přenesená",J463,0)</f>
        <v>0</v>
      </c>
      <c r="BI463" s="2194">
        <f>IF(N463="nulová",J463,0)</f>
        <v>0</v>
      </c>
      <c r="BJ463" s="2056" t="s">
        <v>134</v>
      </c>
      <c r="BK463" s="2194">
        <f>ROUND(I463*H463,2)</f>
        <v>0</v>
      </c>
      <c r="BL463" s="2056" t="s">
        <v>856</v>
      </c>
      <c r="BM463" s="2193" t="s">
        <v>3593</v>
      </c>
    </row>
    <row r="464" spans="2:65" s="2070" customFormat="1" ht="24.2" customHeight="1">
      <c r="B464" s="2164"/>
      <c r="C464" s="4608">
        <v>73</v>
      </c>
      <c r="D464" s="4608" t="s">
        <v>3286</v>
      </c>
      <c r="E464" s="4609" t="s">
        <v>3595</v>
      </c>
      <c r="F464" s="4610" t="s">
        <v>3596</v>
      </c>
      <c r="G464" s="4611" t="s">
        <v>611</v>
      </c>
      <c r="H464" s="4612">
        <v>3992.1289999999999</v>
      </c>
      <c r="I464" s="4613"/>
      <c r="J464" s="4613">
        <f>ROUND(I464*H464,2)</f>
        <v>0</v>
      </c>
      <c r="K464" s="4610" t="s">
        <v>142</v>
      </c>
      <c r="L464" s="2071"/>
      <c r="M464" s="2190" t="s">
        <v>3146</v>
      </c>
      <c r="N464" s="2163" t="s">
        <v>3181</v>
      </c>
      <c r="O464" s="2191">
        <v>0.23100000000000001</v>
      </c>
      <c r="P464" s="2191">
        <f>O464*H464</f>
        <v>922.18179900000007</v>
      </c>
      <c r="Q464" s="2191">
        <v>1E-3</v>
      </c>
      <c r="R464" s="2191">
        <f>Q464*H464</f>
        <v>3.9921289999999998</v>
      </c>
      <c r="S464" s="2191">
        <v>0</v>
      </c>
      <c r="T464" s="2192">
        <f>S464*H464</f>
        <v>0</v>
      </c>
      <c r="AR464" s="2193" t="s">
        <v>856</v>
      </c>
      <c r="AT464" s="2193" t="s">
        <v>3286</v>
      </c>
      <c r="AU464" s="2193" t="s">
        <v>134</v>
      </c>
      <c r="AY464" s="2056" t="s">
        <v>3285</v>
      </c>
      <c r="BE464" s="2194">
        <f>IF(N464="základní",J464,0)</f>
        <v>0</v>
      </c>
      <c r="BF464" s="2194">
        <f>IF(N464="snížená",J464,0)</f>
        <v>0</v>
      </c>
      <c r="BG464" s="2194">
        <f>IF(N464="zákl. přenesená",J464,0)</f>
        <v>0</v>
      </c>
      <c r="BH464" s="2194">
        <f>IF(N464="sníž. přenesená",J464,0)</f>
        <v>0</v>
      </c>
      <c r="BI464" s="2194">
        <f>IF(N464="nulová",J464,0)</f>
        <v>0</v>
      </c>
      <c r="BJ464" s="2056" t="s">
        <v>134</v>
      </c>
      <c r="BK464" s="2194">
        <f>ROUND(I464*H464,2)</f>
        <v>0</v>
      </c>
      <c r="BL464" s="2056" t="s">
        <v>856</v>
      </c>
      <c r="BM464" s="2193" t="s">
        <v>3597</v>
      </c>
    </row>
    <row r="465" spans="2:65" s="2070" customFormat="1" ht="24.2" customHeight="1">
      <c r="B465" s="2164"/>
      <c r="C465" s="4608">
        <v>74</v>
      </c>
      <c r="D465" s="4608" t="s">
        <v>3286</v>
      </c>
      <c r="E465" s="4609" t="s">
        <v>3599</v>
      </c>
      <c r="F465" s="4610" t="s">
        <v>3600</v>
      </c>
      <c r="G465" s="4611" t="s">
        <v>611</v>
      </c>
      <c r="H465" s="4612">
        <v>3992.1289999999999</v>
      </c>
      <c r="I465" s="4613"/>
      <c r="J465" s="4613">
        <f>ROUND(I465*H465,2)</f>
        <v>0</v>
      </c>
      <c r="K465" s="4610" t="s">
        <v>142</v>
      </c>
      <c r="L465" s="2071"/>
      <c r="M465" s="2190" t="s">
        <v>3146</v>
      </c>
      <c r="N465" s="2163" t="s">
        <v>3181</v>
      </c>
      <c r="O465" s="2191">
        <v>0.13600000000000001</v>
      </c>
      <c r="P465" s="2191">
        <f>O465*H465</f>
        <v>542.92954400000008</v>
      </c>
      <c r="Q465" s="2191">
        <v>0</v>
      </c>
      <c r="R465" s="2191">
        <f>Q465*H465</f>
        <v>0</v>
      </c>
      <c r="S465" s="2191">
        <v>0</v>
      </c>
      <c r="T465" s="2192">
        <f>S465*H465</f>
        <v>0</v>
      </c>
      <c r="AR465" s="2193" t="s">
        <v>856</v>
      </c>
      <c r="AT465" s="2193" t="s">
        <v>3286</v>
      </c>
      <c r="AU465" s="2193" t="s">
        <v>134</v>
      </c>
      <c r="AY465" s="2056" t="s">
        <v>3285</v>
      </c>
      <c r="BE465" s="2194">
        <f>IF(N465="základní",J465,0)</f>
        <v>0</v>
      </c>
      <c r="BF465" s="2194">
        <f>IF(N465="snížená",J465,0)</f>
        <v>0</v>
      </c>
      <c r="BG465" s="2194">
        <f>IF(N465="zákl. přenesená",J465,0)</f>
        <v>0</v>
      </c>
      <c r="BH465" s="2194">
        <f>IF(N465="sníž. přenesená",J465,0)</f>
        <v>0</v>
      </c>
      <c r="BI465" s="2194">
        <f>IF(N465="nulová",J465,0)</f>
        <v>0</v>
      </c>
      <c r="BJ465" s="2056" t="s">
        <v>134</v>
      </c>
      <c r="BK465" s="2194">
        <f>ROUND(I465*H465,2)</f>
        <v>0</v>
      </c>
      <c r="BL465" s="2056" t="s">
        <v>856</v>
      </c>
      <c r="BM465" s="2193" t="s">
        <v>3601</v>
      </c>
    </row>
    <row r="466" spans="2:65" s="2070" customFormat="1" ht="24.2" customHeight="1">
      <c r="B466" s="2164"/>
      <c r="C466" s="4608">
        <v>75</v>
      </c>
      <c r="D466" s="4608" t="s">
        <v>3286</v>
      </c>
      <c r="E466" s="4609" t="s">
        <v>3603</v>
      </c>
      <c r="F466" s="4610" t="s">
        <v>3604</v>
      </c>
      <c r="G466" s="4611" t="s">
        <v>611</v>
      </c>
      <c r="H466" s="4612">
        <v>185.10599999999999</v>
      </c>
      <c r="I466" s="4613"/>
      <c r="J466" s="4613">
        <f>ROUND(I466*H466,2)</f>
        <v>0</v>
      </c>
      <c r="K466" s="4610" t="s">
        <v>142</v>
      </c>
      <c r="L466" s="2071"/>
      <c r="M466" s="2190" t="s">
        <v>3146</v>
      </c>
      <c r="N466" s="2163" t="s">
        <v>3181</v>
      </c>
      <c r="O466" s="2191">
        <v>1.468</v>
      </c>
      <c r="P466" s="2191">
        <f>O466*H466</f>
        <v>271.73560800000001</v>
      </c>
      <c r="Q466" s="2191">
        <v>1.409E-2</v>
      </c>
      <c r="R466" s="2191">
        <f>Q466*H466</f>
        <v>2.6081435399999999</v>
      </c>
      <c r="S466" s="2191">
        <v>0</v>
      </c>
      <c r="T466" s="2192">
        <f>S466*H466</f>
        <v>0</v>
      </c>
      <c r="AR466" s="2193" t="s">
        <v>856</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856</v>
      </c>
      <c r="BM466" s="2193" t="s">
        <v>3605</v>
      </c>
    </row>
    <row r="467" spans="2:65" s="2209" customFormat="1">
      <c r="B467" s="2210"/>
      <c r="D467" s="2197" t="s">
        <v>3303</v>
      </c>
      <c r="E467" s="2211" t="s">
        <v>3146</v>
      </c>
      <c r="F467" s="2212" t="s">
        <v>3606</v>
      </c>
      <c r="H467" s="2213">
        <v>12.5</v>
      </c>
      <c r="L467" s="2210"/>
      <c r="M467" s="2214"/>
      <c r="T467" s="2215"/>
      <c r="AT467" s="2211" t="s">
        <v>3303</v>
      </c>
      <c r="AU467" s="2211" t="s">
        <v>134</v>
      </c>
      <c r="AV467" s="2209" t="s">
        <v>134</v>
      </c>
      <c r="AW467" s="2209" t="s">
        <v>3171</v>
      </c>
      <c r="AX467" s="2209" t="s">
        <v>3213</v>
      </c>
      <c r="AY467" s="2211" t="s">
        <v>3285</v>
      </c>
    </row>
    <row r="468" spans="2:65" s="2209" customFormat="1">
      <c r="B468" s="2210"/>
      <c r="D468" s="2197" t="s">
        <v>3303</v>
      </c>
      <c r="E468" s="2211" t="s">
        <v>3146</v>
      </c>
      <c r="F468" s="2212" t="s">
        <v>3607</v>
      </c>
      <c r="H468" s="2213">
        <v>13.14</v>
      </c>
      <c r="L468" s="2210"/>
      <c r="M468" s="2214"/>
      <c r="T468" s="2215"/>
      <c r="AT468" s="2211" t="s">
        <v>3303</v>
      </c>
      <c r="AU468" s="2211" t="s">
        <v>134</v>
      </c>
      <c r="AV468" s="2209" t="s">
        <v>134</v>
      </c>
      <c r="AW468" s="2209" t="s">
        <v>3171</v>
      </c>
      <c r="AX468" s="2209" t="s">
        <v>3213</v>
      </c>
      <c r="AY468" s="2211" t="s">
        <v>3285</v>
      </c>
    </row>
    <row r="469" spans="2:65" s="2209" customFormat="1">
      <c r="B469" s="2210"/>
      <c r="D469" s="2197" t="s">
        <v>3303</v>
      </c>
      <c r="E469" s="2211" t="s">
        <v>3146</v>
      </c>
      <c r="F469" s="2212" t="s">
        <v>3608</v>
      </c>
      <c r="H469" s="2213">
        <v>23.76</v>
      </c>
      <c r="L469" s="2210"/>
      <c r="M469" s="2214"/>
      <c r="T469" s="2215"/>
      <c r="AT469" s="2211" t="s">
        <v>3303</v>
      </c>
      <c r="AU469" s="2211" t="s">
        <v>134</v>
      </c>
      <c r="AV469" s="2209" t="s">
        <v>134</v>
      </c>
      <c r="AW469" s="2209" t="s">
        <v>3171</v>
      </c>
      <c r="AX469" s="2209" t="s">
        <v>3213</v>
      </c>
      <c r="AY469" s="2211" t="s">
        <v>3285</v>
      </c>
    </row>
    <row r="470" spans="2:65" s="2209" customFormat="1">
      <c r="B470" s="2210"/>
      <c r="D470" s="2197" t="s">
        <v>3303</v>
      </c>
      <c r="E470" s="2211" t="s">
        <v>3146</v>
      </c>
      <c r="F470" s="2212" t="s">
        <v>3609</v>
      </c>
      <c r="H470" s="2213">
        <v>6.7949999999999999</v>
      </c>
      <c r="L470" s="2210"/>
      <c r="M470" s="2214"/>
      <c r="T470" s="2215"/>
      <c r="AT470" s="2211" t="s">
        <v>3303</v>
      </c>
      <c r="AU470" s="2211" t="s">
        <v>134</v>
      </c>
      <c r="AV470" s="2209" t="s">
        <v>134</v>
      </c>
      <c r="AW470" s="2209" t="s">
        <v>3171</v>
      </c>
      <c r="AX470" s="2209" t="s">
        <v>3213</v>
      </c>
      <c r="AY470" s="2211" t="s">
        <v>3285</v>
      </c>
    </row>
    <row r="471" spans="2:65" s="2209" customFormat="1">
      <c r="B471" s="2210"/>
      <c r="D471" s="2197" t="s">
        <v>3303</v>
      </c>
      <c r="E471" s="2211" t="s">
        <v>3146</v>
      </c>
      <c r="F471" s="2212" t="s">
        <v>3610</v>
      </c>
      <c r="H471" s="2213">
        <v>5.923</v>
      </c>
      <c r="L471" s="2210"/>
      <c r="M471" s="2214"/>
      <c r="T471" s="2215"/>
      <c r="AT471" s="2211" t="s">
        <v>3303</v>
      </c>
      <c r="AU471" s="2211" t="s">
        <v>134</v>
      </c>
      <c r="AV471" s="2209" t="s">
        <v>134</v>
      </c>
      <c r="AW471" s="2209" t="s">
        <v>3171</v>
      </c>
      <c r="AX471" s="2209" t="s">
        <v>3213</v>
      </c>
      <c r="AY471" s="2211" t="s">
        <v>3285</v>
      </c>
    </row>
    <row r="472" spans="2:65" s="2209" customFormat="1">
      <c r="B472" s="2210"/>
      <c r="D472" s="2197" t="s">
        <v>3303</v>
      </c>
      <c r="E472" s="2211" t="s">
        <v>3146</v>
      </c>
      <c r="F472" s="2212" t="s">
        <v>3611</v>
      </c>
      <c r="H472" s="2213">
        <v>47.52</v>
      </c>
      <c r="L472" s="2210"/>
      <c r="M472" s="2214"/>
      <c r="T472" s="2215"/>
      <c r="AT472" s="2211" t="s">
        <v>3303</v>
      </c>
      <c r="AU472" s="2211" t="s">
        <v>134</v>
      </c>
      <c r="AV472" s="2209" t="s">
        <v>134</v>
      </c>
      <c r="AW472" s="2209" t="s">
        <v>3171</v>
      </c>
      <c r="AX472" s="2209" t="s">
        <v>3213</v>
      </c>
      <c r="AY472" s="2211" t="s">
        <v>3285</v>
      </c>
    </row>
    <row r="473" spans="2:65" s="2209" customFormat="1">
      <c r="B473" s="2210"/>
      <c r="D473" s="2197" t="s">
        <v>3303</v>
      </c>
      <c r="E473" s="2211" t="s">
        <v>3146</v>
      </c>
      <c r="F473" s="2212" t="s">
        <v>3612</v>
      </c>
      <c r="H473" s="2213">
        <v>34.880000000000003</v>
      </c>
      <c r="L473" s="2210"/>
      <c r="M473" s="2214"/>
      <c r="T473" s="2215"/>
      <c r="AT473" s="2211" t="s">
        <v>3303</v>
      </c>
      <c r="AU473" s="2211" t="s">
        <v>134</v>
      </c>
      <c r="AV473" s="2209" t="s">
        <v>134</v>
      </c>
      <c r="AW473" s="2209" t="s">
        <v>3171</v>
      </c>
      <c r="AX473" s="2209" t="s">
        <v>3213</v>
      </c>
      <c r="AY473" s="2211" t="s">
        <v>3285</v>
      </c>
    </row>
    <row r="474" spans="2:65" s="2209" customFormat="1">
      <c r="B474" s="2210"/>
      <c r="D474" s="2197" t="s">
        <v>3303</v>
      </c>
      <c r="E474" s="2211" t="s">
        <v>3146</v>
      </c>
      <c r="F474" s="2212" t="s">
        <v>3608</v>
      </c>
      <c r="H474" s="2213">
        <v>23.76</v>
      </c>
      <c r="L474" s="2210"/>
      <c r="M474" s="2214"/>
      <c r="T474" s="2215"/>
      <c r="AT474" s="2211" t="s">
        <v>3303</v>
      </c>
      <c r="AU474" s="2211" t="s">
        <v>134</v>
      </c>
      <c r="AV474" s="2209" t="s">
        <v>134</v>
      </c>
      <c r="AW474" s="2209" t="s">
        <v>3171</v>
      </c>
      <c r="AX474" s="2209" t="s">
        <v>3213</v>
      </c>
      <c r="AY474" s="2211" t="s">
        <v>3285</v>
      </c>
    </row>
    <row r="475" spans="2:65" s="2216" customFormat="1">
      <c r="B475" s="2217"/>
      <c r="D475" s="2197" t="s">
        <v>3303</v>
      </c>
      <c r="E475" s="2218" t="s">
        <v>3146</v>
      </c>
      <c r="F475" s="2219" t="s">
        <v>3306</v>
      </c>
      <c r="H475" s="2220">
        <v>168.27799999999999</v>
      </c>
      <c r="L475" s="2217"/>
      <c r="M475" s="2221"/>
      <c r="T475" s="2222"/>
      <c r="AT475" s="2218" t="s">
        <v>3303</v>
      </c>
      <c r="AU475" s="2218" t="s">
        <v>134</v>
      </c>
      <c r="AV475" s="2216" t="s">
        <v>856</v>
      </c>
      <c r="AW475" s="2216" t="s">
        <v>3171</v>
      </c>
      <c r="AX475" s="2216" t="s">
        <v>133</v>
      </c>
      <c r="AY475" s="2218" t="s">
        <v>3285</v>
      </c>
    </row>
    <row r="476" spans="2:65" s="2209" customFormat="1">
      <c r="B476" s="2210"/>
      <c r="D476" s="2197" t="s">
        <v>3303</v>
      </c>
      <c r="F476" s="2212" t="s">
        <v>10751</v>
      </c>
      <c r="H476" s="2213">
        <v>185.10599999999999</v>
      </c>
      <c r="L476" s="2210"/>
      <c r="M476" s="2214"/>
      <c r="T476" s="2215"/>
      <c r="AT476" s="2211" t="s">
        <v>3303</v>
      </c>
      <c r="AU476" s="2211" t="s">
        <v>134</v>
      </c>
      <c r="AV476" s="2209" t="s">
        <v>134</v>
      </c>
      <c r="AW476" s="2209" t="s">
        <v>3148</v>
      </c>
      <c r="AX476" s="2209" t="s">
        <v>133</v>
      </c>
      <c r="AY476" s="2211" t="s">
        <v>3285</v>
      </c>
    </row>
    <row r="477" spans="2:65" s="2070" customFormat="1" ht="33" customHeight="1">
      <c r="B477" s="2164"/>
      <c r="C477" s="4608">
        <v>76</v>
      </c>
      <c r="D477" s="4608" t="s">
        <v>3286</v>
      </c>
      <c r="E477" s="4609" t="s">
        <v>3614</v>
      </c>
      <c r="F477" s="4610" t="s">
        <v>3615</v>
      </c>
      <c r="G477" s="4611" t="s">
        <v>611</v>
      </c>
      <c r="H477" s="4612">
        <v>185.10599999999999</v>
      </c>
      <c r="I477" s="4613"/>
      <c r="J477" s="4613">
        <f>ROUND(I477*H477,2)</f>
        <v>0</v>
      </c>
      <c r="K477" s="4610" t="s">
        <v>142</v>
      </c>
      <c r="L477" s="2071"/>
      <c r="M477" s="2190" t="s">
        <v>3146</v>
      </c>
      <c r="N477" s="2163" t="s">
        <v>3181</v>
      </c>
      <c r="O477" s="2191">
        <v>0.35499999999999998</v>
      </c>
      <c r="P477" s="2191">
        <f>O477*H477</f>
        <v>65.71262999999999</v>
      </c>
      <c r="Q477" s="2191">
        <v>0</v>
      </c>
      <c r="R477" s="2191">
        <f>Q477*H477</f>
        <v>0</v>
      </c>
      <c r="S477" s="2191">
        <v>0</v>
      </c>
      <c r="T477" s="2192">
        <f>S477*H477</f>
        <v>0</v>
      </c>
      <c r="AR477" s="2193" t="s">
        <v>856</v>
      </c>
      <c r="AT477" s="2193" t="s">
        <v>3286</v>
      </c>
      <c r="AU477" s="2193" t="s">
        <v>134</v>
      </c>
      <c r="AY477" s="2056" t="s">
        <v>3285</v>
      </c>
      <c r="BE477" s="2194">
        <f>IF(N477="základní",J477,0)</f>
        <v>0</v>
      </c>
      <c r="BF477" s="2194">
        <f>IF(N477="snížená",J477,0)</f>
        <v>0</v>
      </c>
      <c r="BG477" s="2194">
        <f>IF(N477="zákl. přenesená",J477,0)</f>
        <v>0</v>
      </c>
      <c r="BH477" s="2194">
        <f>IF(N477="sníž. přenesená",J477,0)</f>
        <v>0</v>
      </c>
      <c r="BI477" s="2194">
        <f>IF(N477="nulová",J477,0)</f>
        <v>0</v>
      </c>
      <c r="BJ477" s="2056" t="s">
        <v>134</v>
      </c>
      <c r="BK477" s="2194">
        <f>ROUND(I477*H477,2)</f>
        <v>0</v>
      </c>
      <c r="BL477" s="2056" t="s">
        <v>856</v>
      </c>
      <c r="BM477" s="2193" t="s">
        <v>3616</v>
      </c>
    </row>
    <row r="478" spans="2:65" s="2070" customFormat="1" ht="24.2" customHeight="1">
      <c r="B478" s="2164"/>
      <c r="C478" s="4608">
        <v>77</v>
      </c>
      <c r="D478" s="4608" t="s">
        <v>3286</v>
      </c>
      <c r="E478" s="4609" t="s">
        <v>3618</v>
      </c>
      <c r="F478" s="4610" t="s">
        <v>3619</v>
      </c>
      <c r="G478" s="4611" t="s">
        <v>611</v>
      </c>
      <c r="H478" s="4612">
        <v>34.880000000000003</v>
      </c>
      <c r="I478" s="4613"/>
      <c r="J478" s="4613">
        <f>ROUND(I478*H478,2)</f>
        <v>0</v>
      </c>
      <c r="K478" s="4610" t="s">
        <v>142</v>
      </c>
      <c r="L478" s="2071"/>
      <c r="M478" s="2190" t="s">
        <v>3146</v>
      </c>
      <c r="N478" s="2163" t="s">
        <v>3181</v>
      </c>
      <c r="O478" s="2191">
        <v>0.122</v>
      </c>
      <c r="P478" s="2191">
        <f>O478*H478</f>
        <v>4.2553600000000005</v>
      </c>
      <c r="Q478" s="2191">
        <v>3.0599999999999998E-3</v>
      </c>
      <c r="R478" s="2191">
        <f>Q478*H478</f>
        <v>0.1067328</v>
      </c>
      <c r="S478" s="2191">
        <v>0</v>
      </c>
      <c r="T478" s="2192">
        <f>S478*H478</f>
        <v>0</v>
      </c>
      <c r="AR478" s="2193" t="s">
        <v>856</v>
      </c>
      <c r="AT478" s="2193" t="s">
        <v>3286</v>
      </c>
      <c r="AU478" s="2193" t="s">
        <v>134</v>
      </c>
      <c r="AY478" s="2056" t="s">
        <v>3285</v>
      </c>
      <c r="BE478" s="2194">
        <f>IF(N478="základní",J478,0)</f>
        <v>0</v>
      </c>
      <c r="BF478" s="2194">
        <f>IF(N478="snížená",J478,0)</f>
        <v>0</v>
      </c>
      <c r="BG478" s="2194">
        <f>IF(N478="zákl. přenesená",J478,0)</f>
        <v>0</v>
      </c>
      <c r="BH478" s="2194">
        <f>IF(N478="sníž. přenesená",J478,0)</f>
        <v>0</v>
      </c>
      <c r="BI478" s="2194">
        <f>IF(N478="nulová",J478,0)</f>
        <v>0</v>
      </c>
      <c r="BJ478" s="2056" t="s">
        <v>134</v>
      </c>
      <c r="BK478" s="2194">
        <f>ROUND(I478*H478,2)</f>
        <v>0</v>
      </c>
      <c r="BL478" s="2056" t="s">
        <v>856</v>
      </c>
      <c r="BM478" s="2193" t="s">
        <v>3620</v>
      </c>
    </row>
    <row r="479" spans="2:65" s="2209" customFormat="1">
      <c r="B479" s="2210"/>
      <c r="D479" s="2197" t="s">
        <v>3303</v>
      </c>
      <c r="E479" s="2211" t="s">
        <v>3146</v>
      </c>
      <c r="F479" s="2212" t="s">
        <v>3612</v>
      </c>
      <c r="H479" s="2213">
        <v>34.880000000000003</v>
      </c>
      <c r="L479" s="2210"/>
      <c r="M479" s="2214"/>
      <c r="T479" s="2215"/>
      <c r="AT479" s="2211" t="s">
        <v>3303</v>
      </c>
      <c r="AU479" s="2211" t="s">
        <v>134</v>
      </c>
      <c r="AV479" s="2209" t="s">
        <v>134</v>
      </c>
      <c r="AW479" s="2209" t="s">
        <v>3171</v>
      </c>
      <c r="AX479" s="2209" t="s">
        <v>3213</v>
      </c>
      <c r="AY479" s="2211" t="s">
        <v>3285</v>
      </c>
    </row>
    <row r="480" spans="2:65" s="2216" customFormat="1">
      <c r="B480" s="2217"/>
      <c r="D480" s="2197" t="s">
        <v>3303</v>
      </c>
      <c r="E480" s="2218" t="s">
        <v>3146</v>
      </c>
      <c r="F480" s="2219" t="s">
        <v>3306</v>
      </c>
      <c r="H480" s="2220">
        <v>34.880000000000003</v>
      </c>
      <c r="L480" s="2217"/>
      <c r="M480" s="2221"/>
      <c r="T480" s="2222"/>
      <c r="AT480" s="2218" t="s">
        <v>3303</v>
      </c>
      <c r="AU480" s="2218" t="s">
        <v>134</v>
      </c>
      <c r="AV480" s="2216" t="s">
        <v>856</v>
      </c>
      <c r="AW480" s="2216" t="s">
        <v>3171</v>
      </c>
      <c r="AX480" s="2216" t="s">
        <v>133</v>
      </c>
      <c r="AY480" s="2218" t="s">
        <v>3285</v>
      </c>
    </row>
    <row r="481" spans="2:65" s="2070" customFormat="1" ht="24.2" customHeight="1">
      <c r="B481" s="2164"/>
      <c r="C481" s="4608">
        <v>78</v>
      </c>
      <c r="D481" s="4608" t="s">
        <v>3286</v>
      </c>
      <c r="E481" s="4609" t="s">
        <v>3622</v>
      </c>
      <c r="F481" s="4610" t="s">
        <v>3623</v>
      </c>
      <c r="G481" s="4611" t="s">
        <v>611</v>
      </c>
      <c r="H481" s="4612">
        <v>34.880000000000003</v>
      </c>
      <c r="I481" s="4613"/>
      <c r="J481" s="4613">
        <f>ROUND(I481*H481,2)</f>
        <v>0</v>
      </c>
      <c r="K481" s="4610" t="s">
        <v>142</v>
      </c>
      <c r="L481" s="2071"/>
      <c r="M481" s="2190" t="s">
        <v>3146</v>
      </c>
      <c r="N481" s="2163" t="s">
        <v>3181</v>
      </c>
      <c r="O481" s="2191">
        <v>4.2000000000000003E-2</v>
      </c>
      <c r="P481" s="2191">
        <f>O481*H481</f>
        <v>1.4649600000000003</v>
      </c>
      <c r="Q481" s="2191">
        <v>0</v>
      </c>
      <c r="R481" s="2191">
        <f>Q481*H481</f>
        <v>0</v>
      </c>
      <c r="S481" s="2191">
        <v>0</v>
      </c>
      <c r="T481" s="2192">
        <f>S481*H481</f>
        <v>0</v>
      </c>
      <c r="AR481" s="2193" t="s">
        <v>856</v>
      </c>
      <c r="AT481" s="2193" t="s">
        <v>3286</v>
      </c>
      <c r="AU481" s="2193" t="s">
        <v>134</v>
      </c>
      <c r="AY481" s="2056" t="s">
        <v>3285</v>
      </c>
      <c r="BE481" s="2194">
        <f>IF(N481="základní",J481,0)</f>
        <v>0</v>
      </c>
      <c r="BF481" s="2194">
        <f>IF(N481="snížená",J481,0)</f>
        <v>0</v>
      </c>
      <c r="BG481" s="2194">
        <f>IF(N481="zákl. přenesená",J481,0)</f>
        <v>0</v>
      </c>
      <c r="BH481" s="2194">
        <f>IF(N481="sníž. přenesená",J481,0)</f>
        <v>0</v>
      </c>
      <c r="BI481" s="2194">
        <f>IF(N481="nulová",J481,0)</f>
        <v>0</v>
      </c>
      <c r="BJ481" s="2056" t="s">
        <v>134</v>
      </c>
      <c r="BK481" s="2194">
        <f>ROUND(I481*H481,2)</f>
        <v>0</v>
      </c>
      <c r="BL481" s="2056" t="s">
        <v>856</v>
      </c>
      <c r="BM481" s="2193" t="s">
        <v>3624</v>
      </c>
    </row>
    <row r="482" spans="2:65" s="2070" customFormat="1" ht="16.5" customHeight="1">
      <c r="B482" s="2164"/>
      <c r="C482" s="4608">
        <v>79</v>
      </c>
      <c r="D482" s="4608" t="s">
        <v>3286</v>
      </c>
      <c r="E482" s="4609" t="s">
        <v>3626</v>
      </c>
      <c r="F482" s="4610" t="s">
        <v>3627</v>
      </c>
      <c r="G482" s="4611" t="s">
        <v>302</v>
      </c>
      <c r="H482" s="4612">
        <v>159.685</v>
      </c>
      <c r="I482" s="4613"/>
      <c r="J482" s="4613">
        <f>ROUND(I482*H482,2)</f>
        <v>0</v>
      </c>
      <c r="K482" s="4610" t="s">
        <v>142</v>
      </c>
      <c r="L482" s="2071"/>
      <c r="M482" s="2190" t="s">
        <v>3146</v>
      </c>
      <c r="N482" s="2163" t="s">
        <v>3181</v>
      </c>
      <c r="O482" s="2191">
        <v>27.83</v>
      </c>
      <c r="P482" s="2191">
        <f>O482*H482</f>
        <v>4444.0335500000001</v>
      </c>
      <c r="Q482" s="2191">
        <v>1.05555</v>
      </c>
      <c r="R482" s="2191">
        <f>Q482*H482</f>
        <v>168.55550174999999</v>
      </c>
      <c r="S482" s="2191">
        <v>0</v>
      </c>
      <c r="T482" s="2192">
        <f>S482*H482</f>
        <v>0</v>
      </c>
      <c r="AR482" s="2193" t="s">
        <v>856</v>
      </c>
      <c r="AT482" s="2193" t="s">
        <v>3286</v>
      </c>
      <c r="AU482" s="2193" t="s">
        <v>134</v>
      </c>
      <c r="AY482" s="2056" t="s">
        <v>3285</v>
      </c>
      <c r="BE482" s="2194">
        <f>IF(N482="základní",J482,0)</f>
        <v>0</v>
      </c>
      <c r="BF482" s="2194">
        <f>IF(N482="snížená",J482,0)</f>
        <v>0</v>
      </c>
      <c r="BG482" s="2194">
        <f>IF(N482="zákl. přenesená",J482,0)</f>
        <v>0</v>
      </c>
      <c r="BH482" s="2194">
        <f>IF(N482="sníž. přenesená",J482,0)</f>
        <v>0</v>
      </c>
      <c r="BI482" s="2194">
        <f>IF(N482="nulová",J482,0)</f>
        <v>0</v>
      </c>
      <c r="BJ482" s="2056" t="s">
        <v>134</v>
      </c>
      <c r="BK482" s="2194">
        <f>ROUND(I482*H482,2)</f>
        <v>0</v>
      </c>
      <c r="BL482" s="2056" t="s">
        <v>856</v>
      </c>
      <c r="BM482" s="2193" t="s">
        <v>3628</v>
      </c>
    </row>
    <row r="483" spans="2:65" s="2209" customFormat="1">
      <c r="B483" s="2210"/>
      <c r="D483" s="2197" t="s">
        <v>3303</v>
      </c>
      <c r="E483" s="2211" t="s">
        <v>3146</v>
      </c>
      <c r="F483" s="2212" t="s">
        <v>3629</v>
      </c>
      <c r="H483" s="2213">
        <v>159.685</v>
      </c>
      <c r="L483" s="2210"/>
      <c r="M483" s="2214"/>
      <c r="T483" s="2215"/>
      <c r="AT483" s="2211" t="s">
        <v>3303</v>
      </c>
      <c r="AU483" s="2211" t="s">
        <v>134</v>
      </c>
      <c r="AV483" s="2209" t="s">
        <v>134</v>
      </c>
      <c r="AW483" s="2209" t="s">
        <v>3171</v>
      </c>
      <c r="AX483" s="2209" t="s">
        <v>3213</v>
      </c>
      <c r="AY483" s="2211" t="s">
        <v>3285</v>
      </c>
    </row>
    <row r="484" spans="2:65" s="2216" customFormat="1">
      <c r="B484" s="2217"/>
      <c r="D484" s="2197" t="s">
        <v>3303</v>
      </c>
      <c r="E484" s="2218" t="s">
        <v>3146</v>
      </c>
      <c r="F484" s="2219" t="s">
        <v>3306</v>
      </c>
      <c r="H484" s="2220">
        <v>159.685</v>
      </c>
      <c r="L484" s="2217"/>
      <c r="M484" s="2221"/>
      <c r="T484" s="2222"/>
      <c r="AT484" s="2218" t="s">
        <v>3303</v>
      </c>
      <c r="AU484" s="2218" t="s">
        <v>134</v>
      </c>
      <c r="AV484" s="2216" t="s">
        <v>856</v>
      </c>
      <c r="AW484" s="2216" t="s">
        <v>3171</v>
      </c>
      <c r="AX484" s="2216" t="s">
        <v>133</v>
      </c>
      <c r="AY484" s="2218" t="s">
        <v>3285</v>
      </c>
    </row>
    <row r="485" spans="2:65" s="2070" customFormat="1" ht="16.5" customHeight="1">
      <c r="B485" s="2164"/>
      <c r="C485" s="4608">
        <v>80</v>
      </c>
      <c r="D485" s="4608" t="s">
        <v>3286</v>
      </c>
      <c r="E485" s="4609" t="s">
        <v>3631</v>
      </c>
      <c r="F485" s="4610" t="s">
        <v>3632</v>
      </c>
      <c r="G485" s="4611" t="s">
        <v>611</v>
      </c>
      <c r="H485" s="4612">
        <v>213.46299999999999</v>
      </c>
      <c r="I485" s="4613"/>
      <c r="J485" s="4613">
        <f>ROUND(I485*H485,2)</f>
        <v>0</v>
      </c>
      <c r="K485" s="4610" t="s">
        <v>142</v>
      </c>
      <c r="L485" s="2071"/>
      <c r="M485" s="2190" t="s">
        <v>3146</v>
      </c>
      <c r="N485" s="2163" t="s">
        <v>3181</v>
      </c>
      <c r="O485" s="2191">
        <v>0.755</v>
      </c>
      <c r="P485" s="2191">
        <f>O485*H485</f>
        <v>161.16456500000001</v>
      </c>
      <c r="Q485" s="2191">
        <v>5.7600000000000004E-3</v>
      </c>
      <c r="R485" s="2191">
        <f>Q485*H485</f>
        <v>1.22954688</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3633</v>
      </c>
    </row>
    <row r="486" spans="2:65" s="2209" customFormat="1">
      <c r="B486" s="2210"/>
      <c r="D486" s="2197" t="s">
        <v>3303</v>
      </c>
      <c r="E486" s="2211" t="s">
        <v>3146</v>
      </c>
      <c r="F486" s="2212" t="s">
        <v>3634</v>
      </c>
      <c r="H486" s="2213">
        <v>213.46299999999999</v>
      </c>
      <c r="L486" s="2210"/>
      <c r="M486" s="2214"/>
      <c r="T486" s="2215"/>
      <c r="AT486" s="2211" t="s">
        <v>3303</v>
      </c>
      <c r="AU486" s="2211" t="s">
        <v>134</v>
      </c>
      <c r="AV486" s="2209" t="s">
        <v>134</v>
      </c>
      <c r="AW486" s="2209" t="s">
        <v>3171</v>
      </c>
      <c r="AX486" s="2209" t="s">
        <v>3213</v>
      </c>
      <c r="AY486" s="2211" t="s">
        <v>3285</v>
      </c>
    </row>
    <row r="487" spans="2:65" s="2216" customFormat="1">
      <c r="B487" s="2217"/>
      <c r="D487" s="2197" t="s">
        <v>3303</v>
      </c>
      <c r="E487" s="2218" t="s">
        <v>3146</v>
      </c>
      <c r="F487" s="2219" t="s">
        <v>3306</v>
      </c>
      <c r="H487" s="2220">
        <v>213.46299999999999</v>
      </c>
      <c r="L487" s="2217"/>
      <c r="M487" s="2221"/>
      <c r="T487" s="2222"/>
      <c r="AT487" s="2218" t="s">
        <v>3303</v>
      </c>
      <c r="AU487" s="2218" t="s">
        <v>134</v>
      </c>
      <c r="AV487" s="2216" t="s">
        <v>856</v>
      </c>
      <c r="AW487" s="2216" t="s">
        <v>3171</v>
      </c>
      <c r="AX487" s="2216" t="s">
        <v>133</v>
      </c>
      <c r="AY487" s="2218" t="s">
        <v>3285</v>
      </c>
    </row>
    <row r="488" spans="2:65" s="2070" customFormat="1" ht="16.5" customHeight="1">
      <c r="B488" s="2164"/>
      <c r="C488" s="4608">
        <v>81</v>
      </c>
      <c r="D488" s="4608" t="s">
        <v>3286</v>
      </c>
      <c r="E488" s="4609" t="s">
        <v>3635</v>
      </c>
      <c r="F488" s="4610" t="s">
        <v>3636</v>
      </c>
      <c r="G488" s="4611" t="s">
        <v>611</v>
      </c>
      <c r="H488" s="4612">
        <v>213.46299999999999</v>
      </c>
      <c r="I488" s="4613"/>
      <c r="J488" s="4613">
        <f>ROUND(I488*H488,2)</f>
        <v>0</v>
      </c>
      <c r="K488" s="4610" t="s">
        <v>142</v>
      </c>
      <c r="L488" s="2071"/>
      <c r="M488" s="2190" t="s">
        <v>3146</v>
      </c>
      <c r="N488" s="2163" t="s">
        <v>3181</v>
      </c>
      <c r="O488" s="2191">
        <v>0.26</v>
      </c>
      <c r="P488" s="2191">
        <f>O488*H488</f>
        <v>55.50038</v>
      </c>
      <c r="Q488" s="2191">
        <v>0</v>
      </c>
      <c r="R488" s="2191">
        <f>Q488*H488</f>
        <v>0</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3637</v>
      </c>
    </row>
    <row r="489" spans="2:65" s="2070" customFormat="1" ht="21.75" customHeight="1">
      <c r="B489" s="2164"/>
      <c r="C489" s="4608">
        <v>82</v>
      </c>
      <c r="D489" s="4608" t="s">
        <v>3286</v>
      </c>
      <c r="E489" s="4609" t="s">
        <v>10752</v>
      </c>
      <c r="F489" s="4610" t="s">
        <v>10753</v>
      </c>
      <c r="G489" s="4611" t="s">
        <v>221</v>
      </c>
      <c r="H489" s="4612">
        <v>7.101</v>
      </c>
      <c r="I489" s="4613"/>
      <c r="J489" s="4613">
        <f>ROUND(I489*H489,2)</f>
        <v>0</v>
      </c>
      <c r="K489" s="4610" t="s">
        <v>142</v>
      </c>
      <c r="L489" s="2071"/>
      <c r="M489" s="2190" t="s">
        <v>3146</v>
      </c>
      <c r="N489" s="2163" t="s">
        <v>3181</v>
      </c>
      <c r="O489" s="2191">
        <v>2.5129999999999999</v>
      </c>
      <c r="P489" s="2191">
        <f>O489*H489</f>
        <v>17.844812999999998</v>
      </c>
      <c r="Q489" s="2191">
        <v>2.5019499999999999</v>
      </c>
      <c r="R489" s="2191">
        <f>Q489*H489</f>
        <v>17.766346949999999</v>
      </c>
      <c r="S489" s="2191">
        <v>0</v>
      </c>
      <c r="T489" s="2192">
        <f>S489*H489</f>
        <v>0</v>
      </c>
      <c r="AR489" s="2193" t="s">
        <v>856</v>
      </c>
      <c r="AT489" s="2193" t="s">
        <v>3286</v>
      </c>
      <c r="AU489" s="2193" t="s">
        <v>134</v>
      </c>
      <c r="AY489" s="2056" t="s">
        <v>3285</v>
      </c>
      <c r="BE489" s="2194">
        <f>IF(N489="základní",J489,0)</f>
        <v>0</v>
      </c>
      <c r="BF489" s="2194">
        <f>IF(N489="snížená",J489,0)</f>
        <v>0</v>
      </c>
      <c r="BG489" s="2194">
        <f>IF(N489="zákl. přenesená",J489,0)</f>
        <v>0</v>
      </c>
      <c r="BH489" s="2194">
        <f>IF(N489="sníž. přenesená",J489,0)</f>
        <v>0</v>
      </c>
      <c r="BI489" s="2194">
        <f>IF(N489="nulová",J489,0)</f>
        <v>0</v>
      </c>
      <c r="BJ489" s="2056" t="s">
        <v>134</v>
      </c>
      <c r="BK489" s="2194">
        <f>ROUND(I489*H489,2)</f>
        <v>0</v>
      </c>
      <c r="BL489" s="2056" t="s">
        <v>856</v>
      </c>
      <c r="BM489" s="2193" t="s">
        <v>10754</v>
      </c>
    </row>
    <row r="490" spans="2:65" s="2195" customFormat="1">
      <c r="B490" s="2196"/>
      <c r="D490" s="2197" t="s">
        <v>3303</v>
      </c>
      <c r="E490" s="2198" t="s">
        <v>3146</v>
      </c>
      <c r="F490" s="2199" t="s">
        <v>10755</v>
      </c>
      <c r="H490" s="2198" t="s">
        <v>3146</v>
      </c>
      <c r="L490" s="2196"/>
      <c r="M490" s="2200"/>
      <c r="T490" s="2201"/>
      <c r="AT490" s="2198" t="s">
        <v>3303</v>
      </c>
      <c r="AU490" s="2198" t="s">
        <v>134</v>
      </c>
      <c r="AV490" s="2195" t="s">
        <v>133</v>
      </c>
      <c r="AW490" s="2195" t="s">
        <v>3171</v>
      </c>
      <c r="AX490" s="2195" t="s">
        <v>3213</v>
      </c>
      <c r="AY490" s="2198" t="s">
        <v>3285</v>
      </c>
    </row>
    <row r="491" spans="2:65" s="2195" customFormat="1">
      <c r="B491" s="2196"/>
      <c r="D491" s="2197" t="s">
        <v>3303</v>
      </c>
      <c r="E491" s="2198" t="s">
        <v>3146</v>
      </c>
      <c r="F491" s="2199" t="s">
        <v>10756</v>
      </c>
      <c r="H491" s="2198" t="s">
        <v>3146</v>
      </c>
      <c r="L491" s="2196"/>
      <c r="M491" s="2200"/>
      <c r="T491" s="2201"/>
      <c r="AT491" s="2198" t="s">
        <v>3303</v>
      </c>
      <c r="AU491" s="2198" t="s">
        <v>134</v>
      </c>
      <c r="AV491" s="2195" t="s">
        <v>133</v>
      </c>
      <c r="AW491" s="2195" t="s">
        <v>3171</v>
      </c>
      <c r="AX491" s="2195" t="s">
        <v>3213</v>
      </c>
      <c r="AY491" s="2198" t="s">
        <v>3285</v>
      </c>
    </row>
    <row r="492" spans="2:65" s="2209" customFormat="1" ht="22.5">
      <c r="B492" s="2210"/>
      <c r="D492" s="2197" t="s">
        <v>3303</v>
      </c>
      <c r="E492" s="2211" t="s">
        <v>3146</v>
      </c>
      <c r="F492" s="2212" t="s">
        <v>10757</v>
      </c>
      <c r="H492" s="2213">
        <v>0.94099999999999995</v>
      </c>
      <c r="L492" s="2210"/>
      <c r="M492" s="2214"/>
      <c r="T492" s="2215"/>
      <c r="AT492" s="2211" t="s">
        <v>3303</v>
      </c>
      <c r="AU492" s="2211" t="s">
        <v>134</v>
      </c>
      <c r="AV492" s="2209" t="s">
        <v>134</v>
      </c>
      <c r="AW492" s="2209" t="s">
        <v>3171</v>
      </c>
      <c r="AX492" s="2209" t="s">
        <v>3213</v>
      </c>
      <c r="AY492" s="2211" t="s">
        <v>3285</v>
      </c>
    </row>
    <row r="493" spans="2:65" s="2209" customFormat="1" ht="22.5">
      <c r="B493" s="2210"/>
      <c r="D493" s="2197" t="s">
        <v>3303</v>
      </c>
      <c r="E493" s="2211" t="s">
        <v>3146</v>
      </c>
      <c r="F493" s="2212" t="s">
        <v>10758</v>
      </c>
      <c r="H493" s="2213">
        <v>1.962</v>
      </c>
      <c r="L493" s="2210"/>
      <c r="M493" s="2214"/>
      <c r="T493" s="2215"/>
      <c r="AT493" s="2211" t="s">
        <v>3303</v>
      </c>
      <c r="AU493" s="2211" t="s">
        <v>134</v>
      </c>
      <c r="AV493" s="2209" t="s">
        <v>134</v>
      </c>
      <c r="AW493" s="2209" t="s">
        <v>3171</v>
      </c>
      <c r="AX493" s="2209" t="s">
        <v>3213</v>
      </c>
      <c r="AY493" s="2211" t="s">
        <v>3285</v>
      </c>
    </row>
    <row r="494" spans="2:65" s="2209" customFormat="1" ht="22.5">
      <c r="B494" s="2210"/>
      <c r="D494" s="2197" t="s">
        <v>3303</v>
      </c>
      <c r="E494" s="2211" t="s">
        <v>3146</v>
      </c>
      <c r="F494" s="2212" t="s">
        <v>10759</v>
      </c>
      <c r="H494" s="2213">
        <v>1.962</v>
      </c>
      <c r="L494" s="2210"/>
      <c r="M494" s="2214"/>
      <c r="T494" s="2215"/>
      <c r="AT494" s="2211" t="s">
        <v>3303</v>
      </c>
      <c r="AU494" s="2211" t="s">
        <v>134</v>
      </c>
      <c r="AV494" s="2209" t="s">
        <v>134</v>
      </c>
      <c r="AW494" s="2209" t="s">
        <v>3171</v>
      </c>
      <c r="AX494" s="2209" t="s">
        <v>3213</v>
      </c>
      <c r="AY494" s="2211" t="s">
        <v>3285</v>
      </c>
    </row>
    <row r="495" spans="2:65" s="2195" customFormat="1">
      <c r="B495" s="2196"/>
      <c r="D495" s="2197" t="s">
        <v>3303</v>
      </c>
      <c r="E495" s="2198" t="s">
        <v>3146</v>
      </c>
      <c r="F495" s="2199" t="s">
        <v>10760</v>
      </c>
      <c r="H495" s="2198" t="s">
        <v>3146</v>
      </c>
      <c r="L495" s="2196"/>
      <c r="M495" s="2200"/>
      <c r="T495" s="2201"/>
      <c r="AT495" s="2198" t="s">
        <v>3303</v>
      </c>
      <c r="AU495" s="2198" t="s">
        <v>134</v>
      </c>
      <c r="AV495" s="2195" t="s">
        <v>133</v>
      </c>
      <c r="AW495" s="2195" t="s">
        <v>3171</v>
      </c>
      <c r="AX495" s="2195" t="s">
        <v>3213</v>
      </c>
      <c r="AY495" s="2198" t="s">
        <v>3285</v>
      </c>
    </row>
    <row r="496" spans="2:65" s="2209" customFormat="1" ht="22.5">
      <c r="B496" s="2210"/>
      <c r="D496" s="2197" t="s">
        <v>3303</v>
      </c>
      <c r="E496" s="2211" t="s">
        <v>3146</v>
      </c>
      <c r="F496" s="2212" t="s">
        <v>10761</v>
      </c>
      <c r="H496" s="2213">
        <v>1.1180000000000001</v>
      </c>
      <c r="L496" s="2210"/>
      <c r="M496" s="2214"/>
      <c r="T496" s="2215"/>
      <c r="AT496" s="2211" t="s">
        <v>3303</v>
      </c>
      <c r="AU496" s="2211" t="s">
        <v>134</v>
      </c>
      <c r="AV496" s="2209" t="s">
        <v>134</v>
      </c>
      <c r="AW496" s="2209" t="s">
        <v>3171</v>
      </c>
      <c r="AX496" s="2209" t="s">
        <v>3213</v>
      </c>
      <c r="AY496" s="2211" t="s">
        <v>3285</v>
      </c>
    </row>
    <row r="497" spans="2:65" s="2209" customFormat="1" ht="22.5">
      <c r="B497" s="2210"/>
      <c r="D497" s="2197" t="s">
        <v>3303</v>
      </c>
      <c r="E497" s="2211" t="s">
        <v>3146</v>
      </c>
      <c r="F497" s="2212" t="s">
        <v>10762</v>
      </c>
      <c r="H497" s="2213">
        <v>1.1180000000000001</v>
      </c>
      <c r="L497" s="2210"/>
      <c r="M497" s="2214"/>
      <c r="T497" s="2215"/>
      <c r="AT497" s="2211" t="s">
        <v>3303</v>
      </c>
      <c r="AU497" s="2211" t="s">
        <v>134</v>
      </c>
      <c r="AV497" s="2209" t="s">
        <v>134</v>
      </c>
      <c r="AW497" s="2209" t="s">
        <v>3171</v>
      </c>
      <c r="AX497" s="2209" t="s">
        <v>3213</v>
      </c>
      <c r="AY497" s="2211" t="s">
        <v>3285</v>
      </c>
    </row>
    <row r="498" spans="2:65" s="2216" customFormat="1">
      <c r="B498" s="2217"/>
      <c r="D498" s="2197" t="s">
        <v>3303</v>
      </c>
      <c r="E498" s="2218" t="s">
        <v>3146</v>
      </c>
      <c r="F498" s="2219" t="s">
        <v>3306</v>
      </c>
      <c r="H498" s="2220">
        <v>7.101</v>
      </c>
      <c r="L498" s="2217"/>
      <c r="M498" s="2221"/>
      <c r="T498" s="2222"/>
      <c r="AT498" s="2218" t="s">
        <v>3303</v>
      </c>
      <c r="AU498" s="2218" t="s">
        <v>134</v>
      </c>
      <c r="AV498" s="2216" t="s">
        <v>856</v>
      </c>
      <c r="AW498" s="2216" t="s">
        <v>3171</v>
      </c>
      <c r="AX498" s="2216" t="s">
        <v>133</v>
      </c>
      <c r="AY498" s="2218" t="s">
        <v>3285</v>
      </c>
    </row>
    <row r="499" spans="2:65" s="2070" customFormat="1" ht="24.2" customHeight="1">
      <c r="B499" s="2164"/>
      <c r="C499" s="4608">
        <v>83</v>
      </c>
      <c r="D499" s="4608" t="s">
        <v>3286</v>
      </c>
      <c r="E499" s="4609" t="s">
        <v>10763</v>
      </c>
      <c r="F499" s="4610" t="s">
        <v>10764</v>
      </c>
      <c r="G499" s="4611" t="s">
        <v>302</v>
      </c>
      <c r="H499" s="4612">
        <v>0.85199999999999998</v>
      </c>
      <c r="I499" s="4613"/>
      <c r="J499" s="4613">
        <f>ROUND(I499*H499,2)</f>
        <v>0</v>
      </c>
      <c r="K499" s="4610" t="s">
        <v>142</v>
      </c>
      <c r="L499" s="2071"/>
      <c r="M499" s="2190" t="s">
        <v>3146</v>
      </c>
      <c r="N499" s="2163" t="s">
        <v>3181</v>
      </c>
      <c r="O499" s="2191">
        <v>36.877000000000002</v>
      </c>
      <c r="P499" s="2191">
        <f>O499*H499</f>
        <v>31.419204000000001</v>
      </c>
      <c r="Q499" s="2191">
        <v>1.0492699999999999</v>
      </c>
      <c r="R499" s="2191">
        <f>Q499*H499</f>
        <v>0.89397803999999992</v>
      </c>
      <c r="S499" s="2191">
        <v>0</v>
      </c>
      <c r="T499" s="2192">
        <f>S499*H499</f>
        <v>0</v>
      </c>
      <c r="AR499" s="2193" t="s">
        <v>856</v>
      </c>
      <c r="AT499" s="2193" t="s">
        <v>3286</v>
      </c>
      <c r="AU499" s="2193" t="s">
        <v>134</v>
      </c>
      <c r="AY499" s="2056" t="s">
        <v>3285</v>
      </c>
      <c r="BE499" s="2194">
        <f>IF(N499="základní",J499,0)</f>
        <v>0</v>
      </c>
      <c r="BF499" s="2194">
        <f>IF(N499="snížená",J499,0)</f>
        <v>0</v>
      </c>
      <c r="BG499" s="2194">
        <f>IF(N499="zákl. přenesená",J499,0)</f>
        <v>0</v>
      </c>
      <c r="BH499" s="2194">
        <f>IF(N499="sníž. přenesená",J499,0)</f>
        <v>0</v>
      </c>
      <c r="BI499" s="2194">
        <f>IF(N499="nulová",J499,0)</f>
        <v>0</v>
      </c>
      <c r="BJ499" s="2056" t="s">
        <v>134</v>
      </c>
      <c r="BK499" s="2194">
        <f>ROUND(I499*H499,2)</f>
        <v>0</v>
      </c>
      <c r="BL499" s="2056" t="s">
        <v>856</v>
      </c>
      <c r="BM499" s="2193" t="s">
        <v>10765</v>
      </c>
    </row>
    <row r="500" spans="2:65" s="2209" customFormat="1">
      <c r="B500" s="2210"/>
      <c r="D500" s="2197" t="s">
        <v>3303</v>
      </c>
      <c r="E500" s="2211" t="s">
        <v>3146</v>
      </c>
      <c r="F500" s="2212" t="s">
        <v>10766</v>
      </c>
      <c r="H500" s="2213">
        <v>0.85199999999999998</v>
      </c>
      <c r="L500" s="2210"/>
      <c r="M500" s="2214"/>
      <c r="T500" s="2215"/>
      <c r="AT500" s="2211" t="s">
        <v>3303</v>
      </c>
      <c r="AU500" s="2211" t="s">
        <v>134</v>
      </c>
      <c r="AV500" s="2209" t="s">
        <v>134</v>
      </c>
      <c r="AW500" s="2209" t="s">
        <v>3171</v>
      </c>
      <c r="AX500" s="2209" t="s">
        <v>133</v>
      </c>
      <c r="AY500" s="2211" t="s">
        <v>3285</v>
      </c>
    </row>
    <row r="501" spans="2:65" s="2070" customFormat="1" ht="24.2" customHeight="1">
      <c r="B501" s="2164"/>
      <c r="C501" s="4608">
        <v>84</v>
      </c>
      <c r="D501" s="4608" t="s">
        <v>3286</v>
      </c>
      <c r="E501" s="4609" t="s">
        <v>10767</v>
      </c>
      <c r="F501" s="4610" t="s">
        <v>10768</v>
      </c>
      <c r="G501" s="4611" t="s">
        <v>611</v>
      </c>
      <c r="H501" s="4612">
        <v>40.154000000000003</v>
      </c>
      <c r="I501" s="4613"/>
      <c r="J501" s="4613">
        <f>ROUND(I501*H501,2)</f>
        <v>0</v>
      </c>
      <c r="K501" s="4610" t="s">
        <v>142</v>
      </c>
      <c r="L501" s="2071"/>
      <c r="M501" s="2190" t="s">
        <v>3146</v>
      </c>
      <c r="N501" s="2163" t="s">
        <v>3181</v>
      </c>
      <c r="O501" s="2191">
        <v>1.3420000000000001</v>
      </c>
      <c r="P501" s="2191">
        <f>O501*H501</f>
        <v>53.886668000000007</v>
      </c>
      <c r="Q501" s="2191">
        <v>1.282E-2</v>
      </c>
      <c r="R501" s="2191">
        <f>Q501*H501</f>
        <v>0.51477428000000003</v>
      </c>
      <c r="S501" s="2191">
        <v>0</v>
      </c>
      <c r="T501" s="2192">
        <f>S501*H501</f>
        <v>0</v>
      </c>
      <c r="AR501" s="2193" t="s">
        <v>856</v>
      </c>
      <c r="AT501" s="2193" t="s">
        <v>3286</v>
      </c>
      <c r="AU501" s="2193" t="s">
        <v>134</v>
      </c>
      <c r="AY501" s="2056" t="s">
        <v>3285</v>
      </c>
      <c r="BE501" s="2194">
        <f>IF(N501="základní",J501,0)</f>
        <v>0</v>
      </c>
      <c r="BF501" s="2194">
        <f>IF(N501="snížená",J501,0)</f>
        <v>0</v>
      </c>
      <c r="BG501" s="2194">
        <f>IF(N501="zákl. přenesená",J501,0)</f>
        <v>0</v>
      </c>
      <c r="BH501" s="2194">
        <f>IF(N501="sníž. přenesená",J501,0)</f>
        <v>0</v>
      </c>
      <c r="BI501" s="2194">
        <f>IF(N501="nulová",J501,0)</f>
        <v>0</v>
      </c>
      <c r="BJ501" s="2056" t="s">
        <v>134</v>
      </c>
      <c r="BK501" s="2194">
        <f>ROUND(I501*H501,2)</f>
        <v>0</v>
      </c>
      <c r="BL501" s="2056" t="s">
        <v>856</v>
      </c>
      <c r="BM501" s="2193" t="s">
        <v>10769</v>
      </c>
    </row>
    <row r="502" spans="2:65" s="2195" customFormat="1">
      <c r="B502" s="2196"/>
      <c r="D502" s="2197" t="s">
        <v>3303</v>
      </c>
      <c r="E502" s="2198" t="s">
        <v>3146</v>
      </c>
      <c r="F502" s="2199" t="s">
        <v>10756</v>
      </c>
      <c r="H502" s="2198" t="s">
        <v>3146</v>
      </c>
      <c r="L502" s="2196"/>
      <c r="M502" s="2200"/>
      <c r="T502" s="2201"/>
      <c r="AT502" s="2198" t="s">
        <v>3303</v>
      </c>
      <c r="AU502" s="2198" t="s">
        <v>134</v>
      </c>
      <c r="AV502" s="2195" t="s">
        <v>133</v>
      </c>
      <c r="AW502" s="2195" t="s">
        <v>3171</v>
      </c>
      <c r="AX502" s="2195" t="s">
        <v>3213</v>
      </c>
      <c r="AY502" s="2198" t="s">
        <v>3285</v>
      </c>
    </row>
    <row r="503" spans="2:65" s="2195" customFormat="1">
      <c r="B503" s="2196"/>
      <c r="D503" s="2197" t="s">
        <v>3303</v>
      </c>
      <c r="E503" s="2198" t="s">
        <v>3146</v>
      </c>
      <c r="F503" s="2199" t="s">
        <v>10770</v>
      </c>
      <c r="H503" s="2198" t="s">
        <v>3146</v>
      </c>
      <c r="L503" s="2196"/>
      <c r="M503" s="2200"/>
      <c r="T503" s="2201"/>
      <c r="AT503" s="2198" t="s">
        <v>3303</v>
      </c>
      <c r="AU503" s="2198" t="s">
        <v>134</v>
      </c>
      <c r="AV503" s="2195" t="s">
        <v>133</v>
      </c>
      <c r="AW503" s="2195" t="s">
        <v>3171</v>
      </c>
      <c r="AX503" s="2195" t="s">
        <v>3213</v>
      </c>
      <c r="AY503" s="2198" t="s">
        <v>3285</v>
      </c>
    </row>
    <row r="504" spans="2:65" s="2209" customFormat="1">
      <c r="B504" s="2210"/>
      <c r="D504" s="2197" t="s">
        <v>3303</v>
      </c>
      <c r="E504" s="2211" t="s">
        <v>3146</v>
      </c>
      <c r="F504" s="2212" t="s">
        <v>10771</v>
      </c>
      <c r="H504" s="2213">
        <v>2.4</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10772</v>
      </c>
      <c r="H505" s="2213">
        <v>3.36</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10773</v>
      </c>
      <c r="H506" s="2213">
        <v>3.36</v>
      </c>
      <c r="L506" s="2210"/>
      <c r="M506" s="2214"/>
      <c r="T506" s="2215"/>
      <c r="AT506" s="2211" t="s">
        <v>3303</v>
      </c>
      <c r="AU506" s="2211" t="s">
        <v>134</v>
      </c>
      <c r="AV506" s="2209" t="s">
        <v>134</v>
      </c>
      <c r="AW506" s="2209" t="s">
        <v>3171</v>
      </c>
      <c r="AX506" s="2209" t="s">
        <v>3213</v>
      </c>
      <c r="AY506" s="2211" t="s">
        <v>3285</v>
      </c>
    </row>
    <row r="507" spans="2:65" s="2195" customFormat="1">
      <c r="B507" s="2196"/>
      <c r="D507" s="2197" t="s">
        <v>3303</v>
      </c>
      <c r="E507" s="2198" t="s">
        <v>3146</v>
      </c>
      <c r="F507" s="2199" t="s">
        <v>10774</v>
      </c>
      <c r="H507" s="2198" t="s">
        <v>3146</v>
      </c>
      <c r="L507" s="2196"/>
      <c r="M507" s="2200"/>
      <c r="T507" s="2201"/>
      <c r="AT507" s="2198" t="s">
        <v>3303</v>
      </c>
      <c r="AU507" s="2198" t="s">
        <v>134</v>
      </c>
      <c r="AV507" s="2195" t="s">
        <v>133</v>
      </c>
      <c r="AW507" s="2195" t="s">
        <v>3171</v>
      </c>
      <c r="AX507" s="2195" t="s">
        <v>3213</v>
      </c>
      <c r="AY507" s="2198" t="s">
        <v>3285</v>
      </c>
    </row>
    <row r="508" spans="2:65" s="2209" customFormat="1">
      <c r="B508" s="2210"/>
      <c r="D508" s="2197" t="s">
        <v>3303</v>
      </c>
      <c r="E508" s="2211" t="s">
        <v>3146</v>
      </c>
      <c r="F508" s="2212" t="s">
        <v>10775</v>
      </c>
      <c r="H508" s="2213">
        <v>4.4800000000000004</v>
      </c>
      <c r="L508" s="2210"/>
      <c r="M508" s="2214"/>
      <c r="T508" s="2215"/>
      <c r="AT508" s="2211" t="s">
        <v>3303</v>
      </c>
      <c r="AU508" s="2211" t="s">
        <v>134</v>
      </c>
      <c r="AV508" s="2209" t="s">
        <v>134</v>
      </c>
      <c r="AW508" s="2209" t="s">
        <v>3171</v>
      </c>
      <c r="AX508" s="2209" t="s">
        <v>3213</v>
      </c>
      <c r="AY508" s="2211" t="s">
        <v>3285</v>
      </c>
    </row>
    <row r="509" spans="2:65" s="2209" customFormat="1">
      <c r="B509" s="2210"/>
      <c r="D509" s="2197" t="s">
        <v>3303</v>
      </c>
      <c r="E509" s="2211" t="s">
        <v>3146</v>
      </c>
      <c r="F509" s="2212" t="s">
        <v>10776</v>
      </c>
      <c r="H509" s="2213">
        <v>5.84</v>
      </c>
      <c r="L509" s="2210"/>
      <c r="M509" s="2214"/>
      <c r="T509" s="2215"/>
      <c r="AT509" s="2211" t="s">
        <v>3303</v>
      </c>
      <c r="AU509" s="2211" t="s">
        <v>134</v>
      </c>
      <c r="AV509" s="2209" t="s">
        <v>134</v>
      </c>
      <c r="AW509" s="2209" t="s">
        <v>3171</v>
      </c>
      <c r="AX509" s="2209" t="s">
        <v>3213</v>
      </c>
      <c r="AY509" s="2211" t="s">
        <v>3285</v>
      </c>
    </row>
    <row r="510" spans="2:65" s="2209" customFormat="1">
      <c r="B510" s="2210"/>
      <c r="D510" s="2197" t="s">
        <v>3303</v>
      </c>
      <c r="E510" s="2211" t="s">
        <v>3146</v>
      </c>
      <c r="F510" s="2212" t="s">
        <v>10777</v>
      </c>
      <c r="H510" s="2213">
        <v>5.84</v>
      </c>
      <c r="L510" s="2210"/>
      <c r="M510" s="2214"/>
      <c r="T510" s="2215"/>
      <c r="AT510" s="2211" t="s">
        <v>3303</v>
      </c>
      <c r="AU510" s="2211" t="s">
        <v>134</v>
      </c>
      <c r="AV510" s="2209" t="s">
        <v>134</v>
      </c>
      <c r="AW510" s="2209" t="s">
        <v>3171</v>
      </c>
      <c r="AX510" s="2209" t="s">
        <v>3213</v>
      </c>
      <c r="AY510" s="2211" t="s">
        <v>3285</v>
      </c>
    </row>
    <row r="511" spans="2:65" s="2195" customFormat="1">
      <c r="B511" s="2196"/>
      <c r="D511" s="2197" t="s">
        <v>3303</v>
      </c>
      <c r="E511" s="2198" t="s">
        <v>3146</v>
      </c>
      <c r="F511" s="2199" t="s">
        <v>10760</v>
      </c>
      <c r="H511" s="2198" t="s">
        <v>3146</v>
      </c>
      <c r="L511" s="2196"/>
      <c r="M511" s="2200"/>
      <c r="T511" s="2201"/>
      <c r="AT511" s="2198" t="s">
        <v>3303</v>
      </c>
      <c r="AU511" s="2198" t="s">
        <v>134</v>
      </c>
      <c r="AV511" s="2195" t="s">
        <v>133</v>
      </c>
      <c r="AW511" s="2195" t="s">
        <v>3171</v>
      </c>
      <c r="AX511" s="2195" t="s">
        <v>3213</v>
      </c>
      <c r="AY511" s="2198" t="s">
        <v>3285</v>
      </c>
    </row>
    <row r="512" spans="2:65" s="2195" customFormat="1">
      <c r="B512" s="2196"/>
      <c r="D512" s="2197" t="s">
        <v>3303</v>
      </c>
      <c r="E512" s="2198" t="s">
        <v>3146</v>
      </c>
      <c r="F512" s="2199" t="s">
        <v>10770</v>
      </c>
      <c r="H512" s="2198" t="s">
        <v>3146</v>
      </c>
      <c r="L512" s="2196"/>
      <c r="M512" s="2200"/>
      <c r="T512" s="2201"/>
      <c r="AT512" s="2198" t="s">
        <v>3303</v>
      </c>
      <c r="AU512" s="2198" t="s">
        <v>134</v>
      </c>
      <c r="AV512" s="2195" t="s">
        <v>133</v>
      </c>
      <c r="AW512" s="2195" t="s">
        <v>3171</v>
      </c>
      <c r="AX512" s="2195" t="s">
        <v>3213</v>
      </c>
      <c r="AY512" s="2198" t="s">
        <v>3285</v>
      </c>
    </row>
    <row r="513" spans="2:65" s="2209" customFormat="1">
      <c r="B513" s="2210"/>
      <c r="D513" s="2197" t="s">
        <v>3303</v>
      </c>
      <c r="E513" s="2211" t="s">
        <v>3146</v>
      </c>
      <c r="F513" s="2212" t="s">
        <v>10778</v>
      </c>
      <c r="H513" s="2213">
        <v>2.806</v>
      </c>
      <c r="L513" s="2210"/>
      <c r="M513" s="2214"/>
      <c r="T513" s="2215"/>
      <c r="AT513" s="2211" t="s">
        <v>3303</v>
      </c>
      <c r="AU513" s="2211" t="s">
        <v>134</v>
      </c>
      <c r="AV513" s="2209" t="s">
        <v>134</v>
      </c>
      <c r="AW513" s="2209" t="s">
        <v>3171</v>
      </c>
      <c r="AX513" s="2209" t="s">
        <v>3213</v>
      </c>
      <c r="AY513" s="2211" t="s">
        <v>3285</v>
      </c>
    </row>
    <row r="514" spans="2:65" s="2209" customFormat="1">
      <c r="B514" s="2210"/>
      <c r="D514" s="2197" t="s">
        <v>3303</v>
      </c>
      <c r="E514" s="2211" t="s">
        <v>3146</v>
      </c>
      <c r="F514" s="2212" t="s">
        <v>10779</v>
      </c>
      <c r="H514" s="2213">
        <v>2.806</v>
      </c>
      <c r="L514" s="2210"/>
      <c r="M514" s="2214"/>
      <c r="T514" s="2215"/>
      <c r="AT514" s="2211" t="s">
        <v>3303</v>
      </c>
      <c r="AU514" s="2211" t="s">
        <v>134</v>
      </c>
      <c r="AV514" s="2209" t="s">
        <v>134</v>
      </c>
      <c r="AW514" s="2209" t="s">
        <v>3171</v>
      </c>
      <c r="AX514" s="2209" t="s">
        <v>3213</v>
      </c>
      <c r="AY514" s="2211" t="s">
        <v>3285</v>
      </c>
    </row>
    <row r="515" spans="2:65" s="2195" customFormat="1">
      <c r="B515" s="2196"/>
      <c r="D515" s="2197" t="s">
        <v>3303</v>
      </c>
      <c r="E515" s="2198" t="s">
        <v>3146</v>
      </c>
      <c r="F515" s="2199" t="s">
        <v>10774</v>
      </c>
      <c r="H515" s="2198" t="s">
        <v>3146</v>
      </c>
      <c r="L515" s="2196"/>
      <c r="M515" s="2200"/>
      <c r="T515" s="2201"/>
      <c r="AT515" s="2198" t="s">
        <v>3303</v>
      </c>
      <c r="AU515" s="2198" t="s">
        <v>134</v>
      </c>
      <c r="AV515" s="2195" t="s">
        <v>133</v>
      </c>
      <c r="AW515" s="2195" t="s">
        <v>3171</v>
      </c>
      <c r="AX515" s="2195" t="s">
        <v>3213</v>
      </c>
      <c r="AY515" s="2198" t="s">
        <v>3285</v>
      </c>
    </row>
    <row r="516" spans="2:65" s="2209" customFormat="1">
      <c r="B516" s="2210"/>
      <c r="D516" s="2197" t="s">
        <v>3303</v>
      </c>
      <c r="E516" s="2211" t="s">
        <v>3146</v>
      </c>
      <c r="F516" s="2212" t="s">
        <v>10780</v>
      </c>
      <c r="H516" s="2213">
        <v>4.6310000000000002</v>
      </c>
      <c r="L516" s="2210"/>
      <c r="M516" s="2214"/>
      <c r="T516" s="2215"/>
      <c r="AT516" s="2211" t="s">
        <v>3303</v>
      </c>
      <c r="AU516" s="2211" t="s">
        <v>134</v>
      </c>
      <c r="AV516" s="2209" t="s">
        <v>134</v>
      </c>
      <c r="AW516" s="2209" t="s">
        <v>3171</v>
      </c>
      <c r="AX516" s="2209" t="s">
        <v>3213</v>
      </c>
      <c r="AY516" s="2211" t="s">
        <v>3285</v>
      </c>
    </row>
    <row r="517" spans="2:65" s="2209" customFormat="1">
      <c r="B517" s="2210"/>
      <c r="D517" s="2197" t="s">
        <v>3303</v>
      </c>
      <c r="E517" s="2211" t="s">
        <v>3146</v>
      </c>
      <c r="F517" s="2212" t="s">
        <v>10781</v>
      </c>
      <c r="H517" s="2213">
        <v>4.6310000000000002</v>
      </c>
      <c r="L517" s="2210"/>
      <c r="M517" s="2214"/>
      <c r="T517" s="2215"/>
      <c r="AT517" s="2211" t="s">
        <v>3303</v>
      </c>
      <c r="AU517" s="2211" t="s">
        <v>134</v>
      </c>
      <c r="AV517" s="2209" t="s">
        <v>134</v>
      </c>
      <c r="AW517" s="2209" t="s">
        <v>3171</v>
      </c>
      <c r="AX517" s="2209" t="s">
        <v>3213</v>
      </c>
      <c r="AY517" s="2211" t="s">
        <v>3285</v>
      </c>
    </row>
    <row r="518" spans="2:65" s="2216" customFormat="1">
      <c r="B518" s="2217"/>
      <c r="D518" s="2197" t="s">
        <v>3303</v>
      </c>
      <c r="E518" s="2218" t="s">
        <v>3146</v>
      </c>
      <c r="F518" s="2219" t="s">
        <v>3306</v>
      </c>
      <c r="H518" s="2220">
        <v>40.154000000000003</v>
      </c>
      <c r="L518" s="2217"/>
      <c r="M518" s="2221"/>
      <c r="T518" s="2222"/>
      <c r="AT518" s="2218" t="s">
        <v>3303</v>
      </c>
      <c r="AU518" s="2218" t="s">
        <v>134</v>
      </c>
      <c r="AV518" s="2216" t="s">
        <v>856</v>
      </c>
      <c r="AW518" s="2216" t="s">
        <v>3171</v>
      </c>
      <c r="AX518" s="2216" t="s">
        <v>133</v>
      </c>
      <c r="AY518" s="2218" t="s">
        <v>3285</v>
      </c>
    </row>
    <row r="519" spans="2:65" s="2070" customFormat="1" ht="24.2" customHeight="1">
      <c r="B519" s="2164"/>
      <c r="C519" s="4608">
        <v>85</v>
      </c>
      <c r="D519" s="4608" t="s">
        <v>3286</v>
      </c>
      <c r="E519" s="4609" t="s">
        <v>10782</v>
      </c>
      <c r="F519" s="4610" t="s">
        <v>10783</v>
      </c>
      <c r="G519" s="4611" t="s">
        <v>611</v>
      </c>
      <c r="H519" s="4612">
        <v>40.154000000000003</v>
      </c>
      <c r="I519" s="4613"/>
      <c r="J519" s="4613">
        <f>ROUND(I519*H519,2)</f>
        <v>0</v>
      </c>
      <c r="K519" s="4610" t="s">
        <v>142</v>
      </c>
      <c r="L519" s="2071"/>
      <c r="M519" s="2190" t="s">
        <v>3146</v>
      </c>
      <c r="N519" s="2163" t="s">
        <v>3181</v>
      </c>
      <c r="O519" s="2191">
        <v>0.33800000000000002</v>
      </c>
      <c r="P519" s="2191">
        <f>O519*H519</f>
        <v>13.572052000000003</v>
      </c>
      <c r="Q519" s="2191">
        <v>0</v>
      </c>
      <c r="R519" s="2191">
        <f>Q519*H519</f>
        <v>0</v>
      </c>
      <c r="S519" s="2191">
        <v>0</v>
      </c>
      <c r="T519" s="2192">
        <f>S519*H519</f>
        <v>0</v>
      </c>
      <c r="AR519" s="2193" t="s">
        <v>856</v>
      </c>
      <c r="AT519" s="2193" t="s">
        <v>3286</v>
      </c>
      <c r="AU519" s="2193" t="s">
        <v>134</v>
      </c>
      <c r="AY519" s="2056" t="s">
        <v>3285</v>
      </c>
      <c r="BE519" s="2194">
        <f>IF(N519="základní",J519,0)</f>
        <v>0</v>
      </c>
      <c r="BF519" s="2194">
        <f>IF(N519="snížená",J519,0)</f>
        <v>0</v>
      </c>
      <c r="BG519" s="2194">
        <f>IF(N519="zákl. přenesená",J519,0)</f>
        <v>0</v>
      </c>
      <c r="BH519" s="2194">
        <f>IF(N519="sníž. přenesená",J519,0)</f>
        <v>0</v>
      </c>
      <c r="BI519" s="2194">
        <f>IF(N519="nulová",J519,0)</f>
        <v>0</v>
      </c>
      <c r="BJ519" s="2056" t="s">
        <v>134</v>
      </c>
      <c r="BK519" s="2194">
        <f>ROUND(I519*H519,2)</f>
        <v>0</v>
      </c>
      <c r="BL519" s="2056" t="s">
        <v>856</v>
      </c>
      <c r="BM519" s="2193" t="s">
        <v>10784</v>
      </c>
    </row>
    <row r="520" spans="2:65" s="2070" customFormat="1" ht="24.2" customHeight="1">
      <c r="B520" s="2164"/>
      <c r="C520" s="4608">
        <v>86</v>
      </c>
      <c r="D520" s="4608" t="s">
        <v>3286</v>
      </c>
      <c r="E520" s="4609" t="s">
        <v>10785</v>
      </c>
      <c r="F520" s="4610" t="s">
        <v>10786</v>
      </c>
      <c r="G520" s="4611" t="s">
        <v>611</v>
      </c>
      <c r="H520" s="4612">
        <v>2.2400000000000002</v>
      </c>
      <c r="I520" s="4613"/>
      <c r="J520" s="4613">
        <f>ROUND(I520*H520,2)</f>
        <v>0</v>
      </c>
      <c r="K520" s="4610" t="s">
        <v>142</v>
      </c>
      <c r="L520" s="2071"/>
      <c r="M520" s="2190" t="s">
        <v>3146</v>
      </c>
      <c r="N520" s="2163" t="s">
        <v>3181</v>
      </c>
      <c r="O520" s="2191">
        <v>0.11600000000000001</v>
      </c>
      <c r="P520" s="2191">
        <f>O520*H520</f>
        <v>0.25984000000000002</v>
      </c>
      <c r="Q520" s="2191">
        <v>2.81E-3</v>
      </c>
      <c r="R520" s="2191">
        <f>Q520*H520</f>
        <v>6.2944000000000003E-3</v>
      </c>
      <c r="S520" s="2191">
        <v>0</v>
      </c>
      <c r="T520" s="2192">
        <f>S520*H520</f>
        <v>0</v>
      </c>
      <c r="AR520" s="2193" t="s">
        <v>856</v>
      </c>
      <c r="AT520" s="2193" t="s">
        <v>3286</v>
      </c>
      <c r="AU520" s="2193" t="s">
        <v>134</v>
      </c>
      <c r="AY520" s="2056" t="s">
        <v>3285</v>
      </c>
      <c r="BE520" s="2194">
        <f>IF(N520="základní",J520,0)</f>
        <v>0</v>
      </c>
      <c r="BF520" s="2194">
        <f>IF(N520="snížená",J520,0)</f>
        <v>0</v>
      </c>
      <c r="BG520" s="2194">
        <f>IF(N520="zákl. přenesená",J520,0)</f>
        <v>0</v>
      </c>
      <c r="BH520" s="2194">
        <f>IF(N520="sníž. přenesená",J520,0)</f>
        <v>0</v>
      </c>
      <c r="BI520" s="2194">
        <f>IF(N520="nulová",J520,0)</f>
        <v>0</v>
      </c>
      <c r="BJ520" s="2056" t="s">
        <v>134</v>
      </c>
      <c r="BK520" s="2194">
        <f>ROUND(I520*H520,2)</f>
        <v>0</v>
      </c>
      <c r="BL520" s="2056" t="s">
        <v>856</v>
      </c>
      <c r="BM520" s="2193" t="s">
        <v>10787</v>
      </c>
    </row>
    <row r="521" spans="2:65" s="2195" customFormat="1">
      <c r="B521" s="2196"/>
      <c r="D521" s="2197" t="s">
        <v>3303</v>
      </c>
      <c r="E521" s="2198" t="s">
        <v>3146</v>
      </c>
      <c r="F521" s="2199" t="s">
        <v>10788</v>
      </c>
      <c r="H521" s="2198" t="s">
        <v>3146</v>
      </c>
      <c r="L521" s="2196"/>
      <c r="M521" s="2200"/>
      <c r="T521" s="2201"/>
      <c r="AT521" s="2198" t="s">
        <v>3303</v>
      </c>
      <c r="AU521" s="2198" t="s">
        <v>134</v>
      </c>
      <c r="AV521" s="2195" t="s">
        <v>133</v>
      </c>
      <c r="AW521" s="2195" t="s">
        <v>3171</v>
      </c>
      <c r="AX521" s="2195" t="s">
        <v>3213</v>
      </c>
      <c r="AY521" s="2198" t="s">
        <v>3285</v>
      </c>
    </row>
    <row r="522" spans="2:65" s="2195" customFormat="1">
      <c r="B522" s="2196"/>
      <c r="D522" s="2197" t="s">
        <v>3303</v>
      </c>
      <c r="E522" s="2198" t="s">
        <v>3146</v>
      </c>
      <c r="F522" s="2199" t="s">
        <v>10774</v>
      </c>
      <c r="H522" s="2198" t="s">
        <v>3146</v>
      </c>
      <c r="L522" s="2196"/>
      <c r="M522" s="2200"/>
      <c r="T522" s="2201"/>
      <c r="AT522" s="2198" t="s">
        <v>3303</v>
      </c>
      <c r="AU522" s="2198" t="s">
        <v>134</v>
      </c>
      <c r="AV522" s="2195" t="s">
        <v>133</v>
      </c>
      <c r="AW522" s="2195" t="s">
        <v>3171</v>
      </c>
      <c r="AX522" s="2195" t="s">
        <v>3213</v>
      </c>
      <c r="AY522" s="2198" t="s">
        <v>3285</v>
      </c>
    </row>
    <row r="523" spans="2:65" s="2209" customFormat="1">
      <c r="B523" s="2210"/>
      <c r="D523" s="2197" t="s">
        <v>3303</v>
      </c>
      <c r="E523" s="2211" t="s">
        <v>3146</v>
      </c>
      <c r="F523" s="2212" t="s">
        <v>10789</v>
      </c>
      <c r="H523" s="2213">
        <v>2.2400000000000002</v>
      </c>
      <c r="L523" s="2210"/>
      <c r="M523" s="2214"/>
      <c r="T523" s="2215"/>
      <c r="AT523" s="2211" t="s">
        <v>3303</v>
      </c>
      <c r="AU523" s="2211" t="s">
        <v>134</v>
      </c>
      <c r="AV523" s="2209" t="s">
        <v>134</v>
      </c>
      <c r="AW523" s="2209" t="s">
        <v>3171</v>
      </c>
      <c r="AX523" s="2209" t="s">
        <v>3213</v>
      </c>
      <c r="AY523" s="2211" t="s">
        <v>3285</v>
      </c>
    </row>
    <row r="524" spans="2:65" s="2216" customFormat="1">
      <c r="B524" s="2217"/>
      <c r="D524" s="2197" t="s">
        <v>3303</v>
      </c>
      <c r="E524" s="2218" t="s">
        <v>3146</v>
      </c>
      <c r="F524" s="2219" t="s">
        <v>3306</v>
      </c>
      <c r="H524" s="2220">
        <v>2.2400000000000002</v>
      </c>
      <c r="L524" s="2217"/>
      <c r="M524" s="2221"/>
      <c r="T524" s="2222"/>
      <c r="AT524" s="2218" t="s">
        <v>3303</v>
      </c>
      <c r="AU524" s="2218" t="s">
        <v>134</v>
      </c>
      <c r="AV524" s="2216" t="s">
        <v>856</v>
      </c>
      <c r="AW524" s="2216" t="s">
        <v>3171</v>
      </c>
      <c r="AX524" s="2216" t="s">
        <v>133</v>
      </c>
      <c r="AY524" s="2218" t="s">
        <v>3285</v>
      </c>
    </row>
    <row r="525" spans="2:65" s="2070" customFormat="1" ht="24.2" customHeight="1">
      <c r="B525" s="2164"/>
      <c r="C525" s="4608">
        <v>87</v>
      </c>
      <c r="D525" s="4608" t="s">
        <v>3286</v>
      </c>
      <c r="E525" s="4609" t="s">
        <v>10790</v>
      </c>
      <c r="F525" s="4610" t="s">
        <v>10791</v>
      </c>
      <c r="G525" s="4611" t="s">
        <v>611</v>
      </c>
      <c r="H525" s="4612">
        <v>2.2400000000000002</v>
      </c>
      <c r="I525" s="4613"/>
      <c r="J525" s="4613">
        <f t="shared" ref="J525:J533" si="10">ROUND(I525*H525,2)</f>
        <v>0</v>
      </c>
      <c r="K525" s="4610" t="s">
        <v>142</v>
      </c>
      <c r="L525" s="2071"/>
      <c r="M525" s="2190" t="s">
        <v>3146</v>
      </c>
      <c r="N525" s="2163" t="s">
        <v>3181</v>
      </c>
      <c r="O525" s="2191">
        <v>0.04</v>
      </c>
      <c r="P525" s="2191">
        <f t="shared" ref="P525:P533" si="11">O525*H525</f>
        <v>8.9600000000000013E-2</v>
      </c>
      <c r="Q525" s="2191">
        <v>0</v>
      </c>
      <c r="R525" s="2191">
        <f t="shared" ref="R525:R533" si="12">Q525*H525</f>
        <v>0</v>
      </c>
      <c r="S525" s="2191">
        <v>0</v>
      </c>
      <c r="T525" s="2192">
        <f t="shared" ref="T525:T533" si="13">S525*H525</f>
        <v>0</v>
      </c>
      <c r="AR525" s="2193" t="s">
        <v>856</v>
      </c>
      <c r="AT525" s="2193" t="s">
        <v>3286</v>
      </c>
      <c r="AU525" s="2193" t="s">
        <v>134</v>
      </c>
      <c r="AY525" s="2056" t="s">
        <v>3285</v>
      </c>
      <c r="BE525" s="2194">
        <f t="shared" ref="BE525:BE533" si="14">IF(N525="základní",J525,0)</f>
        <v>0</v>
      </c>
      <c r="BF525" s="2194">
        <f t="shared" ref="BF525:BF533" si="15">IF(N525="snížená",J525,0)</f>
        <v>0</v>
      </c>
      <c r="BG525" s="2194">
        <f t="shared" ref="BG525:BG533" si="16">IF(N525="zákl. přenesená",J525,0)</f>
        <v>0</v>
      </c>
      <c r="BH525" s="2194">
        <f t="shared" ref="BH525:BH533" si="17">IF(N525="sníž. přenesená",J525,0)</f>
        <v>0</v>
      </c>
      <c r="BI525" s="2194">
        <f t="shared" ref="BI525:BI533" si="18">IF(N525="nulová",J525,0)</f>
        <v>0</v>
      </c>
      <c r="BJ525" s="2056" t="s">
        <v>134</v>
      </c>
      <c r="BK525" s="2194">
        <f t="shared" ref="BK525:BK533" si="19">ROUND(I525*H525,2)</f>
        <v>0</v>
      </c>
      <c r="BL525" s="2056" t="s">
        <v>856</v>
      </c>
      <c r="BM525" s="2193" t="s">
        <v>10792</v>
      </c>
    </row>
    <row r="526" spans="2:65" s="2070" customFormat="1" ht="24.2" customHeight="1">
      <c r="B526" s="2164"/>
      <c r="C526" s="4608">
        <v>88</v>
      </c>
      <c r="D526" s="4608" t="s">
        <v>3286</v>
      </c>
      <c r="E526" s="4609" t="s">
        <v>3638</v>
      </c>
      <c r="F526" s="4610" t="s">
        <v>3639</v>
      </c>
      <c r="G526" s="4611" t="s">
        <v>155</v>
      </c>
      <c r="H526" s="4612">
        <v>1</v>
      </c>
      <c r="I526" s="4613"/>
      <c r="J526" s="4613">
        <f t="shared" si="10"/>
        <v>0</v>
      </c>
      <c r="K526" s="4610" t="s">
        <v>3146</v>
      </c>
      <c r="L526" s="2071"/>
      <c r="M526" s="2190" t="s">
        <v>3146</v>
      </c>
      <c r="N526" s="2163" t="s">
        <v>3181</v>
      </c>
      <c r="O526" s="2191">
        <v>0</v>
      </c>
      <c r="P526" s="2191">
        <f t="shared" si="11"/>
        <v>0</v>
      </c>
      <c r="Q526" s="2191">
        <v>0</v>
      </c>
      <c r="R526" s="2191">
        <f t="shared" si="12"/>
        <v>0</v>
      </c>
      <c r="S526" s="2191">
        <v>0</v>
      </c>
      <c r="T526" s="2192">
        <f t="shared" si="13"/>
        <v>0</v>
      </c>
      <c r="AR526" s="2193" t="s">
        <v>856</v>
      </c>
      <c r="AT526" s="2193" t="s">
        <v>3286</v>
      </c>
      <c r="AU526" s="2193" t="s">
        <v>134</v>
      </c>
      <c r="AY526" s="2056" t="s">
        <v>3285</v>
      </c>
      <c r="BE526" s="2194">
        <f t="shared" si="14"/>
        <v>0</v>
      </c>
      <c r="BF526" s="2194">
        <f t="shared" si="15"/>
        <v>0</v>
      </c>
      <c r="BG526" s="2194">
        <f t="shared" si="16"/>
        <v>0</v>
      </c>
      <c r="BH526" s="2194">
        <f t="shared" si="17"/>
        <v>0</v>
      </c>
      <c r="BI526" s="2194">
        <f t="shared" si="18"/>
        <v>0</v>
      </c>
      <c r="BJ526" s="2056" t="s">
        <v>134</v>
      </c>
      <c r="BK526" s="2194">
        <f t="shared" si="19"/>
        <v>0</v>
      </c>
      <c r="BL526" s="2056" t="s">
        <v>856</v>
      </c>
      <c r="BM526" s="2193" t="s">
        <v>3640</v>
      </c>
    </row>
    <row r="527" spans="2:65" s="2070" customFormat="1" ht="24.2" customHeight="1">
      <c r="B527" s="2164"/>
      <c r="C527" s="4608">
        <v>89</v>
      </c>
      <c r="D527" s="4608" t="s">
        <v>3286</v>
      </c>
      <c r="E527" s="4609" t="s">
        <v>3641</v>
      </c>
      <c r="F527" s="4610" t="s">
        <v>3639</v>
      </c>
      <c r="G527" s="4611" t="s">
        <v>155</v>
      </c>
      <c r="H527" s="4612">
        <v>1</v>
      </c>
      <c r="I527" s="4613"/>
      <c r="J527" s="4613">
        <f t="shared" si="10"/>
        <v>0</v>
      </c>
      <c r="K527" s="4610" t="s">
        <v>3146</v>
      </c>
      <c r="L527" s="2071"/>
      <c r="M527" s="2190" t="s">
        <v>3146</v>
      </c>
      <c r="N527" s="2163" t="s">
        <v>3181</v>
      </c>
      <c r="O527" s="2191">
        <v>0</v>
      </c>
      <c r="P527" s="2191">
        <f t="shared" si="11"/>
        <v>0</v>
      </c>
      <c r="Q527" s="2191">
        <v>0</v>
      </c>
      <c r="R527" s="2191">
        <f t="shared" si="12"/>
        <v>0</v>
      </c>
      <c r="S527" s="2191">
        <v>0</v>
      </c>
      <c r="T527" s="2192">
        <f t="shared" si="13"/>
        <v>0</v>
      </c>
      <c r="AR527" s="2193" t="s">
        <v>856</v>
      </c>
      <c r="AT527" s="2193" t="s">
        <v>3286</v>
      </c>
      <c r="AU527" s="2193" t="s">
        <v>134</v>
      </c>
      <c r="AY527" s="2056" t="s">
        <v>3285</v>
      </c>
      <c r="BE527" s="2194">
        <f t="shared" si="14"/>
        <v>0</v>
      </c>
      <c r="BF527" s="2194">
        <f t="shared" si="15"/>
        <v>0</v>
      </c>
      <c r="BG527" s="2194">
        <f t="shared" si="16"/>
        <v>0</v>
      </c>
      <c r="BH527" s="2194">
        <f t="shared" si="17"/>
        <v>0</v>
      </c>
      <c r="BI527" s="2194">
        <f t="shared" si="18"/>
        <v>0</v>
      </c>
      <c r="BJ527" s="2056" t="s">
        <v>134</v>
      </c>
      <c r="BK527" s="2194">
        <f t="shared" si="19"/>
        <v>0</v>
      </c>
      <c r="BL527" s="2056" t="s">
        <v>856</v>
      </c>
      <c r="BM527" s="2193" t="s">
        <v>3642</v>
      </c>
    </row>
    <row r="528" spans="2:65" s="2070" customFormat="1" ht="24.2" customHeight="1">
      <c r="B528" s="2164"/>
      <c r="C528" s="4608">
        <v>90</v>
      </c>
      <c r="D528" s="4608" t="s">
        <v>3286</v>
      </c>
      <c r="E528" s="4609" t="s">
        <v>3643</v>
      </c>
      <c r="F528" s="4610" t="s">
        <v>3639</v>
      </c>
      <c r="G528" s="4611" t="s">
        <v>155</v>
      </c>
      <c r="H528" s="4612">
        <v>1</v>
      </c>
      <c r="I528" s="4613"/>
      <c r="J528" s="4613">
        <f t="shared" si="10"/>
        <v>0</v>
      </c>
      <c r="K528" s="4610" t="s">
        <v>3146</v>
      </c>
      <c r="L528" s="2071"/>
      <c r="M528" s="2190" t="s">
        <v>3146</v>
      </c>
      <c r="N528" s="2163" t="s">
        <v>3181</v>
      </c>
      <c r="O528" s="2191">
        <v>0</v>
      </c>
      <c r="P528" s="2191">
        <f t="shared" si="11"/>
        <v>0</v>
      </c>
      <c r="Q528" s="2191">
        <v>0</v>
      </c>
      <c r="R528" s="2191">
        <f t="shared" si="12"/>
        <v>0</v>
      </c>
      <c r="S528" s="2191">
        <v>0</v>
      </c>
      <c r="T528" s="2192">
        <f t="shared" si="13"/>
        <v>0</v>
      </c>
      <c r="AR528" s="2193" t="s">
        <v>856</v>
      </c>
      <c r="AT528" s="2193" t="s">
        <v>3286</v>
      </c>
      <c r="AU528" s="2193" t="s">
        <v>134</v>
      </c>
      <c r="AY528" s="2056" t="s">
        <v>3285</v>
      </c>
      <c r="BE528" s="2194">
        <f t="shared" si="14"/>
        <v>0</v>
      </c>
      <c r="BF528" s="2194">
        <f t="shared" si="15"/>
        <v>0</v>
      </c>
      <c r="BG528" s="2194">
        <f t="shared" si="16"/>
        <v>0</v>
      </c>
      <c r="BH528" s="2194">
        <f t="shared" si="17"/>
        <v>0</v>
      </c>
      <c r="BI528" s="2194">
        <f t="shared" si="18"/>
        <v>0</v>
      </c>
      <c r="BJ528" s="2056" t="s">
        <v>134</v>
      </c>
      <c r="BK528" s="2194">
        <f t="shared" si="19"/>
        <v>0</v>
      </c>
      <c r="BL528" s="2056" t="s">
        <v>856</v>
      </c>
      <c r="BM528" s="2193" t="s">
        <v>3644</v>
      </c>
    </row>
    <row r="529" spans="2:65" s="2070" customFormat="1" ht="24.2" customHeight="1">
      <c r="B529" s="2164"/>
      <c r="C529" s="4608">
        <v>91</v>
      </c>
      <c r="D529" s="4608" t="s">
        <v>3286</v>
      </c>
      <c r="E529" s="4609" t="s">
        <v>3645</v>
      </c>
      <c r="F529" s="4610" t="s">
        <v>3639</v>
      </c>
      <c r="G529" s="4611" t="s">
        <v>155</v>
      </c>
      <c r="H529" s="4612">
        <v>2</v>
      </c>
      <c r="I529" s="4613"/>
      <c r="J529" s="4613">
        <f t="shared" si="10"/>
        <v>0</v>
      </c>
      <c r="K529" s="4610" t="s">
        <v>3146</v>
      </c>
      <c r="L529" s="2071"/>
      <c r="M529" s="2190" t="s">
        <v>3146</v>
      </c>
      <c r="N529" s="2163" t="s">
        <v>3181</v>
      </c>
      <c r="O529" s="2191">
        <v>0</v>
      </c>
      <c r="P529" s="2191">
        <f t="shared" si="11"/>
        <v>0</v>
      </c>
      <c r="Q529" s="2191">
        <v>0</v>
      </c>
      <c r="R529" s="2191">
        <f t="shared" si="12"/>
        <v>0</v>
      </c>
      <c r="S529" s="2191">
        <v>0</v>
      </c>
      <c r="T529" s="2192">
        <f t="shared" si="13"/>
        <v>0</v>
      </c>
      <c r="AR529" s="2193" t="s">
        <v>856</v>
      </c>
      <c r="AT529" s="2193" t="s">
        <v>3286</v>
      </c>
      <c r="AU529" s="2193" t="s">
        <v>134</v>
      </c>
      <c r="AY529" s="2056" t="s">
        <v>3285</v>
      </c>
      <c r="BE529" s="2194">
        <f t="shared" si="14"/>
        <v>0</v>
      </c>
      <c r="BF529" s="2194">
        <f t="shared" si="15"/>
        <v>0</v>
      </c>
      <c r="BG529" s="2194">
        <f t="shared" si="16"/>
        <v>0</v>
      </c>
      <c r="BH529" s="2194">
        <f t="shared" si="17"/>
        <v>0</v>
      </c>
      <c r="BI529" s="2194">
        <f t="shared" si="18"/>
        <v>0</v>
      </c>
      <c r="BJ529" s="2056" t="s">
        <v>134</v>
      </c>
      <c r="BK529" s="2194">
        <f t="shared" si="19"/>
        <v>0</v>
      </c>
      <c r="BL529" s="2056" t="s">
        <v>856</v>
      </c>
      <c r="BM529" s="2193" t="s">
        <v>3646</v>
      </c>
    </row>
    <row r="530" spans="2:65" s="2070" customFormat="1" ht="24.2" customHeight="1">
      <c r="B530" s="2164"/>
      <c r="C530" s="4608">
        <v>92</v>
      </c>
      <c r="D530" s="4608" t="s">
        <v>3286</v>
      </c>
      <c r="E530" s="4609" t="s">
        <v>3647</v>
      </c>
      <c r="F530" s="4610" t="s">
        <v>3639</v>
      </c>
      <c r="G530" s="4611" t="s">
        <v>155</v>
      </c>
      <c r="H530" s="4612">
        <v>2</v>
      </c>
      <c r="I530" s="4613"/>
      <c r="J530" s="4613">
        <f t="shared" si="10"/>
        <v>0</v>
      </c>
      <c r="K530" s="4610" t="s">
        <v>3146</v>
      </c>
      <c r="L530" s="2071"/>
      <c r="M530" s="2190" t="s">
        <v>3146</v>
      </c>
      <c r="N530" s="2163" t="s">
        <v>3181</v>
      </c>
      <c r="O530" s="2191">
        <v>0</v>
      </c>
      <c r="P530" s="2191">
        <f t="shared" si="11"/>
        <v>0</v>
      </c>
      <c r="Q530" s="2191">
        <v>0</v>
      </c>
      <c r="R530" s="2191">
        <f t="shared" si="12"/>
        <v>0</v>
      </c>
      <c r="S530" s="2191">
        <v>0</v>
      </c>
      <c r="T530" s="2192">
        <f t="shared" si="13"/>
        <v>0</v>
      </c>
      <c r="AR530" s="2193" t="s">
        <v>856</v>
      </c>
      <c r="AT530" s="2193" t="s">
        <v>3286</v>
      </c>
      <c r="AU530" s="2193" t="s">
        <v>134</v>
      </c>
      <c r="AY530" s="2056" t="s">
        <v>3285</v>
      </c>
      <c r="BE530" s="2194">
        <f t="shared" si="14"/>
        <v>0</v>
      </c>
      <c r="BF530" s="2194">
        <f t="shared" si="15"/>
        <v>0</v>
      </c>
      <c r="BG530" s="2194">
        <f t="shared" si="16"/>
        <v>0</v>
      </c>
      <c r="BH530" s="2194">
        <f t="shared" si="17"/>
        <v>0</v>
      </c>
      <c r="BI530" s="2194">
        <f t="shared" si="18"/>
        <v>0</v>
      </c>
      <c r="BJ530" s="2056" t="s">
        <v>134</v>
      </c>
      <c r="BK530" s="2194">
        <f t="shared" si="19"/>
        <v>0</v>
      </c>
      <c r="BL530" s="2056" t="s">
        <v>856</v>
      </c>
      <c r="BM530" s="2193" t="s">
        <v>3648</v>
      </c>
    </row>
    <row r="531" spans="2:65" s="2070" customFormat="1" ht="24.2" customHeight="1">
      <c r="B531" s="2164"/>
      <c r="C531" s="4608">
        <v>93</v>
      </c>
      <c r="D531" s="4608" t="s">
        <v>3286</v>
      </c>
      <c r="E531" s="4609" t="s">
        <v>3649</v>
      </c>
      <c r="F531" s="4610" t="s">
        <v>3650</v>
      </c>
      <c r="G531" s="4611" t="s">
        <v>155</v>
      </c>
      <c r="H531" s="4612">
        <v>2</v>
      </c>
      <c r="I531" s="4613"/>
      <c r="J531" s="4613">
        <f t="shared" si="10"/>
        <v>0</v>
      </c>
      <c r="K531" s="4610" t="s">
        <v>3146</v>
      </c>
      <c r="L531" s="2071"/>
      <c r="M531" s="2190" t="s">
        <v>3146</v>
      </c>
      <c r="N531" s="2163" t="s">
        <v>3181</v>
      </c>
      <c r="O531" s="2191">
        <v>0</v>
      </c>
      <c r="P531" s="2191">
        <f t="shared" si="11"/>
        <v>0</v>
      </c>
      <c r="Q531" s="2191">
        <v>0</v>
      </c>
      <c r="R531" s="2191">
        <f t="shared" si="12"/>
        <v>0</v>
      </c>
      <c r="S531" s="2191">
        <v>0</v>
      </c>
      <c r="T531" s="2192">
        <f t="shared" si="13"/>
        <v>0</v>
      </c>
      <c r="AR531" s="2193" t="s">
        <v>856</v>
      </c>
      <c r="AT531" s="2193" t="s">
        <v>3286</v>
      </c>
      <c r="AU531" s="2193" t="s">
        <v>134</v>
      </c>
      <c r="AY531" s="2056" t="s">
        <v>3285</v>
      </c>
      <c r="BE531" s="2194">
        <f t="shared" si="14"/>
        <v>0</v>
      </c>
      <c r="BF531" s="2194">
        <f t="shared" si="15"/>
        <v>0</v>
      </c>
      <c r="BG531" s="2194">
        <f t="shared" si="16"/>
        <v>0</v>
      </c>
      <c r="BH531" s="2194">
        <f t="shared" si="17"/>
        <v>0</v>
      </c>
      <c r="BI531" s="2194">
        <f t="shared" si="18"/>
        <v>0</v>
      </c>
      <c r="BJ531" s="2056" t="s">
        <v>134</v>
      </c>
      <c r="BK531" s="2194">
        <f t="shared" si="19"/>
        <v>0</v>
      </c>
      <c r="BL531" s="2056" t="s">
        <v>856</v>
      </c>
      <c r="BM531" s="2193" t="s">
        <v>3651</v>
      </c>
    </row>
    <row r="532" spans="2:65" s="2070" customFormat="1" ht="24.2" customHeight="1">
      <c r="B532" s="2164"/>
      <c r="C532" s="4608">
        <v>94</v>
      </c>
      <c r="D532" s="4608" t="s">
        <v>3286</v>
      </c>
      <c r="E532" s="4609" t="s">
        <v>3652</v>
      </c>
      <c r="F532" s="4610" t="s">
        <v>3650</v>
      </c>
      <c r="G532" s="4611" t="s">
        <v>155</v>
      </c>
      <c r="H532" s="4612">
        <v>2</v>
      </c>
      <c r="I532" s="4613"/>
      <c r="J532" s="4613">
        <f t="shared" si="10"/>
        <v>0</v>
      </c>
      <c r="K532" s="4610" t="s">
        <v>3146</v>
      </c>
      <c r="L532" s="2071"/>
      <c r="M532" s="2190" t="s">
        <v>3146</v>
      </c>
      <c r="N532" s="2163" t="s">
        <v>3181</v>
      </c>
      <c r="O532" s="2191">
        <v>0</v>
      </c>
      <c r="P532" s="2191">
        <f t="shared" si="11"/>
        <v>0</v>
      </c>
      <c r="Q532" s="2191">
        <v>0</v>
      </c>
      <c r="R532" s="2191">
        <f t="shared" si="12"/>
        <v>0</v>
      </c>
      <c r="S532" s="2191">
        <v>0</v>
      </c>
      <c r="T532" s="2192">
        <f t="shared" si="13"/>
        <v>0</v>
      </c>
      <c r="AR532" s="2193" t="s">
        <v>856</v>
      </c>
      <c r="AT532" s="2193" t="s">
        <v>3286</v>
      </c>
      <c r="AU532" s="2193" t="s">
        <v>134</v>
      </c>
      <c r="AY532" s="2056" t="s">
        <v>3285</v>
      </c>
      <c r="BE532" s="2194">
        <f t="shared" si="14"/>
        <v>0</v>
      </c>
      <c r="BF532" s="2194">
        <f t="shared" si="15"/>
        <v>0</v>
      </c>
      <c r="BG532" s="2194">
        <f t="shared" si="16"/>
        <v>0</v>
      </c>
      <c r="BH532" s="2194">
        <f t="shared" si="17"/>
        <v>0</v>
      </c>
      <c r="BI532" s="2194">
        <f t="shared" si="18"/>
        <v>0</v>
      </c>
      <c r="BJ532" s="2056" t="s">
        <v>134</v>
      </c>
      <c r="BK532" s="2194">
        <f t="shared" si="19"/>
        <v>0</v>
      </c>
      <c r="BL532" s="2056" t="s">
        <v>856</v>
      </c>
      <c r="BM532" s="2193" t="s">
        <v>3653</v>
      </c>
    </row>
    <row r="533" spans="2:65" s="2070" customFormat="1" ht="24.2" customHeight="1">
      <c r="B533" s="2164"/>
      <c r="C533" s="4608">
        <v>95</v>
      </c>
      <c r="D533" s="4608" t="s">
        <v>3286</v>
      </c>
      <c r="E533" s="4609" t="s">
        <v>3654</v>
      </c>
      <c r="F533" s="4610" t="s">
        <v>3650</v>
      </c>
      <c r="G533" s="4611" t="s">
        <v>155</v>
      </c>
      <c r="H533" s="4612">
        <v>2</v>
      </c>
      <c r="I533" s="4613"/>
      <c r="J533" s="4613">
        <f t="shared" si="10"/>
        <v>0</v>
      </c>
      <c r="K533" s="4610" t="s">
        <v>3146</v>
      </c>
      <c r="L533" s="2071"/>
      <c r="M533" s="2190" t="s">
        <v>3146</v>
      </c>
      <c r="N533" s="2163" t="s">
        <v>3181</v>
      </c>
      <c r="O533" s="2191">
        <v>0</v>
      </c>
      <c r="P533" s="2191">
        <f t="shared" si="11"/>
        <v>0</v>
      </c>
      <c r="Q533" s="2191">
        <v>0</v>
      </c>
      <c r="R533" s="2191">
        <f t="shared" si="12"/>
        <v>0</v>
      </c>
      <c r="S533" s="2191">
        <v>0</v>
      </c>
      <c r="T533" s="2192">
        <f t="shared" si="13"/>
        <v>0</v>
      </c>
      <c r="AR533" s="2193" t="s">
        <v>856</v>
      </c>
      <c r="AT533" s="2193" t="s">
        <v>3286</v>
      </c>
      <c r="AU533" s="2193" t="s">
        <v>134</v>
      </c>
      <c r="AY533" s="2056" t="s">
        <v>3285</v>
      </c>
      <c r="BE533" s="2194">
        <f t="shared" si="14"/>
        <v>0</v>
      </c>
      <c r="BF533" s="2194">
        <f t="shared" si="15"/>
        <v>0</v>
      </c>
      <c r="BG533" s="2194">
        <f t="shared" si="16"/>
        <v>0</v>
      </c>
      <c r="BH533" s="2194">
        <f t="shared" si="17"/>
        <v>0</v>
      </c>
      <c r="BI533" s="2194">
        <f t="shared" si="18"/>
        <v>0</v>
      </c>
      <c r="BJ533" s="2056" t="s">
        <v>134</v>
      </c>
      <c r="BK533" s="2194">
        <f t="shared" si="19"/>
        <v>0</v>
      </c>
      <c r="BL533" s="2056" t="s">
        <v>856</v>
      </c>
      <c r="BM533" s="2193" t="s">
        <v>3655</v>
      </c>
    </row>
    <row r="534" spans="2:65" s="2178" customFormat="1" ht="22.9" customHeight="1">
      <c r="B534" s="2179"/>
      <c r="D534" s="2180" t="s">
        <v>3212</v>
      </c>
      <c r="E534" s="2188" t="s">
        <v>860</v>
      </c>
      <c r="F534" s="2188" t="s">
        <v>3656</v>
      </c>
      <c r="J534" s="2189">
        <f>BK534</f>
        <v>0</v>
      </c>
      <c r="L534" s="2179"/>
      <c r="M534" s="2183"/>
      <c r="P534" s="2184">
        <f>SUM(P535:P674)</f>
        <v>11738.095874000001</v>
      </c>
      <c r="R534" s="2184">
        <f>SUM(R535:R674)</f>
        <v>262.46707573000003</v>
      </c>
      <c r="T534" s="2185">
        <f>SUM(T535:T674)</f>
        <v>0</v>
      </c>
      <c r="AR534" s="2180" t="s">
        <v>133</v>
      </c>
      <c r="AT534" s="2186" t="s">
        <v>3212</v>
      </c>
      <c r="AU534" s="2186" t="s">
        <v>133</v>
      </c>
      <c r="AY534" s="2180" t="s">
        <v>3285</v>
      </c>
      <c r="BK534" s="2187">
        <f>SUM(BK535:BK674)</f>
        <v>0</v>
      </c>
    </row>
    <row r="535" spans="2:65" s="2070" customFormat="1" ht="24.2" customHeight="1">
      <c r="B535" s="2164"/>
      <c r="C535" s="4608">
        <v>96</v>
      </c>
      <c r="D535" s="4608" t="s">
        <v>3286</v>
      </c>
      <c r="E535" s="4609" t="s">
        <v>3657</v>
      </c>
      <c r="F535" s="4610" t="s">
        <v>3658</v>
      </c>
      <c r="G535" s="4611" t="s">
        <v>611</v>
      </c>
      <c r="H535" s="4612">
        <v>2913.7739999999999</v>
      </c>
      <c r="I535" s="4613"/>
      <c r="J535" s="4613">
        <f>ROUND(I535*H535,2)</f>
        <v>0</v>
      </c>
      <c r="K535" s="4610" t="s">
        <v>142</v>
      </c>
      <c r="L535" s="2071"/>
      <c r="M535" s="2190" t="s">
        <v>3146</v>
      </c>
      <c r="N535" s="2163" t="s">
        <v>3181</v>
      </c>
      <c r="O535" s="2191">
        <v>6.8000000000000005E-2</v>
      </c>
      <c r="P535" s="2191">
        <f>O535*H535</f>
        <v>198.13663200000002</v>
      </c>
      <c r="Q535" s="2191">
        <v>0</v>
      </c>
      <c r="R535" s="2191">
        <f>Q535*H535</f>
        <v>0</v>
      </c>
      <c r="S535" s="2191">
        <v>0</v>
      </c>
      <c r="T535" s="2192">
        <f>S535*H535</f>
        <v>0</v>
      </c>
      <c r="AR535" s="2193" t="s">
        <v>856</v>
      </c>
      <c r="AT535" s="2193" t="s">
        <v>3286</v>
      </c>
      <c r="AU535" s="2193" t="s">
        <v>134</v>
      </c>
      <c r="AY535" s="2056" t="s">
        <v>3285</v>
      </c>
      <c r="BE535" s="2194">
        <f>IF(N535="základní",J535,0)</f>
        <v>0</v>
      </c>
      <c r="BF535" s="2194">
        <f>IF(N535="snížená",J535,0)</f>
        <v>0</v>
      </c>
      <c r="BG535" s="2194">
        <f>IF(N535="zákl. přenesená",J535,0)</f>
        <v>0</v>
      </c>
      <c r="BH535" s="2194">
        <f>IF(N535="sníž. přenesená",J535,0)</f>
        <v>0</v>
      </c>
      <c r="BI535" s="2194">
        <f>IF(N535="nulová",J535,0)</f>
        <v>0</v>
      </c>
      <c r="BJ535" s="2056" t="s">
        <v>134</v>
      </c>
      <c r="BK535" s="2194">
        <f>ROUND(I535*H535,2)</f>
        <v>0</v>
      </c>
      <c r="BL535" s="2056" t="s">
        <v>856</v>
      </c>
      <c r="BM535" s="2193" t="s">
        <v>3659</v>
      </c>
    </row>
    <row r="536" spans="2:65" s="2195" customFormat="1">
      <c r="B536" s="2196"/>
      <c r="D536" s="2197" t="s">
        <v>3303</v>
      </c>
      <c r="E536" s="2198" t="s">
        <v>3146</v>
      </c>
      <c r="F536" s="2199" t="s">
        <v>3517</v>
      </c>
      <c r="H536" s="2198" t="s">
        <v>3146</v>
      </c>
      <c r="L536" s="2196"/>
      <c r="M536" s="2200"/>
      <c r="T536" s="2201"/>
      <c r="AT536" s="2198" t="s">
        <v>3303</v>
      </c>
      <c r="AU536" s="2198" t="s">
        <v>134</v>
      </c>
      <c r="AV536" s="2195" t="s">
        <v>133</v>
      </c>
      <c r="AW536" s="2195" t="s">
        <v>3171</v>
      </c>
      <c r="AX536" s="2195" t="s">
        <v>3213</v>
      </c>
      <c r="AY536" s="2198" t="s">
        <v>3285</v>
      </c>
    </row>
    <row r="537" spans="2:65" s="2209" customFormat="1">
      <c r="B537" s="2210"/>
      <c r="D537" s="2197" t="s">
        <v>3303</v>
      </c>
      <c r="E537" s="2211" t="s">
        <v>3146</v>
      </c>
      <c r="F537" s="2212" t="s">
        <v>3660</v>
      </c>
      <c r="H537" s="2213">
        <v>440.01100000000002</v>
      </c>
      <c r="L537" s="2210"/>
      <c r="M537" s="2214"/>
      <c r="T537" s="2215"/>
      <c r="AT537" s="2211" t="s">
        <v>3303</v>
      </c>
      <c r="AU537" s="2211" t="s">
        <v>134</v>
      </c>
      <c r="AV537" s="2209" t="s">
        <v>134</v>
      </c>
      <c r="AW537" s="2209" t="s">
        <v>3171</v>
      </c>
      <c r="AX537" s="2209" t="s">
        <v>3213</v>
      </c>
      <c r="AY537" s="2211" t="s">
        <v>3285</v>
      </c>
    </row>
    <row r="538" spans="2:65" s="2195" customFormat="1">
      <c r="B538" s="2196"/>
      <c r="D538" s="2197" t="s">
        <v>3303</v>
      </c>
      <c r="E538" s="2198" t="s">
        <v>3146</v>
      </c>
      <c r="F538" s="2199" t="s">
        <v>3661</v>
      </c>
      <c r="H538" s="2198" t="s">
        <v>3146</v>
      </c>
      <c r="L538" s="2196"/>
      <c r="M538" s="2200"/>
      <c r="T538" s="2201"/>
      <c r="AT538" s="2198" t="s">
        <v>3303</v>
      </c>
      <c r="AU538" s="2198" t="s">
        <v>134</v>
      </c>
      <c r="AV538" s="2195" t="s">
        <v>133</v>
      </c>
      <c r="AW538" s="2195" t="s">
        <v>3171</v>
      </c>
      <c r="AX538" s="2195" t="s">
        <v>3213</v>
      </c>
      <c r="AY538" s="2198" t="s">
        <v>3285</v>
      </c>
    </row>
    <row r="539" spans="2:65" s="2209" customFormat="1">
      <c r="B539" s="2210"/>
      <c r="D539" s="2197" t="s">
        <v>3303</v>
      </c>
      <c r="E539" s="2211" t="s">
        <v>3146</v>
      </c>
      <c r="F539" s="2212" t="s">
        <v>3662</v>
      </c>
      <c r="H539" s="2213">
        <v>625.54399999999998</v>
      </c>
      <c r="L539" s="2210"/>
      <c r="M539" s="2214"/>
      <c r="T539" s="2215"/>
      <c r="AT539" s="2211" t="s">
        <v>3303</v>
      </c>
      <c r="AU539" s="2211" t="s">
        <v>134</v>
      </c>
      <c r="AV539" s="2209" t="s">
        <v>134</v>
      </c>
      <c r="AW539" s="2209" t="s">
        <v>3171</v>
      </c>
      <c r="AX539" s="2209" t="s">
        <v>3213</v>
      </c>
      <c r="AY539" s="2211" t="s">
        <v>3285</v>
      </c>
    </row>
    <row r="540" spans="2:65" s="2209" customFormat="1">
      <c r="B540" s="2210"/>
      <c r="D540" s="2197" t="s">
        <v>3303</v>
      </c>
      <c r="E540" s="2211" t="s">
        <v>3146</v>
      </c>
      <c r="F540" s="2212" t="s">
        <v>3663</v>
      </c>
      <c r="H540" s="2213">
        <v>141.54</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3578</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3664</v>
      </c>
      <c r="H542" s="2213">
        <v>835.88699999999994</v>
      </c>
      <c r="L542" s="2210"/>
      <c r="M542" s="2214"/>
      <c r="T542" s="2215"/>
      <c r="AT542" s="2211" t="s">
        <v>3303</v>
      </c>
      <c r="AU542" s="2211" t="s">
        <v>134</v>
      </c>
      <c r="AV542" s="2209" t="s">
        <v>134</v>
      </c>
      <c r="AW542" s="2209" t="s">
        <v>3171</v>
      </c>
      <c r="AX542" s="2209" t="s">
        <v>3213</v>
      </c>
      <c r="AY542" s="2211" t="s">
        <v>3285</v>
      </c>
    </row>
    <row r="543" spans="2:65" s="2195" customFormat="1">
      <c r="B543" s="2196"/>
      <c r="D543" s="2197" t="s">
        <v>3303</v>
      </c>
      <c r="E543" s="2198" t="s">
        <v>3146</v>
      </c>
      <c r="F543" s="2199" t="s">
        <v>3580</v>
      </c>
      <c r="H543" s="2198" t="s">
        <v>3146</v>
      </c>
      <c r="L543" s="2196"/>
      <c r="M543" s="2200"/>
      <c r="T543" s="2201"/>
      <c r="AT543" s="2198" t="s">
        <v>3303</v>
      </c>
      <c r="AU543" s="2198" t="s">
        <v>134</v>
      </c>
      <c r="AV543" s="2195" t="s">
        <v>133</v>
      </c>
      <c r="AW543" s="2195" t="s">
        <v>3171</v>
      </c>
      <c r="AX543" s="2195" t="s">
        <v>3213</v>
      </c>
      <c r="AY543" s="2198" t="s">
        <v>3285</v>
      </c>
    </row>
    <row r="544" spans="2:65" s="2209" customFormat="1">
      <c r="B544" s="2210"/>
      <c r="D544" s="2197" t="s">
        <v>3303</v>
      </c>
      <c r="E544" s="2211" t="s">
        <v>3146</v>
      </c>
      <c r="F544" s="2212" t="s">
        <v>3665</v>
      </c>
      <c r="H544" s="2213">
        <v>870.79200000000003</v>
      </c>
      <c r="L544" s="2210"/>
      <c r="M544" s="2214"/>
      <c r="T544" s="2215"/>
      <c r="AT544" s="2211" t="s">
        <v>3303</v>
      </c>
      <c r="AU544" s="2211" t="s">
        <v>134</v>
      </c>
      <c r="AV544" s="2209" t="s">
        <v>134</v>
      </c>
      <c r="AW544" s="2209" t="s">
        <v>3171</v>
      </c>
      <c r="AX544" s="2209" t="s">
        <v>3213</v>
      </c>
      <c r="AY544" s="2211" t="s">
        <v>3285</v>
      </c>
    </row>
    <row r="545" spans="2:65" s="2216" customFormat="1">
      <c r="B545" s="2217"/>
      <c r="D545" s="2197" t="s">
        <v>3303</v>
      </c>
      <c r="E545" s="2218" t="s">
        <v>3146</v>
      </c>
      <c r="F545" s="2219" t="s">
        <v>3306</v>
      </c>
      <c r="H545" s="2220">
        <v>2913.7739999999999</v>
      </c>
      <c r="L545" s="2217"/>
      <c r="M545" s="2221"/>
      <c r="T545" s="2222"/>
      <c r="AT545" s="2218" t="s">
        <v>3303</v>
      </c>
      <c r="AU545" s="2218" t="s">
        <v>134</v>
      </c>
      <c r="AV545" s="2216" t="s">
        <v>856</v>
      </c>
      <c r="AW545" s="2216" t="s">
        <v>3171</v>
      </c>
      <c r="AX545" s="2216" t="s">
        <v>133</v>
      </c>
      <c r="AY545" s="2218" t="s">
        <v>3285</v>
      </c>
    </row>
    <row r="546" spans="2:65" s="2070" customFormat="1" ht="24.2" customHeight="1">
      <c r="B546" s="2164"/>
      <c r="C546" s="4608">
        <v>97</v>
      </c>
      <c r="D546" s="4608" t="s">
        <v>3286</v>
      </c>
      <c r="E546" s="4609" t="s">
        <v>10793</v>
      </c>
      <c r="F546" s="4610" t="s">
        <v>10794</v>
      </c>
      <c r="G546" s="4611" t="s">
        <v>611</v>
      </c>
      <c r="H546" s="4612">
        <v>2772.2339999999999</v>
      </c>
      <c r="I546" s="4613"/>
      <c r="J546" s="4613">
        <f>ROUND(I546*H546,2)</f>
        <v>0</v>
      </c>
      <c r="K546" s="4610" t="s">
        <v>142</v>
      </c>
      <c r="L546" s="2071"/>
      <c r="M546" s="2190" t="s">
        <v>3146</v>
      </c>
      <c r="N546" s="2163" t="s">
        <v>3181</v>
      </c>
      <c r="O546" s="2191">
        <v>0.52</v>
      </c>
      <c r="P546" s="2191">
        <f>O546*H546</f>
        <v>1441.56168</v>
      </c>
      <c r="Q546" s="2191">
        <v>6.3E-3</v>
      </c>
      <c r="R546" s="2191">
        <f>Q546*H546</f>
        <v>17.4650742</v>
      </c>
      <c r="S546" s="2191">
        <v>0</v>
      </c>
      <c r="T546" s="2192">
        <f>S546*H546</f>
        <v>0</v>
      </c>
      <c r="AR546" s="2193" t="s">
        <v>856</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856</v>
      </c>
      <c r="BM546" s="2193" t="s">
        <v>10795</v>
      </c>
    </row>
    <row r="547" spans="2:65" s="2070" customFormat="1" ht="24.2" customHeight="1">
      <c r="B547" s="2164"/>
      <c r="C547" s="4608">
        <v>98</v>
      </c>
      <c r="D547" s="4608" t="s">
        <v>3286</v>
      </c>
      <c r="E547" s="4609" t="s">
        <v>3666</v>
      </c>
      <c r="F547" s="4610" t="s">
        <v>3667</v>
      </c>
      <c r="G547" s="4611" t="s">
        <v>611</v>
      </c>
      <c r="H547" s="4612">
        <v>2913.7739999999999</v>
      </c>
      <c r="I547" s="4613"/>
      <c r="J547" s="4613">
        <f>ROUND(I547*H547,2)</f>
        <v>0</v>
      </c>
      <c r="K547" s="4610" t="s">
        <v>142</v>
      </c>
      <c r="L547" s="2071"/>
      <c r="M547" s="2190" t="s">
        <v>3146</v>
      </c>
      <c r="N547" s="2163" t="s">
        <v>3181</v>
      </c>
      <c r="O547" s="2191">
        <v>0.14799999999999999</v>
      </c>
      <c r="P547" s="2191">
        <f>O547*H547</f>
        <v>431.23855199999997</v>
      </c>
      <c r="Q547" s="2191">
        <v>2.5999999999999998E-4</v>
      </c>
      <c r="R547" s="2191">
        <f>Q547*H547</f>
        <v>0.75758123999999993</v>
      </c>
      <c r="S547" s="2191">
        <v>0</v>
      </c>
      <c r="T547" s="2192">
        <f>S547*H547</f>
        <v>0</v>
      </c>
      <c r="AR547" s="2193" t="s">
        <v>856</v>
      </c>
      <c r="AT547" s="2193" t="s">
        <v>3286</v>
      </c>
      <c r="AU547" s="2193" t="s">
        <v>134</v>
      </c>
      <c r="AY547" s="2056" t="s">
        <v>3285</v>
      </c>
      <c r="BE547" s="2194">
        <f>IF(N547="základní",J547,0)</f>
        <v>0</v>
      </c>
      <c r="BF547" s="2194">
        <f>IF(N547="snížená",J547,0)</f>
        <v>0</v>
      </c>
      <c r="BG547" s="2194">
        <f>IF(N547="zákl. přenesená",J547,0)</f>
        <v>0</v>
      </c>
      <c r="BH547" s="2194">
        <f>IF(N547="sníž. přenesená",J547,0)</f>
        <v>0</v>
      </c>
      <c r="BI547" s="2194">
        <f>IF(N547="nulová",J547,0)</f>
        <v>0</v>
      </c>
      <c r="BJ547" s="2056" t="s">
        <v>134</v>
      </c>
      <c r="BK547" s="2194">
        <f>ROUND(I547*H547,2)</f>
        <v>0</v>
      </c>
      <c r="BL547" s="2056" t="s">
        <v>856</v>
      </c>
      <c r="BM547" s="2193" t="s">
        <v>3668</v>
      </c>
    </row>
    <row r="548" spans="2:65" s="2070" customFormat="1" ht="21.75" customHeight="1">
      <c r="B548" s="2164"/>
      <c r="C548" s="4608">
        <v>99</v>
      </c>
      <c r="D548" s="4608" t="s">
        <v>3286</v>
      </c>
      <c r="E548" s="4609" t="s">
        <v>3669</v>
      </c>
      <c r="F548" s="4610" t="s">
        <v>3670</v>
      </c>
      <c r="G548" s="4611" t="s">
        <v>611</v>
      </c>
      <c r="H548" s="4612">
        <v>141.54</v>
      </c>
      <c r="I548" s="4613"/>
      <c r="J548" s="4613">
        <f>ROUND(I548*H548,2)</f>
        <v>0</v>
      </c>
      <c r="K548" s="4610" t="s">
        <v>142</v>
      </c>
      <c r="L548" s="2071"/>
      <c r="M548" s="2190" t="s">
        <v>3146</v>
      </c>
      <c r="N548" s="2163" t="s">
        <v>3181</v>
      </c>
      <c r="O548" s="2191">
        <v>0.34399999999999997</v>
      </c>
      <c r="P548" s="2191">
        <f>O548*H548</f>
        <v>48.689759999999993</v>
      </c>
      <c r="Q548" s="2191">
        <v>3.9100000000000003E-3</v>
      </c>
      <c r="R548" s="2191">
        <f>Q548*H548</f>
        <v>0.55342140000000006</v>
      </c>
      <c r="S548" s="2191">
        <v>0</v>
      </c>
      <c r="T548" s="2192">
        <f>S548*H548</f>
        <v>0</v>
      </c>
      <c r="AR548" s="2193" t="s">
        <v>856</v>
      </c>
      <c r="AT548" s="2193" t="s">
        <v>3286</v>
      </c>
      <c r="AU548" s="2193" t="s">
        <v>134</v>
      </c>
      <c r="AY548" s="2056" t="s">
        <v>3285</v>
      </c>
      <c r="BE548" s="2194">
        <f>IF(N548="základní",J548,0)</f>
        <v>0</v>
      </c>
      <c r="BF548" s="2194">
        <f>IF(N548="snížená",J548,0)</f>
        <v>0</v>
      </c>
      <c r="BG548" s="2194">
        <f>IF(N548="zákl. přenesená",J548,0)</f>
        <v>0</v>
      </c>
      <c r="BH548" s="2194">
        <f>IF(N548="sníž. přenesená",J548,0)</f>
        <v>0</v>
      </c>
      <c r="BI548" s="2194">
        <f>IF(N548="nulová",J548,0)</f>
        <v>0</v>
      </c>
      <c r="BJ548" s="2056" t="s">
        <v>134</v>
      </c>
      <c r="BK548" s="2194">
        <f>ROUND(I548*H548,2)</f>
        <v>0</v>
      </c>
      <c r="BL548" s="2056" t="s">
        <v>856</v>
      </c>
      <c r="BM548" s="2193" t="s">
        <v>3671</v>
      </c>
    </row>
    <row r="549" spans="2:65" s="2195" customFormat="1">
      <c r="B549" s="2196"/>
      <c r="D549" s="2197" t="s">
        <v>3303</v>
      </c>
      <c r="E549" s="2198" t="s">
        <v>3146</v>
      </c>
      <c r="F549" s="2199" t="s">
        <v>3661</v>
      </c>
      <c r="H549" s="2198" t="s">
        <v>3146</v>
      </c>
      <c r="L549" s="2196"/>
      <c r="M549" s="2200"/>
      <c r="T549" s="2201"/>
      <c r="AT549" s="2198" t="s">
        <v>3303</v>
      </c>
      <c r="AU549" s="2198" t="s">
        <v>134</v>
      </c>
      <c r="AV549" s="2195" t="s">
        <v>133</v>
      </c>
      <c r="AW549" s="2195" t="s">
        <v>3171</v>
      </c>
      <c r="AX549" s="2195" t="s">
        <v>3213</v>
      </c>
      <c r="AY549" s="2198" t="s">
        <v>3285</v>
      </c>
    </row>
    <row r="550" spans="2:65" s="2209" customFormat="1">
      <c r="B550" s="2210"/>
      <c r="D550" s="2197" t="s">
        <v>3303</v>
      </c>
      <c r="E550" s="2211" t="s">
        <v>3146</v>
      </c>
      <c r="F550" s="2212" t="s">
        <v>3663</v>
      </c>
      <c r="H550" s="2213">
        <v>141.54</v>
      </c>
      <c r="L550" s="2210"/>
      <c r="M550" s="2214"/>
      <c r="T550" s="2215"/>
      <c r="AT550" s="2211" t="s">
        <v>3303</v>
      </c>
      <c r="AU550" s="2211" t="s">
        <v>134</v>
      </c>
      <c r="AV550" s="2209" t="s">
        <v>134</v>
      </c>
      <c r="AW550" s="2209" t="s">
        <v>3171</v>
      </c>
      <c r="AX550" s="2209" t="s">
        <v>3213</v>
      </c>
      <c r="AY550" s="2211" t="s">
        <v>3285</v>
      </c>
    </row>
    <row r="551" spans="2:65" s="2216" customFormat="1">
      <c r="B551" s="2217"/>
      <c r="D551" s="2197" t="s">
        <v>3303</v>
      </c>
      <c r="E551" s="2218" t="s">
        <v>3146</v>
      </c>
      <c r="F551" s="2219" t="s">
        <v>3306</v>
      </c>
      <c r="H551" s="2220">
        <v>141.54</v>
      </c>
      <c r="L551" s="2217"/>
      <c r="M551" s="2221"/>
      <c r="T551" s="2222"/>
      <c r="AT551" s="2218" t="s">
        <v>3303</v>
      </c>
      <c r="AU551" s="2218" t="s">
        <v>134</v>
      </c>
      <c r="AV551" s="2216" t="s">
        <v>856</v>
      </c>
      <c r="AW551" s="2216" t="s">
        <v>3171</v>
      </c>
      <c r="AX551" s="2216" t="s">
        <v>133</v>
      </c>
      <c r="AY551" s="2218" t="s">
        <v>3285</v>
      </c>
    </row>
    <row r="552" spans="2:65" s="2070" customFormat="1" ht="24.2" customHeight="1">
      <c r="B552" s="2164"/>
      <c r="C552" s="4608">
        <v>100</v>
      </c>
      <c r="D552" s="4608" t="s">
        <v>3286</v>
      </c>
      <c r="E552" s="4609" t="s">
        <v>3672</v>
      </c>
      <c r="F552" s="4610" t="s">
        <v>3673</v>
      </c>
      <c r="G552" s="4611" t="s">
        <v>611</v>
      </c>
      <c r="H552" s="4612">
        <v>283.08</v>
      </c>
      <c r="I552" s="4613"/>
      <c r="J552" s="4613">
        <f>ROUND(I552*H552,2)</f>
        <v>0</v>
      </c>
      <c r="K552" s="4610" t="s">
        <v>142</v>
      </c>
      <c r="L552" s="2071"/>
      <c r="M552" s="2190" t="s">
        <v>3146</v>
      </c>
      <c r="N552" s="2163" t="s">
        <v>3181</v>
      </c>
      <c r="O552" s="2191">
        <v>4.2999999999999997E-2</v>
      </c>
      <c r="P552" s="2191">
        <f>O552*H552</f>
        <v>12.172439999999998</v>
      </c>
      <c r="Q552" s="2191">
        <v>1.2999999999999999E-3</v>
      </c>
      <c r="R552" s="2191">
        <f>Q552*H552</f>
        <v>0.36800399999999994</v>
      </c>
      <c r="S552" s="2191">
        <v>0</v>
      </c>
      <c r="T552" s="2192">
        <f>S552*H552</f>
        <v>0</v>
      </c>
      <c r="AR552" s="2193" t="s">
        <v>856</v>
      </c>
      <c r="AT552" s="2193" t="s">
        <v>3286</v>
      </c>
      <c r="AU552" s="2193" t="s">
        <v>134</v>
      </c>
      <c r="AY552" s="2056" t="s">
        <v>3285</v>
      </c>
      <c r="BE552" s="2194">
        <f>IF(N552="základní",J552,0)</f>
        <v>0</v>
      </c>
      <c r="BF552" s="2194">
        <f>IF(N552="snížená",J552,0)</f>
        <v>0</v>
      </c>
      <c r="BG552" s="2194">
        <f>IF(N552="zákl. přenesená",J552,0)</f>
        <v>0</v>
      </c>
      <c r="BH552" s="2194">
        <f>IF(N552="sníž. přenesená",J552,0)</f>
        <v>0</v>
      </c>
      <c r="BI552" s="2194">
        <f>IF(N552="nulová",J552,0)</f>
        <v>0</v>
      </c>
      <c r="BJ552" s="2056" t="s">
        <v>134</v>
      </c>
      <c r="BK552" s="2194">
        <f>ROUND(I552*H552,2)</f>
        <v>0</v>
      </c>
      <c r="BL552" s="2056" t="s">
        <v>856</v>
      </c>
      <c r="BM552" s="2193" t="s">
        <v>3674</v>
      </c>
    </row>
    <row r="553" spans="2:65" s="2209" customFormat="1">
      <c r="B553" s="2210"/>
      <c r="D553" s="2197" t="s">
        <v>3303</v>
      </c>
      <c r="F553" s="2212" t="s">
        <v>3675</v>
      </c>
      <c r="H553" s="2213">
        <v>283.08</v>
      </c>
      <c r="L553" s="2210"/>
      <c r="M553" s="2214"/>
      <c r="T553" s="2215"/>
      <c r="AT553" s="2211" t="s">
        <v>3303</v>
      </c>
      <c r="AU553" s="2211" t="s">
        <v>134</v>
      </c>
      <c r="AV553" s="2209" t="s">
        <v>134</v>
      </c>
      <c r="AW553" s="2209" t="s">
        <v>3148</v>
      </c>
      <c r="AX553" s="2209" t="s">
        <v>133</v>
      </c>
      <c r="AY553" s="2211" t="s">
        <v>3285</v>
      </c>
    </row>
    <row r="554" spans="2:65" s="2070" customFormat="1" ht="33" customHeight="1">
      <c r="B554" s="2164"/>
      <c r="C554" s="4608">
        <v>101</v>
      </c>
      <c r="D554" s="4608" t="s">
        <v>3286</v>
      </c>
      <c r="E554" s="4609" t="s">
        <v>3676</v>
      </c>
      <c r="F554" s="4610" t="s">
        <v>3677</v>
      </c>
      <c r="G554" s="4611" t="s">
        <v>611</v>
      </c>
      <c r="H554" s="4612">
        <v>2772.2339999999999</v>
      </c>
      <c r="I554" s="4613"/>
      <c r="J554" s="4613">
        <f>ROUND(I554*H554,2)</f>
        <v>0</v>
      </c>
      <c r="K554" s="4610" t="s">
        <v>142</v>
      </c>
      <c r="L554" s="2071"/>
      <c r="M554" s="2190" t="s">
        <v>3146</v>
      </c>
      <c r="N554" s="2163" t="s">
        <v>3181</v>
      </c>
      <c r="O554" s="2191">
        <v>0.42</v>
      </c>
      <c r="P554" s="2191">
        <f>O554*H554</f>
        <v>1164.3382799999999</v>
      </c>
      <c r="Q554" s="2191">
        <v>1.103E-2</v>
      </c>
      <c r="R554" s="2191">
        <f>Q554*H554</f>
        <v>30.577741019999998</v>
      </c>
      <c r="S554" s="2191">
        <v>0</v>
      </c>
      <c r="T554" s="2192">
        <f>S554*H554</f>
        <v>0</v>
      </c>
      <c r="AR554" s="2193" t="s">
        <v>856</v>
      </c>
      <c r="AT554" s="2193" t="s">
        <v>3286</v>
      </c>
      <c r="AU554" s="2193" t="s">
        <v>134</v>
      </c>
      <c r="AY554" s="2056" t="s">
        <v>3285</v>
      </c>
      <c r="BE554" s="2194">
        <f>IF(N554="základní",J554,0)</f>
        <v>0</v>
      </c>
      <c r="BF554" s="2194">
        <f>IF(N554="snížená",J554,0)</f>
        <v>0</v>
      </c>
      <c r="BG554" s="2194">
        <f>IF(N554="zákl. přenesená",J554,0)</f>
        <v>0</v>
      </c>
      <c r="BH554" s="2194">
        <f>IF(N554="sníž. přenesená",J554,0)</f>
        <v>0</v>
      </c>
      <c r="BI554" s="2194">
        <f>IF(N554="nulová",J554,0)</f>
        <v>0</v>
      </c>
      <c r="BJ554" s="2056" t="s">
        <v>134</v>
      </c>
      <c r="BK554" s="2194">
        <f>ROUND(I554*H554,2)</f>
        <v>0</v>
      </c>
      <c r="BL554" s="2056" t="s">
        <v>856</v>
      </c>
      <c r="BM554" s="2193" t="s">
        <v>3678</v>
      </c>
    </row>
    <row r="555" spans="2:65" s="2070" customFormat="1" ht="24.2" customHeight="1">
      <c r="B555" s="2164"/>
      <c r="C555" s="4608">
        <v>102</v>
      </c>
      <c r="D555" s="4608" t="s">
        <v>3286</v>
      </c>
      <c r="E555" s="4609" t="s">
        <v>3679</v>
      </c>
      <c r="F555" s="4610" t="s">
        <v>3680</v>
      </c>
      <c r="G555" s="4611" t="s">
        <v>611</v>
      </c>
      <c r="H555" s="4612">
        <v>2772.2339999999999</v>
      </c>
      <c r="I555" s="4613"/>
      <c r="J555" s="4613">
        <f>ROUND(I555*H555,2)</f>
        <v>0</v>
      </c>
      <c r="K555" s="4610" t="s">
        <v>142</v>
      </c>
      <c r="L555" s="2071"/>
      <c r="M555" s="2190" t="s">
        <v>3146</v>
      </c>
      <c r="N555" s="2163" t="s">
        <v>3181</v>
      </c>
      <c r="O555" s="2191">
        <v>7.0000000000000007E-2</v>
      </c>
      <c r="P555" s="2191">
        <f>O555*H555</f>
        <v>194.05638000000002</v>
      </c>
      <c r="Q555" s="2191">
        <v>5.5199999999999997E-3</v>
      </c>
      <c r="R555" s="2191">
        <f>Q555*H555</f>
        <v>15.302731679999999</v>
      </c>
      <c r="S555" s="2191">
        <v>0</v>
      </c>
      <c r="T555" s="2192">
        <f>S555*H555</f>
        <v>0</v>
      </c>
      <c r="AR555" s="2193" t="s">
        <v>856</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856</v>
      </c>
      <c r="BM555" s="2193" t="s">
        <v>3681</v>
      </c>
    </row>
    <row r="556" spans="2:65" s="2070" customFormat="1" ht="24.2" customHeight="1">
      <c r="B556" s="2164"/>
      <c r="C556" s="4608">
        <v>103</v>
      </c>
      <c r="D556" s="4608" t="s">
        <v>3286</v>
      </c>
      <c r="E556" s="4609" t="s">
        <v>3682</v>
      </c>
      <c r="F556" s="4610" t="s">
        <v>3683</v>
      </c>
      <c r="G556" s="4611" t="s">
        <v>611</v>
      </c>
      <c r="H556" s="4612">
        <v>5787.393</v>
      </c>
      <c r="I556" s="4613"/>
      <c r="J556" s="4613">
        <f>ROUND(I556*H556,2)</f>
        <v>0</v>
      </c>
      <c r="K556" s="4610" t="s">
        <v>142</v>
      </c>
      <c r="L556" s="2071"/>
      <c r="M556" s="2190" t="s">
        <v>3146</v>
      </c>
      <c r="N556" s="2163" t="s">
        <v>3181</v>
      </c>
      <c r="O556" s="2191">
        <v>5.3999999999999999E-2</v>
      </c>
      <c r="P556" s="2191">
        <f>O556*H556</f>
        <v>312.51922200000001</v>
      </c>
      <c r="Q556" s="2191">
        <v>0</v>
      </c>
      <c r="R556" s="2191">
        <f>Q556*H556</f>
        <v>0</v>
      </c>
      <c r="S556" s="2191">
        <v>0</v>
      </c>
      <c r="T556" s="2192">
        <f>S556*H556</f>
        <v>0</v>
      </c>
      <c r="W556" s="2243"/>
      <c r="AR556" s="2193" t="s">
        <v>856</v>
      </c>
      <c r="AT556" s="2193" t="s">
        <v>3286</v>
      </c>
      <c r="AU556" s="2193" t="s">
        <v>134</v>
      </c>
      <c r="AY556" s="2056" t="s">
        <v>3285</v>
      </c>
      <c r="BE556" s="2194">
        <f>IF(N556="základní",J556,0)</f>
        <v>0</v>
      </c>
      <c r="BF556" s="2194">
        <f>IF(N556="snížená",J556,0)</f>
        <v>0</v>
      </c>
      <c r="BG556" s="2194">
        <f>IF(N556="zákl. přenesená",J556,0)</f>
        <v>0</v>
      </c>
      <c r="BH556" s="2194">
        <f>IF(N556="sníž. přenesená",J556,0)</f>
        <v>0</v>
      </c>
      <c r="BI556" s="2194">
        <f>IF(N556="nulová",J556,0)</f>
        <v>0</v>
      </c>
      <c r="BJ556" s="2056" t="s">
        <v>134</v>
      </c>
      <c r="BK556" s="2194">
        <f>ROUND(I556*H556,2)</f>
        <v>0</v>
      </c>
      <c r="BL556" s="2056" t="s">
        <v>856</v>
      </c>
      <c r="BM556" s="2193" t="s">
        <v>3684</v>
      </c>
    </row>
    <row r="557" spans="2:65" s="2195" customFormat="1">
      <c r="B557" s="2196"/>
      <c r="D557" s="2197" t="s">
        <v>3303</v>
      </c>
      <c r="E557" s="2198" t="s">
        <v>3146</v>
      </c>
      <c r="F557" s="2199" t="s">
        <v>3569</v>
      </c>
      <c r="H557" s="2198" t="s">
        <v>3146</v>
      </c>
      <c r="L557" s="2196"/>
      <c r="M557" s="2200"/>
      <c r="T557" s="2201"/>
      <c r="AT557" s="2198" t="s">
        <v>3303</v>
      </c>
      <c r="AU557" s="2198" t="s">
        <v>134</v>
      </c>
      <c r="AV557" s="2195" t="s">
        <v>133</v>
      </c>
      <c r="AW557" s="2195" t="s">
        <v>3171</v>
      </c>
      <c r="AX557" s="2195" t="s">
        <v>3213</v>
      </c>
      <c r="AY557" s="2198" t="s">
        <v>3285</v>
      </c>
    </row>
    <row r="558" spans="2:65" s="2209" customFormat="1">
      <c r="B558" s="2210"/>
      <c r="D558" s="2197" t="s">
        <v>3303</v>
      </c>
      <c r="E558" s="2211" t="s">
        <v>3146</v>
      </c>
      <c r="F558" s="2212" t="s">
        <v>3685</v>
      </c>
      <c r="H558" s="2213">
        <v>1328.223</v>
      </c>
      <c r="L558" s="2210"/>
      <c r="M558" s="2214"/>
      <c r="T558" s="2215"/>
      <c r="AT558" s="2211" t="s">
        <v>3303</v>
      </c>
      <c r="AU558" s="2211" t="s">
        <v>134</v>
      </c>
      <c r="AV558" s="2209" t="s">
        <v>134</v>
      </c>
      <c r="AW558" s="2209" t="s">
        <v>3171</v>
      </c>
      <c r="AX558" s="2209" t="s">
        <v>3213</v>
      </c>
      <c r="AY558" s="2211" t="s">
        <v>3285</v>
      </c>
    </row>
    <row r="559" spans="2:65" s="2195" customFormat="1">
      <c r="B559" s="2196"/>
      <c r="D559" s="2197" t="s">
        <v>3303</v>
      </c>
      <c r="E559" s="2198" t="s">
        <v>3146</v>
      </c>
      <c r="F559" s="2199" t="s">
        <v>3661</v>
      </c>
      <c r="H559" s="2198" t="s">
        <v>3146</v>
      </c>
      <c r="L559" s="2196"/>
      <c r="M559" s="2200"/>
      <c r="T559" s="2201"/>
      <c r="AT559" s="2198" t="s">
        <v>3303</v>
      </c>
      <c r="AU559" s="2198" t="s">
        <v>134</v>
      </c>
      <c r="AV559" s="2195" t="s">
        <v>133</v>
      </c>
      <c r="AW559" s="2195" t="s">
        <v>3171</v>
      </c>
      <c r="AX559" s="2195" t="s">
        <v>3213</v>
      </c>
      <c r="AY559" s="2198" t="s">
        <v>3285</v>
      </c>
    </row>
    <row r="560" spans="2:65" s="2209" customFormat="1">
      <c r="B560" s="2210"/>
      <c r="D560" s="2197" t="s">
        <v>3303</v>
      </c>
      <c r="E560" s="2211" t="s">
        <v>3146</v>
      </c>
      <c r="F560" s="2212" t="s">
        <v>3686</v>
      </c>
      <c r="H560" s="2213">
        <v>778.37099999999998</v>
      </c>
      <c r="L560" s="2210"/>
      <c r="M560" s="2214"/>
      <c r="T560" s="2215"/>
      <c r="AT560" s="2211" t="s">
        <v>3303</v>
      </c>
      <c r="AU560" s="2211" t="s">
        <v>134</v>
      </c>
      <c r="AV560" s="2209" t="s">
        <v>134</v>
      </c>
      <c r="AW560" s="2209" t="s">
        <v>3171</v>
      </c>
      <c r="AX560" s="2209" t="s">
        <v>3213</v>
      </c>
      <c r="AY560" s="2211" t="s">
        <v>3285</v>
      </c>
    </row>
    <row r="561" spans="2:65" s="2195" customFormat="1">
      <c r="B561" s="2196"/>
      <c r="D561" s="2197" t="s">
        <v>3303</v>
      </c>
      <c r="E561" s="2198" t="s">
        <v>3146</v>
      </c>
      <c r="F561" s="2199" t="s">
        <v>3578</v>
      </c>
      <c r="H561" s="2198" t="s">
        <v>3146</v>
      </c>
      <c r="L561" s="2196"/>
      <c r="M561" s="2200"/>
      <c r="T561" s="2201"/>
      <c r="AT561" s="2198" t="s">
        <v>3303</v>
      </c>
      <c r="AU561" s="2198" t="s">
        <v>134</v>
      </c>
      <c r="AV561" s="2195" t="s">
        <v>133</v>
      </c>
      <c r="AW561" s="2195" t="s">
        <v>3171</v>
      </c>
      <c r="AX561" s="2195" t="s">
        <v>3213</v>
      </c>
      <c r="AY561" s="2198" t="s">
        <v>3285</v>
      </c>
    </row>
    <row r="562" spans="2:65" s="2209" customFormat="1">
      <c r="B562" s="2210"/>
      <c r="D562" s="2197" t="s">
        <v>3303</v>
      </c>
      <c r="E562" s="2211" t="s">
        <v>3146</v>
      </c>
      <c r="F562" s="2212" t="s">
        <v>3687</v>
      </c>
      <c r="H562" s="2213">
        <v>901.73800000000006</v>
      </c>
      <c r="L562" s="2210"/>
      <c r="M562" s="2214"/>
      <c r="T562" s="2215"/>
      <c r="AT562" s="2211" t="s">
        <v>3303</v>
      </c>
      <c r="AU562" s="2211" t="s">
        <v>134</v>
      </c>
      <c r="AV562" s="2209" t="s">
        <v>134</v>
      </c>
      <c r="AW562" s="2209" t="s">
        <v>3171</v>
      </c>
      <c r="AX562" s="2209" t="s">
        <v>3213</v>
      </c>
      <c r="AY562" s="2211" t="s">
        <v>3285</v>
      </c>
    </row>
    <row r="563" spans="2:65" s="2195" customFormat="1">
      <c r="B563" s="2196"/>
      <c r="D563" s="2197" t="s">
        <v>3303</v>
      </c>
      <c r="E563" s="2198" t="s">
        <v>3146</v>
      </c>
      <c r="F563" s="2199" t="s">
        <v>3580</v>
      </c>
      <c r="H563" s="2198" t="s">
        <v>3146</v>
      </c>
      <c r="L563" s="2196"/>
      <c r="M563" s="2200"/>
      <c r="T563" s="2201"/>
      <c r="AT563" s="2198" t="s">
        <v>3303</v>
      </c>
      <c r="AU563" s="2198" t="s">
        <v>134</v>
      </c>
      <c r="AV563" s="2195" t="s">
        <v>133</v>
      </c>
      <c r="AW563" s="2195" t="s">
        <v>3171</v>
      </c>
      <c r="AX563" s="2195" t="s">
        <v>3213</v>
      </c>
      <c r="AY563" s="2198" t="s">
        <v>3285</v>
      </c>
    </row>
    <row r="564" spans="2:65" s="2209" customFormat="1">
      <c r="B564" s="2210"/>
      <c r="D564" s="2197" t="s">
        <v>3303</v>
      </c>
      <c r="E564" s="2211" t="s">
        <v>3146</v>
      </c>
      <c r="F564" s="2212" t="s">
        <v>3688</v>
      </c>
      <c r="H564" s="2213">
        <v>867.47299999999996</v>
      </c>
      <c r="L564" s="2210"/>
      <c r="M564" s="2214"/>
      <c r="T564" s="2215"/>
      <c r="AT564" s="2211" t="s">
        <v>3303</v>
      </c>
      <c r="AU564" s="2211" t="s">
        <v>134</v>
      </c>
      <c r="AV564" s="2209" t="s">
        <v>134</v>
      </c>
      <c r="AW564" s="2209" t="s">
        <v>3171</v>
      </c>
      <c r="AX564" s="2209" t="s">
        <v>3213</v>
      </c>
      <c r="AY564" s="2211" t="s">
        <v>3285</v>
      </c>
    </row>
    <row r="565" spans="2:65" s="2202" customFormat="1">
      <c r="B565" s="2203"/>
      <c r="D565" s="2197" t="s">
        <v>3303</v>
      </c>
      <c r="E565" s="2204" t="s">
        <v>3146</v>
      </c>
      <c r="F565" s="2205" t="s">
        <v>3305</v>
      </c>
      <c r="H565" s="2206">
        <v>3875.8049999999998</v>
      </c>
      <c r="L565" s="2203"/>
      <c r="M565" s="2207"/>
      <c r="T565" s="2208"/>
      <c r="AT565" s="2204" t="s">
        <v>3303</v>
      </c>
      <c r="AU565" s="2204" t="s">
        <v>134</v>
      </c>
      <c r="AV565" s="2202" t="s">
        <v>854</v>
      </c>
      <c r="AW565" s="2202" t="s">
        <v>3171</v>
      </c>
      <c r="AX565" s="2202" t="s">
        <v>3213</v>
      </c>
      <c r="AY565" s="2204" t="s">
        <v>3285</v>
      </c>
    </row>
    <row r="566" spans="2:65" s="2209" customFormat="1">
      <c r="B566" s="2210"/>
      <c r="D566" s="2197" t="s">
        <v>3303</v>
      </c>
      <c r="E566" s="2211" t="s">
        <v>3146</v>
      </c>
      <c r="F566" s="2212" t="s">
        <v>10796</v>
      </c>
      <c r="H566" s="2213">
        <v>1330.4010000000001</v>
      </c>
      <c r="L566" s="2210"/>
      <c r="M566" s="2214"/>
      <c r="T566" s="2215"/>
      <c r="AT566" s="2211" t="s">
        <v>3303</v>
      </c>
      <c r="AU566" s="2211" t="s">
        <v>134</v>
      </c>
      <c r="AV566" s="2209" t="s">
        <v>134</v>
      </c>
      <c r="AW566" s="2209" t="s">
        <v>3171</v>
      </c>
      <c r="AX566" s="2209" t="s">
        <v>3213</v>
      </c>
      <c r="AY566" s="2211" t="s">
        <v>3285</v>
      </c>
    </row>
    <row r="567" spans="2:65" s="2209" customFormat="1">
      <c r="B567" s="2210"/>
      <c r="D567" s="2197" t="s">
        <v>3303</v>
      </c>
      <c r="E567" s="2211" t="s">
        <v>3146</v>
      </c>
      <c r="F567" s="2212" t="s">
        <v>10797</v>
      </c>
      <c r="H567" s="2213">
        <v>265.5</v>
      </c>
      <c r="L567" s="2210"/>
      <c r="M567" s="2214"/>
      <c r="T567" s="2215"/>
      <c r="AT567" s="2211" t="s">
        <v>3303</v>
      </c>
      <c r="AU567" s="2211" t="s">
        <v>134</v>
      </c>
      <c r="AV567" s="2209" t="s">
        <v>134</v>
      </c>
      <c r="AW567" s="2209" t="s">
        <v>3171</v>
      </c>
      <c r="AX567" s="2209" t="s">
        <v>3213</v>
      </c>
      <c r="AY567" s="2211" t="s">
        <v>3285</v>
      </c>
    </row>
    <row r="568" spans="2:65" s="2209" customFormat="1">
      <c r="B568" s="2210"/>
      <c r="D568" s="2197" t="s">
        <v>3303</v>
      </c>
      <c r="E568" s="2211" t="s">
        <v>3146</v>
      </c>
      <c r="F568" s="2212" t="s">
        <v>10798</v>
      </c>
      <c r="H568" s="2213">
        <v>315.68700000000001</v>
      </c>
      <c r="L568" s="2210"/>
      <c r="M568" s="2214"/>
      <c r="T568" s="2215"/>
      <c r="AT568" s="2211" t="s">
        <v>3303</v>
      </c>
      <c r="AU568" s="2211" t="s">
        <v>134</v>
      </c>
      <c r="AV568" s="2209" t="s">
        <v>134</v>
      </c>
      <c r="AW568" s="2209" t="s">
        <v>3171</v>
      </c>
      <c r="AX568" s="2209" t="s">
        <v>3213</v>
      </c>
      <c r="AY568" s="2211" t="s">
        <v>3285</v>
      </c>
    </row>
    <row r="569" spans="2:65" s="2202" customFormat="1">
      <c r="B569" s="2203"/>
      <c r="D569" s="2197" t="s">
        <v>3303</v>
      </c>
      <c r="E569" s="2204" t="s">
        <v>3146</v>
      </c>
      <c r="F569" s="2205" t="s">
        <v>3305</v>
      </c>
      <c r="H569" s="2206">
        <v>1911.588</v>
      </c>
      <c r="L569" s="2203"/>
      <c r="M569" s="2207"/>
      <c r="T569" s="2208"/>
      <c r="AT569" s="2204" t="s">
        <v>3303</v>
      </c>
      <c r="AU569" s="2204" t="s">
        <v>134</v>
      </c>
      <c r="AV569" s="2202" t="s">
        <v>854</v>
      </c>
      <c r="AW569" s="2202" t="s">
        <v>3171</v>
      </c>
      <c r="AX569" s="2202" t="s">
        <v>3213</v>
      </c>
      <c r="AY569" s="2204" t="s">
        <v>3285</v>
      </c>
    </row>
    <row r="570" spans="2:65" s="2216" customFormat="1">
      <c r="B570" s="2217"/>
      <c r="D570" s="2197" t="s">
        <v>3303</v>
      </c>
      <c r="E570" s="2218" t="s">
        <v>3146</v>
      </c>
      <c r="F570" s="2219" t="s">
        <v>3306</v>
      </c>
      <c r="H570" s="2220">
        <v>5787.393</v>
      </c>
      <c r="L570" s="2217"/>
      <c r="M570" s="2221"/>
      <c r="T570" s="2222"/>
      <c r="AT570" s="2218" t="s">
        <v>3303</v>
      </c>
      <c r="AU570" s="2218" t="s">
        <v>134</v>
      </c>
      <c r="AV570" s="2216" t="s">
        <v>856</v>
      </c>
      <c r="AW570" s="2216" t="s">
        <v>3171</v>
      </c>
      <c r="AX570" s="2216" t="s">
        <v>133</v>
      </c>
      <c r="AY570" s="2218" t="s">
        <v>3285</v>
      </c>
    </row>
    <row r="571" spans="2:65" s="2070" customFormat="1" ht="24.2" customHeight="1">
      <c r="B571" s="2164"/>
      <c r="C571" s="4608">
        <v>104</v>
      </c>
      <c r="D571" s="4608" t="s">
        <v>3286</v>
      </c>
      <c r="E571" s="4609" t="s">
        <v>10799</v>
      </c>
      <c r="F571" s="4610" t="s">
        <v>10800</v>
      </c>
      <c r="G571" s="4611" t="s">
        <v>611</v>
      </c>
      <c r="H571" s="4612">
        <v>5177.2060000000001</v>
      </c>
      <c r="I571" s="4613"/>
      <c r="J571" s="4613">
        <f>ROUND(I571*H571,2)</f>
        <v>0</v>
      </c>
      <c r="K571" s="4610" t="s">
        <v>142</v>
      </c>
      <c r="L571" s="2071"/>
      <c r="M571" s="2190" t="s">
        <v>3146</v>
      </c>
      <c r="N571" s="2163" t="s">
        <v>3181</v>
      </c>
      <c r="O571" s="2191">
        <v>0.4</v>
      </c>
      <c r="P571" s="2191">
        <f>O571*H571</f>
        <v>2070.8824</v>
      </c>
      <c r="Q571" s="2191">
        <v>6.3E-3</v>
      </c>
      <c r="R571" s="2191">
        <f>Q571*H571</f>
        <v>32.616397800000001</v>
      </c>
      <c r="S571" s="2191">
        <v>0</v>
      </c>
      <c r="T571" s="2192">
        <f>S571*H571</f>
        <v>0</v>
      </c>
      <c r="AR571" s="2193" t="s">
        <v>856</v>
      </c>
      <c r="AT571" s="2193" t="s">
        <v>3286</v>
      </c>
      <c r="AU571" s="2193" t="s">
        <v>134</v>
      </c>
      <c r="AY571" s="2056" t="s">
        <v>3285</v>
      </c>
      <c r="BE571" s="2194">
        <f>IF(N571="základní",J571,0)</f>
        <v>0</v>
      </c>
      <c r="BF571" s="2194">
        <f>IF(N571="snížená",J571,0)</f>
        <v>0</v>
      </c>
      <c r="BG571" s="2194">
        <f>IF(N571="zákl. přenesená",J571,0)</f>
        <v>0</v>
      </c>
      <c r="BH571" s="2194">
        <f>IF(N571="sníž. přenesená",J571,0)</f>
        <v>0</v>
      </c>
      <c r="BI571" s="2194">
        <f>IF(N571="nulová",J571,0)</f>
        <v>0</v>
      </c>
      <c r="BJ571" s="2056" t="s">
        <v>134</v>
      </c>
      <c r="BK571" s="2194">
        <f>ROUND(I571*H571,2)</f>
        <v>0</v>
      </c>
      <c r="BL571" s="2056" t="s">
        <v>856</v>
      </c>
      <c r="BM571" s="2193" t="s">
        <v>10801</v>
      </c>
    </row>
    <row r="572" spans="2:65" s="2070" customFormat="1" ht="24.2" customHeight="1">
      <c r="B572" s="2164"/>
      <c r="C572" s="4608">
        <v>105</v>
      </c>
      <c r="D572" s="4608" t="s">
        <v>3286</v>
      </c>
      <c r="E572" s="4609" t="s">
        <v>3689</v>
      </c>
      <c r="F572" s="4610" t="s">
        <v>3690</v>
      </c>
      <c r="G572" s="4611" t="s">
        <v>611</v>
      </c>
      <c r="H572" s="4612">
        <v>3875.8049999999998</v>
      </c>
      <c r="I572" s="4613"/>
      <c r="J572" s="4613">
        <f>ROUND(I572*H572,2)</f>
        <v>0</v>
      </c>
      <c r="K572" s="4610" t="s">
        <v>142</v>
      </c>
      <c r="L572" s="2071"/>
      <c r="M572" s="2190" t="s">
        <v>3146</v>
      </c>
      <c r="N572" s="2163" t="s">
        <v>3181</v>
      </c>
      <c r="O572" s="2191">
        <v>0.104</v>
      </c>
      <c r="P572" s="2191">
        <f>O572*H572</f>
        <v>403.08371999999997</v>
      </c>
      <c r="Q572" s="2191">
        <v>2.5999999999999998E-4</v>
      </c>
      <c r="R572" s="2191">
        <f>Q572*H572</f>
        <v>1.0077092999999999</v>
      </c>
      <c r="S572" s="2191">
        <v>0</v>
      </c>
      <c r="T572" s="2192">
        <f>S572*H572</f>
        <v>0</v>
      </c>
      <c r="AR572" s="2193" t="s">
        <v>856</v>
      </c>
      <c r="AT572" s="2193" t="s">
        <v>3286</v>
      </c>
      <c r="AU572" s="2193" t="s">
        <v>134</v>
      </c>
      <c r="AY572" s="2056" t="s">
        <v>3285</v>
      </c>
      <c r="BE572" s="2194">
        <f>IF(N572="základní",J572,0)</f>
        <v>0</v>
      </c>
      <c r="BF572" s="2194">
        <f>IF(N572="snížená",J572,0)</f>
        <v>0</v>
      </c>
      <c r="BG572" s="2194">
        <f>IF(N572="zákl. přenesená",J572,0)</f>
        <v>0</v>
      </c>
      <c r="BH572" s="2194">
        <f>IF(N572="sníž. přenesená",J572,0)</f>
        <v>0</v>
      </c>
      <c r="BI572" s="2194">
        <f>IF(N572="nulová",J572,0)</f>
        <v>0</v>
      </c>
      <c r="BJ572" s="2056" t="s">
        <v>134</v>
      </c>
      <c r="BK572" s="2194">
        <f>ROUND(I572*H572,2)</f>
        <v>0</v>
      </c>
      <c r="BL572" s="2056" t="s">
        <v>856</v>
      </c>
      <c r="BM572" s="2193" t="s">
        <v>3691</v>
      </c>
    </row>
    <row r="573" spans="2:65" s="2195" customFormat="1">
      <c r="B573" s="2196"/>
      <c r="D573" s="2197" t="s">
        <v>3303</v>
      </c>
      <c r="E573" s="2198" t="s">
        <v>3146</v>
      </c>
      <c r="F573" s="2199" t="s">
        <v>3569</v>
      </c>
      <c r="H573" s="2198" t="s">
        <v>3146</v>
      </c>
      <c r="L573" s="2196"/>
      <c r="M573" s="2200"/>
      <c r="T573" s="2201"/>
      <c r="AT573" s="2198" t="s">
        <v>3303</v>
      </c>
      <c r="AU573" s="2198" t="s">
        <v>134</v>
      </c>
      <c r="AV573" s="2195" t="s">
        <v>133</v>
      </c>
      <c r="AW573" s="2195" t="s">
        <v>3171</v>
      </c>
      <c r="AX573" s="2195" t="s">
        <v>3213</v>
      </c>
      <c r="AY573" s="2198" t="s">
        <v>3285</v>
      </c>
    </row>
    <row r="574" spans="2:65" s="2209" customFormat="1">
      <c r="B574" s="2210"/>
      <c r="D574" s="2197" t="s">
        <v>3303</v>
      </c>
      <c r="E574" s="2211" t="s">
        <v>3146</v>
      </c>
      <c r="F574" s="2212" t="s">
        <v>3685</v>
      </c>
      <c r="H574" s="2213">
        <v>1328.223</v>
      </c>
      <c r="L574" s="2210"/>
      <c r="M574" s="2214"/>
      <c r="T574" s="2215"/>
      <c r="AT574" s="2211" t="s">
        <v>3303</v>
      </c>
      <c r="AU574" s="2211" t="s">
        <v>134</v>
      </c>
      <c r="AV574" s="2209" t="s">
        <v>134</v>
      </c>
      <c r="AW574" s="2209" t="s">
        <v>3171</v>
      </c>
      <c r="AX574" s="2209" t="s">
        <v>3213</v>
      </c>
      <c r="AY574" s="2211" t="s">
        <v>3285</v>
      </c>
    </row>
    <row r="575" spans="2:65" s="2195" customFormat="1">
      <c r="B575" s="2196"/>
      <c r="D575" s="2197" t="s">
        <v>3303</v>
      </c>
      <c r="E575" s="2198" t="s">
        <v>3146</v>
      </c>
      <c r="F575" s="2199" t="s">
        <v>3661</v>
      </c>
      <c r="H575" s="2198" t="s">
        <v>3146</v>
      </c>
      <c r="L575" s="2196"/>
      <c r="M575" s="2200"/>
      <c r="T575" s="2201"/>
      <c r="AT575" s="2198" t="s">
        <v>3303</v>
      </c>
      <c r="AU575" s="2198" t="s">
        <v>134</v>
      </c>
      <c r="AV575" s="2195" t="s">
        <v>133</v>
      </c>
      <c r="AW575" s="2195" t="s">
        <v>3171</v>
      </c>
      <c r="AX575" s="2195" t="s">
        <v>3213</v>
      </c>
      <c r="AY575" s="2198" t="s">
        <v>3285</v>
      </c>
    </row>
    <row r="576" spans="2:65" s="2209" customFormat="1">
      <c r="B576" s="2210"/>
      <c r="D576" s="2197" t="s">
        <v>3303</v>
      </c>
      <c r="E576" s="2211" t="s">
        <v>3146</v>
      </c>
      <c r="F576" s="2212" t="s">
        <v>3686</v>
      </c>
      <c r="H576" s="2213">
        <v>778.37099999999998</v>
      </c>
      <c r="L576" s="2210"/>
      <c r="M576" s="2214"/>
      <c r="T576" s="2215"/>
      <c r="AT576" s="2211" t="s">
        <v>3303</v>
      </c>
      <c r="AU576" s="2211" t="s">
        <v>134</v>
      </c>
      <c r="AV576" s="2209" t="s">
        <v>134</v>
      </c>
      <c r="AW576" s="2209" t="s">
        <v>3171</v>
      </c>
      <c r="AX576" s="2209" t="s">
        <v>3213</v>
      </c>
      <c r="AY576" s="2211" t="s">
        <v>3285</v>
      </c>
    </row>
    <row r="577" spans="2:65" s="2195" customFormat="1">
      <c r="B577" s="2196"/>
      <c r="D577" s="2197" t="s">
        <v>3303</v>
      </c>
      <c r="E577" s="2198" t="s">
        <v>3146</v>
      </c>
      <c r="F577" s="2199" t="s">
        <v>3578</v>
      </c>
      <c r="H577" s="2198" t="s">
        <v>3146</v>
      </c>
      <c r="L577" s="2196"/>
      <c r="M577" s="2200"/>
      <c r="T577" s="2201"/>
      <c r="AT577" s="2198" t="s">
        <v>3303</v>
      </c>
      <c r="AU577" s="2198" t="s">
        <v>134</v>
      </c>
      <c r="AV577" s="2195" t="s">
        <v>133</v>
      </c>
      <c r="AW577" s="2195" t="s">
        <v>3171</v>
      </c>
      <c r="AX577" s="2195" t="s">
        <v>3213</v>
      </c>
      <c r="AY577" s="2198" t="s">
        <v>3285</v>
      </c>
    </row>
    <row r="578" spans="2:65" s="2209" customFormat="1">
      <c r="B578" s="2210"/>
      <c r="D578" s="2197" t="s">
        <v>3303</v>
      </c>
      <c r="E578" s="2211" t="s">
        <v>3146</v>
      </c>
      <c r="F578" s="2212" t="s">
        <v>3687</v>
      </c>
      <c r="H578" s="2213">
        <v>901.73800000000006</v>
      </c>
      <c r="L578" s="2210"/>
      <c r="M578" s="2214"/>
      <c r="T578" s="2215"/>
      <c r="AT578" s="2211" t="s">
        <v>3303</v>
      </c>
      <c r="AU578" s="2211" t="s">
        <v>134</v>
      </c>
      <c r="AV578" s="2209" t="s">
        <v>134</v>
      </c>
      <c r="AW578" s="2209" t="s">
        <v>3171</v>
      </c>
      <c r="AX578" s="2209" t="s">
        <v>3213</v>
      </c>
      <c r="AY578" s="2211" t="s">
        <v>3285</v>
      </c>
    </row>
    <row r="579" spans="2:65" s="2195" customFormat="1">
      <c r="B579" s="2196"/>
      <c r="D579" s="2197" t="s">
        <v>3303</v>
      </c>
      <c r="E579" s="2198" t="s">
        <v>3146</v>
      </c>
      <c r="F579" s="2199" t="s">
        <v>3580</v>
      </c>
      <c r="H579" s="2198" t="s">
        <v>3146</v>
      </c>
      <c r="L579" s="2196"/>
      <c r="M579" s="2200"/>
      <c r="T579" s="2201"/>
      <c r="AT579" s="2198" t="s">
        <v>3303</v>
      </c>
      <c r="AU579" s="2198" t="s">
        <v>134</v>
      </c>
      <c r="AV579" s="2195" t="s">
        <v>133</v>
      </c>
      <c r="AW579" s="2195" t="s">
        <v>3171</v>
      </c>
      <c r="AX579" s="2195" t="s">
        <v>3213</v>
      </c>
      <c r="AY579" s="2198" t="s">
        <v>3285</v>
      </c>
    </row>
    <row r="580" spans="2:65" s="2209" customFormat="1">
      <c r="B580" s="2210"/>
      <c r="D580" s="2197" t="s">
        <v>3303</v>
      </c>
      <c r="E580" s="2211" t="s">
        <v>3146</v>
      </c>
      <c r="F580" s="2212" t="s">
        <v>3688</v>
      </c>
      <c r="H580" s="2213">
        <v>867.47299999999996</v>
      </c>
      <c r="L580" s="2210"/>
      <c r="M580" s="2214"/>
      <c r="T580" s="2215"/>
      <c r="AT580" s="2211" t="s">
        <v>3303</v>
      </c>
      <c r="AU580" s="2211" t="s">
        <v>134</v>
      </c>
      <c r="AV580" s="2209" t="s">
        <v>134</v>
      </c>
      <c r="AW580" s="2209" t="s">
        <v>3171</v>
      </c>
      <c r="AX580" s="2209" t="s">
        <v>3213</v>
      </c>
      <c r="AY580" s="2211" t="s">
        <v>3285</v>
      </c>
    </row>
    <row r="581" spans="2:65" s="2216" customFormat="1">
      <c r="B581" s="2217"/>
      <c r="D581" s="2197" t="s">
        <v>3303</v>
      </c>
      <c r="E581" s="2218" t="s">
        <v>3146</v>
      </c>
      <c r="F581" s="2219" t="s">
        <v>3306</v>
      </c>
      <c r="H581" s="2220">
        <v>3875.8049999999998</v>
      </c>
      <c r="L581" s="2217"/>
      <c r="M581" s="2221"/>
      <c r="T581" s="2222"/>
      <c r="AT581" s="2218" t="s">
        <v>3303</v>
      </c>
      <c r="AU581" s="2218" t="s">
        <v>134</v>
      </c>
      <c r="AV581" s="2216" t="s">
        <v>856</v>
      </c>
      <c r="AW581" s="2216" t="s">
        <v>3171</v>
      </c>
      <c r="AX581" s="2216" t="s">
        <v>133</v>
      </c>
      <c r="AY581" s="2218" t="s">
        <v>3285</v>
      </c>
    </row>
    <row r="582" spans="2:65" s="2070" customFormat="1" ht="24.2" customHeight="1">
      <c r="B582" s="2164"/>
      <c r="C582" s="4608">
        <v>106</v>
      </c>
      <c r="D582" s="4608" t="s">
        <v>3286</v>
      </c>
      <c r="E582" s="4609" t="s">
        <v>3692</v>
      </c>
      <c r="F582" s="4610" t="s">
        <v>3693</v>
      </c>
      <c r="G582" s="4611" t="s">
        <v>611</v>
      </c>
      <c r="H582" s="4612">
        <v>3875.8049999999998</v>
      </c>
      <c r="I582" s="4613"/>
      <c r="J582" s="4613">
        <f>ROUND(I582*H582,2)</f>
        <v>0</v>
      </c>
      <c r="K582" s="4610" t="s">
        <v>142</v>
      </c>
      <c r="L582" s="2071"/>
      <c r="M582" s="2190" t="s">
        <v>3146</v>
      </c>
      <c r="N582" s="2163" t="s">
        <v>3181</v>
      </c>
      <c r="O582" s="2191">
        <v>0.32</v>
      </c>
      <c r="P582" s="2191">
        <f>O582*H582</f>
        <v>1240.2575999999999</v>
      </c>
      <c r="Q582" s="2191">
        <v>1.103E-2</v>
      </c>
      <c r="R582" s="2191">
        <f>Q582*H582</f>
        <v>42.750129149999999</v>
      </c>
      <c r="S582" s="2191">
        <v>0</v>
      </c>
      <c r="T582" s="2192">
        <f>S582*H582</f>
        <v>0</v>
      </c>
      <c r="AR582" s="2193" t="s">
        <v>856</v>
      </c>
      <c r="AT582" s="2193" t="s">
        <v>3286</v>
      </c>
      <c r="AU582" s="2193" t="s">
        <v>134</v>
      </c>
      <c r="AY582" s="2056" t="s">
        <v>3285</v>
      </c>
      <c r="BE582" s="2194">
        <f>IF(N582="základní",J582,0)</f>
        <v>0</v>
      </c>
      <c r="BF582" s="2194">
        <f>IF(N582="snížená",J582,0)</f>
        <v>0</v>
      </c>
      <c r="BG582" s="2194">
        <f>IF(N582="zákl. přenesená",J582,0)</f>
        <v>0</v>
      </c>
      <c r="BH582" s="2194">
        <f>IF(N582="sníž. přenesená",J582,0)</f>
        <v>0</v>
      </c>
      <c r="BI582" s="2194">
        <f>IF(N582="nulová",J582,0)</f>
        <v>0</v>
      </c>
      <c r="BJ582" s="2056" t="s">
        <v>134</v>
      </c>
      <c r="BK582" s="2194">
        <f>ROUND(I582*H582,2)</f>
        <v>0</v>
      </c>
      <c r="BL582" s="2056" t="s">
        <v>856</v>
      </c>
      <c r="BM582" s="2193" t="s">
        <v>3694</v>
      </c>
    </row>
    <row r="583" spans="2:65" s="2195" customFormat="1">
      <c r="B583" s="2196"/>
      <c r="D583" s="2197" t="s">
        <v>3303</v>
      </c>
      <c r="E583" s="2198" t="s">
        <v>3146</v>
      </c>
      <c r="F583" s="2199" t="s">
        <v>3569</v>
      </c>
      <c r="H583" s="2198" t="s">
        <v>3146</v>
      </c>
      <c r="L583" s="2196"/>
      <c r="M583" s="2200"/>
      <c r="T583" s="2201"/>
      <c r="AT583" s="2198" t="s">
        <v>3303</v>
      </c>
      <c r="AU583" s="2198" t="s">
        <v>134</v>
      </c>
      <c r="AV583" s="2195" t="s">
        <v>133</v>
      </c>
      <c r="AW583" s="2195" t="s">
        <v>3171</v>
      </c>
      <c r="AX583" s="2195" t="s">
        <v>3213</v>
      </c>
      <c r="AY583" s="2198" t="s">
        <v>3285</v>
      </c>
    </row>
    <row r="584" spans="2:65" s="2209" customFormat="1">
      <c r="B584" s="2210"/>
      <c r="D584" s="2197" t="s">
        <v>3303</v>
      </c>
      <c r="E584" s="2211" t="s">
        <v>3146</v>
      </c>
      <c r="F584" s="2212" t="s">
        <v>3685</v>
      </c>
      <c r="H584" s="2213">
        <v>1328.223</v>
      </c>
      <c r="L584" s="2210"/>
      <c r="M584" s="2214"/>
      <c r="T584" s="2215"/>
      <c r="AT584" s="2211" t="s">
        <v>3303</v>
      </c>
      <c r="AU584" s="2211" t="s">
        <v>134</v>
      </c>
      <c r="AV584" s="2209" t="s">
        <v>134</v>
      </c>
      <c r="AW584" s="2209" t="s">
        <v>3171</v>
      </c>
      <c r="AX584" s="2209" t="s">
        <v>3213</v>
      </c>
      <c r="AY584" s="2211" t="s">
        <v>3285</v>
      </c>
    </row>
    <row r="585" spans="2:65" s="2195" customFormat="1">
      <c r="B585" s="2196"/>
      <c r="D585" s="2197" t="s">
        <v>3303</v>
      </c>
      <c r="E585" s="2198" t="s">
        <v>3146</v>
      </c>
      <c r="F585" s="2199" t="s">
        <v>3661</v>
      </c>
      <c r="H585" s="2198" t="s">
        <v>3146</v>
      </c>
      <c r="L585" s="2196"/>
      <c r="M585" s="2200"/>
      <c r="T585" s="2201"/>
      <c r="AT585" s="2198" t="s">
        <v>3303</v>
      </c>
      <c r="AU585" s="2198" t="s">
        <v>134</v>
      </c>
      <c r="AV585" s="2195" t="s">
        <v>133</v>
      </c>
      <c r="AW585" s="2195" t="s">
        <v>3171</v>
      </c>
      <c r="AX585" s="2195" t="s">
        <v>3213</v>
      </c>
      <c r="AY585" s="2198" t="s">
        <v>3285</v>
      </c>
    </row>
    <row r="586" spans="2:65" s="2209" customFormat="1">
      <c r="B586" s="2210"/>
      <c r="D586" s="2197" t="s">
        <v>3303</v>
      </c>
      <c r="E586" s="2211" t="s">
        <v>3146</v>
      </c>
      <c r="F586" s="2212" t="s">
        <v>3686</v>
      </c>
      <c r="H586" s="2213">
        <v>778.37099999999998</v>
      </c>
      <c r="L586" s="2210"/>
      <c r="M586" s="2214"/>
      <c r="T586" s="2215"/>
      <c r="AT586" s="2211" t="s">
        <v>3303</v>
      </c>
      <c r="AU586" s="2211" t="s">
        <v>134</v>
      </c>
      <c r="AV586" s="2209" t="s">
        <v>134</v>
      </c>
      <c r="AW586" s="2209" t="s">
        <v>3171</v>
      </c>
      <c r="AX586" s="2209" t="s">
        <v>3213</v>
      </c>
      <c r="AY586" s="2211" t="s">
        <v>3285</v>
      </c>
    </row>
    <row r="587" spans="2:65" s="2195" customFormat="1">
      <c r="B587" s="2196"/>
      <c r="D587" s="2197" t="s">
        <v>3303</v>
      </c>
      <c r="E587" s="2198" t="s">
        <v>3146</v>
      </c>
      <c r="F587" s="2199" t="s">
        <v>3578</v>
      </c>
      <c r="H587" s="2198" t="s">
        <v>3146</v>
      </c>
      <c r="L587" s="2196"/>
      <c r="M587" s="2200"/>
      <c r="T587" s="2201"/>
      <c r="AT587" s="2198" t="s">
        <v>3303</v>
      </c>
      <c r="AU587" s="2198" t="s">
        <v>134</v>
      </c>
      <c r="AV587" s="2195" t="s">
        <v>133</v>
      </c>
      <c r="AW587" s="2195" t="s">
        <v>3171</v>
      </c>
      <c r="AX587" s="2195" t="s">
        <v>3213</v>
      </c>
      <c r="AY587" s="2198" t="s">
        <v>3285</v>
      </c>
    </row>
    <row r="588" spans="2:65" s="2209" customFormat="1">
      <c r="B588" s="2210"/>
      <c r="D588" s="2197" t="s">
        <v>3303</v>
      </c>
      <c r="E588" s="2211" t="s">
        <v>3146</v>
      </c>
      <c r="F588" s="2212" t="s">
        <v>3687</v>
      </c>
      <c r="H588" s="2213">
        <v>901.73800000000006</v>
      </c>
      <c r="L588" s="2210"/>
      <c r="M588" s="2214"/>
      <c r="T588" s="2215"/>
      <c r="AT588" s="2211" t="s">
        <v>3303</v>
      </c>
      <c r="AU588" s="2211" t="s">
        <v>134</v>
      </c>
      <c r="AV588" s="2209" t="s">
        <v>134</v>
      </c>
      <c r="AW588" s="2209" t="s">
        <v>3171</v>
      </c>
      <c r="AX588" s="2209" t="s">
        <v>3213</v>
      </c>
      <c r="AY588" s="2211" t="s">
        <v>3285</v>
      </c>
    </row>
    <row r="589" spans="2:65" s="2195" customFormat="1">
      <c r="B589" s="2196"/>
      <c r="D589" s="2197" t="s">
        <v>3303</v>
      </c>
      <c r="E589" s="2198" t="s">
        <v>3146</v>
      </c>
      <c r="F589" s="2199" t="s">
        <v>3580</v>
      </c>
      <c r="H589" s="2198" t="s">
        <v>3146</v>
      </c>
      <c r="L589" s="2196"/>
      <c r="M589" s="2200"/>
      <c r="T589" s="2201"/>
      <c r="AT589" s="2198" t="s">
        <v>3303</v>
      </c>
      <c r="AU589" s="2198" t="s">
        <v>134</v>
      </c>
      <c r="AV589" s="2195" t="s">
        <v>133</v>
      </c>
      <c r="AW589" s="2195" t="s">
        <v>3171</v>
      </c>
      <c r="AX589" s="2195" t="s">
        <v>3213</v>
      </c>
      <c r="AY589" s="2198" t="s">
        <v>3285</v>
      </c>
    </row>
    <row r="590" spans="2:65" s="2209" customFormat="1">
      <c r="B590" s="2210"/>
      <c r="D590" s="2197" t="s">
        <v>3303</v>
      </c>
      <c r="E590" s="2211" t="s">
        <v>3146</v>
      </c>
      <c r="F590" s="2212" t="s">
        <v>3688</v>
      </c>
      <c r="H590" s="2213">
        <v>867.47299999999996</v>
      </c>
      <c r="L590" s="2210"/>
      <c r="M590" s="2214"/>
      <c r="T590" s="2215"/>
      <c r="AT590" s="2211" t="s">
        <v>3303</v>
      </c>
      <c r="AU590" s="2211" t="s">
        <v>134</v>
      </c>
      <c r="AV590" s="2209" t="s">
        <v>134</v>
      </c>
      <c r="AW590" s="2209" t="s">
        <v>3171</v>
      </c>
      <c r="AX590" s="2209" t="s">
        <v>3213</v>
      </c>
      <c r="AY590" s="2211" t="s">
        <v>3285</v>
      </c>
    </row>
    <row r="591" spans="2:65" s="2216" customFormat="1">
      <c r="B591" s="2217"/>
      <c r="D591" s="2197" t="s">
        <v>3303</v>
      </c>
      <c r="E591" s="2218" t="s">
        <v>3146</v>
      </c>
      <c r="F591" s="2219" t="s">
        <v>3306</v>
      </c>
      <c r="H591" s="2220">
        <v>3875.8049999999998</v>
      </c>
      <c r="L591" s="2217"/>
      <c r="M591" s="2221"/>
      <c r="T591" s="2222"/>
      <c r="AT591" s="2218" t="s">
        <v>3303</v>
      </c>
      <c r="AU591" s="2218" t="s">
        <v>134</v>
      </c>
      <c r="AV591" s="2216" t="s">
        <v>856</v>
      </c>
      <c r="AW591" s="2216" t="s">
        <v>3171</v>
      </c>
      <c r="AX591" s="2216" t="s">
        <v>133</v>
      </c>
      <c r="AY591" s="2218" t="s">
        <v>3285</v>
      </c>
    </row>
    <row r="592" spans="2:65" s="2070" customFormat="1" ht="24.2" customHeight="1">
      <c r="B592" s="2164"/>
      <c r="C592" s="4608">
        <v>107</v>
      </c>
      <c r="D592" s="4608" t="s">
        <v>3286</v>
      </c>
      <c r="E592" s="4609" t="s">
        <v>3695</v>
      </c>
      <c r="F592" s="4610" t="s">
        <v>3696</v>
      </c>
      <c r="G592" s="4611" t="s">
        <v>611</v>
      </c>
      <c r="H592" s="4612">
        <v>3875.8049999999998</v>
      </c>
      <c r="I592" s="4613"/>
      <c r="J592" s="4613">
        <f>ROUND(I592*H592,2)</f>
        <v>0</v>
      </c>
      <c r="K592" s="4610" t="s">
        <v>142</v>
      </c>
      <c r="L592" s="2071"/>
      <c r="M592" s="2190" t="s">
        <v>3146</v>
      </c>
      <c r="N592" s="2163" t="s">
        <v>3181</v>
      </c>
      <c r="O592" s="2191">
        <v>0.06</v>
      </c>
      <c r="P592" s="2191">
        <f>O592*H592</f>
        <v>232.54829999999998</v>
      </c>
      <c r="Q592" s="2191">
        <v>5.5199999999999997E-3</v>
      </c>
      <c r="R592" s="2191">
        <f>Q592*H592</f>
        <v>21.394443599999999</v>
      </c>
      <c r="S592" s="2191">
        <v>0</v>
      </c>
      <c r="T592" s="2192">
        <f>S592*H592</f>
        <v>0</v>
      </c>
      <c r="AR592" s="2193" t="s">
        <v>856</v>
      </c>
      <c r="AT592" s="2193" t="s">
        <v>3286</v>
      </c>
      <c r="AU592" s="2193" t="s">
        <v>134</v>
      </c>
      <c r="AY592" s="2056" t="s">
        <v>3285</v>
      </c>
      <c r="BE592" s="2194">
        <f>IF(N592="základní",J592,0)</f>
        <v>0</v>
      </c>
      <c r="BF592" s="2194">
        <f>IF(N592="snížená",J592,0)</f>
        <v>0</v>
      </c>
      <c r="BG592" s="2194">
        <f>IF(N592="zákl. přenesená",J592,0)</f>
        <v>0</v>
      </c>
      <c r="BH592" s="2194">
        <f>IF(N592="sníž. přenesená",J592,0)</f>
        <v>0</v>
      </c>
      <c r="BI592" s="2194">
        <f>IF(N592="nulová",J592,0)</f>
        <v>0</v>
      </c>
      <c r="BJ592" s="2056" t="s">
        <v>134</v>
      </c>
      <c r="BK592" s="2194">
        <f>ROUND(I592*H592,2)</f>
        <v>0</v>
      </c>
      <c r="BL592" s="2056" t="s">
        <v>856</v>
      </c>
      <c r="BM592" s="2193" t="s">
        <v>3697</v>
      </c>
    </row>
    <row r="593" spans="2:65" s="2195" customFormat="1">
      <c r="B593" s="2196"/>
      <c r="D593" s="2197" t="s">
        <v>3303</v>
      </c>
      <c r="E593" s="2198" t="s">
        <v>3146</v>
      </c>
      <c r="F593" s="2199" t="s">
        <v>3569</v>
      </c>
      <c r="H593" s="2198" t="s">
        <v>3146</v>
      </c>
      <c r="L593" s="2196"/>
      <c r="M593" s="2200"/>
      <c r="T593" s="2201"/>
      <c r="AT593" s="2198" t="s">
        <v>3303</v>
      </c>
      <c r="AU593" s="2198" t="s">
        <v>134</v>
      </c>
      <c r="AV593" s="2195" t="s">
        <v>133</v>
      </c>
      <c r="AW593" s="2195" t="s">
        <v>3171</v>
      </c>
      <c r="AX593" s="2195" t="s">
        <v>3213</v>
      </c>
      <c r="AY593" s="2198" t="s">
        <v>3285</v>
      </c>
    </row>
    <row r="594" spans="2:65" s="2209" customFormat="1">
      <c r="B594" s="2210"/>
      <c r="D594" s="2197" t="s">
        <v>3303</v>
      </c>
      <c r="E594" s="2211" t="s">
        <v>3146</v>
      </c>
      <c r="F594" s="2212" t="s">
        <v>3685</v>
      </c>
      <c r="H594" s="2213">
        <v>1328.223</v>
      </c>
      <c r="L594" s="2210"/>
      <c r="M594" s="2214"/>
      <c r="T594" s="2215"/>
      <c r="AT594" s="2211" t="s">
        <v>3303</v>
      </c>
      <c r="AU594" s="2211" t="s">
        <v>134</v>
      </c>
      <c r="AV594" s="2209" t="s">
        <v>134</v>
      </c>
      <c r="AW594" s="2209" t="s">
        <v>3171</v>
      </c>
      <c r="AX594" s="2209" t="s">
        <v>3213</v>
      </c>
      <c r="AY594" s="2211" t="s">
        <v>3285</v>
      </c>
    </row>
    <row r="595" spans="2:65" s="2195" customFormat="1">
      <c r="B595" s="2196"/>
      <c r="D595" s="2197" t="s">
        <v>3303</v>
      </c>
      <c r="E595" s="2198" t="s">
        <v>3146</v>
      </c>
      <c r="F595" s="2199" t="s">
        <v>3661</v>
      </c>
      <c r="H595" s="2198" t="s">
        <v>3146</v>
      </c>
      <c r="L595" s="2196"/>
      <c r="M595" s="2200"/>
      <c r="T595" s="2201"/>
      <c r="AT595" s="2198" t="s">
        <v>3303</v>
      </c>
      <c r="AU595" s="2198" t="s">
        <v>134</v>
      </c>
      <c r="AV595" s="2195" t="s">
        <v>133</v>
      </c>
      <c r="AW595" s="2195" t="s">
        <v>3171</v>
      </c>
      <c r="AX595" s="2195" t="s">
        <v>3213</v>
      </c>
      <c r="AY595" s="2198" t="s">
        <v>3285</v>
      </c>
    </row>
    <row r="596" spans="2:65" s="2209" customFormat="1">
      <c r="B596" s="2210"/>
      <c r="D596" s="2197" t="s">
        <v>3303</v>
      </c>
      <c r="E596" s="2211" t="s">
        <v>3146</v>
      </c>
      <c r="F596" s="2212" t="s">
        <v>3686</v>
      </c>
      <c r="H596" s="2213">
        <v>778.37099999999998</v>
      </c>
      <c r="L596" s="2210"/>
      <c r="M596" s="2214"/>
      <c r="T596" s="2215"/>
      <c r="AT596" s="2211" t="s">
        <v>3303</v>
      </c>
      <c r="AU596" s="2211" t="s">
        <v>134</v>
      </c>
      <c r="AV596" s="2209" t="s">
        <v>134</v>
      </c>
      <c r="AW596" s="2209" t="s">
        <v>3171</v>
      </c>
      <c r="AX596" s="2209" t="s">
        <v>3213</v>
      </c>
      <c r="AY596" s="2211" t="s">
        <v>3285</v>
      </c>
    </row>
    <row r="597" spans="2:65" s="2195" customFormat="1">
      <c r="B597" s="2196"/>
      <c r="D597" s="2197" t="s">
        <v>3303</v>
      </c>
      <c r="E597" s="2198" t="s">
        <v>3146</v>
      </c>
      <c r="F597" s="2199" t="s">
        <v>3578</v>
      </c>
      <c r="H597" s="2198" t="s">
        <v>3146</v>
      </c>
      <c r="L597" s="2196"/>
      <c r="M597" s="2200"/>
      <c r="T597" s="2201"/>
      <c r="AT597" s="2198" t="s">
        <v>3303</v>
      </c>
      <c r="AU597" s="2198" t="s">
        <v>134</v>
      </c>
      <c r="AV597" s="2195" t="s">
        <v>133</v>
      </c>
      <c r="AW597" s="2195" t="s">
        <v>3171</v>
      </c>
      <c r="AX597" s="2195" t="s">
        <v>3213</v>
      </c>
      <c r="AY597" s="2198" t="s">
        <v>3285</v>
      </c>
    </row>
    <row r="598" spans="2:65" s="2209" customFormat="1">
      <c r="B598" s="2210"/>
      <c r="D598" s="2197" t="s">
        <v>3303</v>
      </c>
      <c r="E598" s="2211" t="s">
        <v>3146</v>
      </c>
      <c r="F598" s="2212" t="s">
        <v>3687</v>
      </c>
      <c r="H598" s="2213">
        <v>901.73800000000006</v>
      </c>
      <c r="L598" s="2210"/>
      <c r="M598" s="2214"/>
      <c r="T598" s="2215"/>
      <c r="AT598" s="2211" t="s">
        <v>3303</v>
      </c>
      <c r="AU598" s="2211" t="s">
        <v>134</v>
      </c>
      <c r="AV598" s="2209" t="s">
        <v>134</v>
      </c>
      <c r="AW598" s="2209" t="s">
        <v>3171</v>
      </c>
      <c r="AX598" s="2209" t="s">
        <v>3213</v>
      </c>
      <c r="AY598" s="2211" t="s">
        <v>3285</v>
      </c>
    </row>
    <row r="599" spans="2:65" s="2195" customFormat="1">
      <c r="B599" s="2196"/>
      <c r="D599" s="2197" t="s">
        <v>3303</v>
      </c>
      <c r="E599" s="2198" t="s">
        <v>3146</v>
      </c>
      <c r="F599" s="2199" t="s">
        <v>3580</v>
      </c>
      <c r="H599" s="2198" t="s">
        <v>3146</v>
      </c>
      <c r="L599" s="2196"/>
      <c r="M599" s="2200"/>
      <c r="T599" s="2201"/>
      <c r="AT599" s="2198" t="s">
        <v>3303</v>
      </c>
      <c r="AU599" s="2198" t="s">
        <v>134</v>
      </c>
      <c r="AV599" s="2195" t="s">
        <v>133</v>
      </c>
      <c r="AW599" s="2195" t="s">
        <v>3171</v>
      </c>
      <c r="AX599" s="2195" t="s">
        <v>3213</v>
      </c>
      <c r="AY599" s="2198" t="s">
        <v>3285</v>
      </c>
    </row>
    <row r="600" spans="2:65" s="2209" customFormat="1">
      <c r="B600" s="2210"/>
      <c r="D600" s="2197" t="s">
        <v>3303</v>
      </c>
      <c r="E600" s="2211" t="s">
        <v>3146</v>
      </c>
      <c r="F600" s="2212" t="s">
        <v>3688</v>
      </c>
      <c r="H600" s="2213">
        <v>867.47299999999996</v>
      </c>
      <c r="L600" s="2210"/>
      <c r="M600" s="2214"/>
      <c r="T600" s="2215"/>
      <c r="AT600" s="2211" t="s">
        <v>3303</v>
      </c>
      <c r="AU600" s="2211" t="s">
        <v>134</v>
      </c>
      <c r="AV600" s="2209" t="s">
        <v>134</v>
      </c>
      <c r="AW600" s="2209" t="s">
        <v>3171</v>
      </c>
      <c r="AX600" s="2209" t="s">
        <v>3213</v>
      </c>
      <c r="AY600" s="2211" t="s">
        <v>3285</v>
      </c>
    </row>
    <row r="601" spans="2:65" s="2216" customFormat="1">
      <c r="B601" s="2217"/>
      <c r="D601" s="2197" t="s">
        <v>3303</v>
      </c>
      <c r="E601" s="2218" t="s">
        <v>3146</v>
      </c>
      <c r="F601" s="2219" t="s">
        <v>3306</v>
      </c>
      <c r="H601" s="2220">
        <v>3875.8049999999998</v>
      </c>
      <c r="L601" s="2217"/>
      <c r="M601" s="2221"/>
      <c r="T601" s="2222"/>
      <c r="AT601" s="2218" t="s">
        <v>3303</v>
      </c>
      <c r="AU601" s="2218" t="s">
        <v>134</v>
      </c>
      <c r="AV601" s="2216" t="s">
        <v>856</v>
      </c>
      <c r="AW601" s="2216" t="s">
        <v>3171</v>
      </c>
      <c r="AX601" s="2216" t="s">
        <v>133</v>
      </c>
      <c r="AY601" s="2218" t="s">
        <v>3285</v>
      </c>
    </row>
    <row r="602" spans="2:65" s="2070" customFormat="1" ht="16.5" customHeight="1">
      <c r="B602" s="2164"/>
      <c r="C602" s="4608">
        <v>108</v>
      </c>
      <c r="D602" s="4608" t="s">
        <v>3286</v>
      </c>
      <c r="E602" s="4609" t="s">
        <v>10802</v>
      </c>
      <c r="F602" s="4610" t="s">
        <v>10803</v>
      </c>
      <c r="G602" s="4611" t="s">
        <v>141</v>
      </c>
      <c r="H602" s="4612">
        <v>2250</v>
      </c>
      <c r="I602" s="4613"/>
      <c r="J602" s="4613">
        <f>ROUND(I602*H602,2)</f>
        <v>0</v>
      </c>
      <c r="K602" s="4610" t="s">
        <v>3146</v>
      </c>
      <c r="L602" s="2071"/>
      <c r="M602" s="2190" t="s">
        <v>3146</v>
      </c>
      <c r="N602" s="2163" t="s">
        <v>3181</v>
      </c>
      <c r="O602" s="2191">
        <v>0</v>
      </c>
      <c r="P602" s="2191">
        <f>O602*H602</f>
        <v>0</v>
      </c>
      <c r="Q602" s="2191">
        <v>0</v>
      </c>
      <c r="R602" s="2191">
        <f>Q602*H602</f>
        <v>0</v>
      </c>
      <c r="S602" s="2191">
        <v>0</v>
      </c>
      <c r="T602" s="2192">
        <f>S602*H602</f>
        <v>0</v>
      </c>
      <c r="AR602" s="2193" t="s">
        <v>856</v>
      </c>
      <c r="AT602" s="2193" t="s">
        <v>3286</v>
      </c>
      <c r="AU602" s="2193" t="s">
        <v>134</v>
      </c>
      <c r="AY602" s="2056" t="s">
        <v>3285</v>
      </c>
      <c r="BE602" s="2194">
        <f>IF(N602="základní",J602,0)</f>
        <v>0</v>
      </c>
      <c r="BF602" s="2194">
        <f>IF(N602="snížená",J602,0)</f>
        <v>0</v>
      </c>
      <c r="BG602" s="2194">
        <f>IF(N602="zákl. přenesená",J602,0)</f>
        <v>0</v>
      </c>
      <c r="BH602" s="2194">
        <f>IF(N602="sníž. přenesená",J602,0)</f>
        <v>0</v>
      </c>
      <c r="BI602" s="2194">
        <f>IF(N602="nulová",J602,0)</f>
        <v>0</v>
      </c>
      <c r="BJ602" s="2056" t="s">
        <v>134</v>
      </c>
      <c r="BK602" s="2194">
        <f>ROUND(I602*H602,2)</f>
        <v>0</v>
      </c>
      <c r="BL602" s="2056" t="s">
        <v>856</v>
      </c>
      <c r="BM602" s="2193" t="s">
        <v>10804</v>
      </c>
    </row>
    <row r="603" spans="2:65" s="2070" customFormat="1" ht="24.2" customHeight="1">
      <c r="B603" s="2164"/>
      <c r="C603" s="4608">
        <v>109</v>
      </c>
      <c r="D603" s="4608" t="s">
        <v>3286</v>
      </c>
      <c r="E603" s="4609" t="s">
        <v>3701</v>
      </c>
      <c r="F603" s="4610" t="s">
        <v>3702</v>
      </c>
      <c r="G603" s="4611" t="s">
        <v>611</v>
      </c>
      <c r="H603" s="4612">
        <v>1641.2639999999999</v>
      </c>
      <c r="I603" s="4613"/>
      <c r="J603" s="4613">
        <f>ROUND(I603*H603,2)</f>
        <v>0</v>
      </c>
      <c r="K603" s="4610" t="s">
        <v>142</v>
      </c>
      <c r="L603" s="2071"/>
      <c r="M603" s="2190" t="s">
        <v>3146</v>
      </c>
      <c r="N603" s="2163" t="s">
        <v>3181</v>
      </c>
      <c r="O603" s="2191">
        <v>7.4999999999999997E-2</v>
      </c>
      <c r="P603" s="2191">
        <f>O603*H603</f>
        <v>123.09479999999999</v>
      </c>
      <c r="Q603" s="2191">
        <v>1.3999999999999999E-4</v>
      </c>
      <c r="R603" s="2191">
        <f>Q603*H603</f>
        <v>0.22977695999999997</v>
      </c>
      <c r="S603" s="2191">
        <v>0</v>
      </c>
      <c r="T603" s="2192">
        <f>S603*H603</f>
        <v>0</v>
      </c>
      <c r="AR603" s="2193" t="s">
        <v>856</v>
      </c>
      <c r="AT603" s="2193" t="s">
        <v>3286</v>
      </c>
      <c r="AU603" s="2193" t="s">
        <v>134</v>
      </c>
      <c r="AY603" s="2056" t="s">
        <v>3285</v>
      </c>
      <c r="BE603" s="2194">
        <f>IF(N603="základní",J603,0)</f>
        <v>0</v>
      </c>
      <c r="BF603" s="2194">
        <f>IF(N603="snížená",J603,0)</f>
        <v>0</v>
      </c>
      <c r="BG603" s="2194">
        <f>IF(N603="zákl. přenesená",J603,0)</f>
        <v>0</v>
      </c>
      <c r="BH603" s="2194">
        <f>IF(N603="sníž. přenesená",J603,0)</f>
        <v>0</v>
      </c>
      <c r="BI603" s="2194">
        <f>IF(N603="nulová",J603,0)</f>
        <v>0</v>
      </c>
      <c r="BJ603" s="2056" t="s">
        <v>134</v>
      </c>
      <c r="BK603" s="2194">
        <f>ROUND(I603*H603,2)</f>
        <v>0</v>
      </c>
      <c r="BL603" s="2056" t="s">
        <v>856</v>
      </c>
      <c r="BM603" s="2193" t="s">
        <v>3703</v>
      </c>
    </row>
    <row r="604" spans="2:65" s="2209" customFormat="1">
      <c r="B604" s="2210"/>
      <c r="D604" s="2197" t="s">
        <v>3303</v>
      </c>
      <c r="E604" s="2211" t="s">
        <v>3146</v>
      </c>
      <c r="F604" s="2212" t="s">
        <v>3704</v>
      </c>
      <c r="H604" s="2213">
        <v>1541.4</v>
      </c>
      <c r="L604" s="2210"/>
      <c r="M604" s="2214"/>
      <c r="T604" s="2215"/>
      <c r="AT604" s="2211" t="s">
        <v>3303</v>
      </c>
      <c r="AU604" s="2211" t="s">
        <v>134</v>
      </c>
      <c r="AV604" s="2209" t="s">
        <v>134</v>
      </c>
      <c r="AW604" s="2209" t="s">
        <v>3171</v>
      </c>
      <c r="AX604" s="2209" t="s">
        <v>3213</v>
      </c>
      <c r="AY604" s="2211" t="s">
        <v>3285</v>
      </c>
    </row>
    <row r="605" spans="2:65" s="2209" customFormat="1">
      <c r="B605" s="2210"/>
      <c r="D605" s="2197" t="s">
        <v>3303</v>
      </c>
      <c r="E605" s="2211" t="s">
        <v>3146</v>
      </c>
      <c r="F605" s="2212" t="s">
        <v>3705</v>
      </c>
      <c r="H605" s="2213">
        <v>99.864000000000004</v>
      </c>
      <c r="L605" s="2210"/>
      <c r="M605" s="2214"/>
      <c r="T605" s="2215"/>
      <c r="AT605" s="2211" t="s">
        <v>3303</v>
      </c>
      <c r="AU605" s="2211" t="s">
        <v>134</v>
      </c>
      <c r="AV605" s="2209" t="s">
        <v>134</v>
      </c>
      <c r="AW605" s="2209" t="s">
        <v>3171</v>
      </c>
      <c r="AX605" s="2209" t="s">
        <v>3213</v>
      </c>
      <c r="AY605" s="2211" t="s">
        <v>3285</v>
      </c>
    </row>
    <row r="606" spans="2:65" s="2216" customFormat="1">
      <c r="B606" s="2217"/>
      <c r="D606" s="2197" t="s">
        <v>3303</v>
      </c>
      <c r="E606" s="2218" t="s">
        <v>3146</v>
      </c>
      <c r="F606" s="2219" t="s">
        <v>3306</v>
      </c>
      <c r="H606" s="2220">
        <v>1641.2639999999999</v>
      </c>
      <c r="L606" s="2217"/>
      <c r="M606" s="2221"/>
      <c r="T606" s="2222"/>
      <c r="AT606" s="2218" t="s">
        <v>3303</v>
      </c>
      <c r="AU606" s="2218" t="s">
        <v>134</v>
      </c>
      <c r="AV606" s="2216" t="s">
        <v>856</v>
      </c>
      <c r="AW606" s="2216" t="s">
        <v>3171</v>
      </c>
      <c r="AX606" s="2216" t="s">
        <v>133</v>
      </c>
      <c r="AY606" s="2218" t="s">
        <v>3285</v>
      </c>
    </row>
    <row r="607" spans="2:65" s="2070" customFormat="1" ht="37.9" customHeight="1">
      <c r="B607" s="2164"/>
      <c r="C607" s="4608">
        <v>110</v>
      </c>
      <c r="D607" s="4608" t="s">
        <v>3286</v>
      </c>
      <c r="E607" s="4609" t="s">
        <v>10805</v>
      </c>
      <c r="F607" s="4610" t="s">
        <v>10806</v>
      </c>
      <c r="G607" s="4611" t="s">
        <v>611</v>
      </c>
      <c r="H607" s="4612">
        <v>50</v>
      </c>
      <c r="I607" s="4613"/>
      <c r="J607" s="4613">
        <f>ROUND(I607*H607,2)</f>
        <v>0</v>
      </c>
      <c r="K607" s="4610" t="s">
        <v>142</v>
      </c>
      <c r="L607" s="2071"/>
      <c r="M607" s="2190" t="s">
        <v>3146</v>
      </c>
      <c r="N607" s="2163" t="s">
        <v>3181</v>
      </c>
      <c r="O607" s="2191">
        <v>1</v>
      </c>
      <c r="P607" s="2191">
        <f>O607*H607</f>
        <v>50</v>
      </c>
      <c r="Q607" s="2191">
        <v>8.3499999999999998E-3</v>
      </c>
      <c r="R607" s="2191">
        <f>Q607*H607</f>
        <v>0.41749999999999998</v>
      </c>
      <c r="S607" s="2191">
        <v>0</v>
      </c>
      <c r="T607" s="2192">
        <f>S607*H607</f>
        <v>0</v>
      </c>
      <c r="AR607" s="2193" t="s">
        <v>856</v>
      </c>
      <c r="AT607" s="2193" t="s">
        <v>3286</v>
      </c>
      <c r="AU607" s="2193" t="s">
        <v>134</v>
      </c>
      <c r="AY607" s="2056" t="s">
        <v>3285</v>
      </c>
      <c r="BE607" s="2194">
        <f>IF(N607="základní",J607,0)</f>
        <v>0</v>
      </c>
      <c r="BF607" s="2194">
        <f>IF(N607="snížená",J607,0)</f>
        <v>0</v>
      </c>
      <c r="BG607" s="2194">
        <f>IF(N607="zákl. přenesená",J607,0)</f>
        <v>0</v>
      </c>
      <c r="BH607" s="2194">
        <f>IF(N607="sníž. přenesená",J607,0)</f>
        <v>0</v>
      </c>
      <c r="BI607" s="2194">
        <f>IF(N607="nulová",J607,0)</f>
        <v>0</v>
      </c>
      <c r="BJ607" s="2056" t="s">
        <v>134</v>
      </c>
      <c r="BK607" s="2194">
        <f>ROUND(I607*H607,2)</f>
        <v>0</v>
      </c>
      <c r="BL607" s="2056" t="s">
        <v>856</v>
      </c>
      <c r="BM607" s="2193" t="s">
        <v>10807</v>
      </c>
    </row>
    <row r="608" spans="2:65" s="2209" customFormat="1">
      <c r="B608" s="2210"/>
      <c r="D608" s="2197" t="s">
        <v>3303</v>
      </c>
      <c r="E608" s="2211" t="s">
        <v>3146</v>
      </c>
      <c r="F608" s="2212" t="s">
        <v>10808</v>
      </c>
      <c r="H608" s="2213">
        <v>50</v>
      </c>
      <c r="L608" s="2210"/>
      <c r="M608" s="2214"/>
      <c r="T608" s="2215"/>
      <c r="AT608" s="2211" t="s">
        <v>3303</v>
      </c>
      <c r="AU608" s="2211" t="s">
        <v>134</v>
      </c>
      <c r="AV608" s="2209" t="s">
        <v>134</v>
      </c>
      <c r="AW608" s="2209" t="s">
        <v>3171</v>
      </c>
      <c r="AX608" s="2209" t="s">
        <v>133</v>
      </c>
      <c r="AY608" s="2211" t="s">
        <v>3285</v>
      </c>
    </row>
    <row r="609" spans="2:65" s="2070" customFormat="1" ht="24.2" customHeight="1">
      <c r="B609" s="2164"/>
      <c r="C609" s="4614">
        <v>111</v>
      </c>
      <c r="D609" s="4614" t="s">
        <v>135</v>
      </c>
      <c r="E609" s="4615" t="s">
        <v>10809</v>
      </c>
      <c r="F609" s="4616" t="s">
        <v>10810</v>
      </c>
      <c r="G609" s="4617" t="s">
        <v>611</v>
      </c>
      <c r="H609" s="4618">
        <v>52.5</v>
      </c>
      <c r="I609" s="4619"/>
      <c r="J609" s="4619">
        <f>ROUND(I609*H609,2)</f>
        <v>0</v>
      </c>
      <c r="K609" s="4616" t="s">
        <v>142</v>
      </c>
      <c r="L609" s="2223"/>
      <c r="M609" s="2224" t="s">
        <v>3146</v>
      </c>
      <c r="N609" s="2225" t="s">
        <v>3181</v>
      </c>
      <c r="O609" s="2191">
        <v>0</v>
      </c>
      <c r="P609" s="2191">
        <f>O609*H609</f>
        <v>0</v>
      </c>
      <c r="Q609" s="2191">
        <v>1.0499999999999999E-3</v>
      </c>
      <c r="R609" s="2191">
        <f>Q609*H609</f>
        <v>5.5124999999999993E-2</v>
      </c>
      <c r="S609" s="2191">
        <v>0</v>
      </c>
      <c r="T609" s="2192">
        <f>S609*H609</f>
        <v>0</v>
      </c>
      <c r="AR609" s="2193" t="s">
        <v>1363</v>
      </c>
      <c r="AT609" s="2193" t="s">
        <v>135</v>
      </c>
      <c r="AU609" s="2193" t="s">
        <v>134</v>
      </c>
      <c r="AY609" s="2056" t="s">
        <v>3285</v>
      </c>
      <c r="BE609" s="2194">
        <f>IF(N609="základní",J609,0)</f>
        <v>0</v>
      </c>
      <c r="BF609" s="2194">
        <f>IF(N609="snížená",J609,0)</f>
        <v>0</v>
      </c>
      <c r="BG609" s="2194">
        <f>IF(N609="zákl. přenesená",J609,0)</f>
        <v>0</v>
      </c>
      <c r="BH609" s="2194">
        <f>IF(N609="sníž. přenesená",J609,0)</f>
        <v>0</v>
      </c>
      <c r="BI609" s="2194">
        <f>IF(N609="nulová",J609,0)</f>
        <v>0</v>
      </c>
      <c r="BJ609" s="2056" t="s">
        <v>134</v>
      </c>
      <c r="BK609" s="2194">
        <f>ROUND(I609*H609,2)</f>
        <v>0</v>
      </c>
      <c r="BL609" s="2056" t="s">
        <v>856</v>
      </c>
      <c r="BM609" s="2193" t="s">
        <v>10811</v>
      </c>
    </row>
    <row r="610" spans="2:65" s="2209" customFormat="1">
      <c r="B610" s="2210"/>
      <c r="D610" s="2197" t="s">
        <v>3303</v>
      </c>
      <c r="F610" s="2212" t="s">
        <v>10812</v>
      </c>
      <c r="H610" s="2213">
        <v>52.5</v>
      </c>
      <c r="L610" s="2210"/>
      <c r="M610" s="2214"/>
      <c r="T610" s="2215"/>
      <c r="AT610" s="2211" t="s">
        <v>3303</v>
      </c>
      <c r="AU610" s="2211" t="s">
        <v>134</v>
      </c>
      <c r="AV610" s="2209" t="s">
        <v>134</v>
      </c>
      <c r="AW610" s="2209" t="s">
        <v>3148</v>
      </c>
      <c r="AX610" s="2209" t="s">
        <v>133</v>
      </c>
      <c r="AY610" s="2211" t="s">
        <v>3285</v>
      </c>
    </row>
    <row r="611" spans="2:65" s="2070" customFormat="1" ht="44.25" customHeight="1">
      <c r="B611" s="2164"/>
      <c r="C611" s="4608">
        <v>112</v>
      </c>
      <c r="D611" s="4608" t="s">
        <v>3286</v>
      </c>
      <c r="E611" s="4609" t="s">
        <v>3707</v>
      </c>
      <c r="F611" s="4610" t="s">
        <v>3708</v>
      </c>
      <c r="G611" s="4611" t="s">
        <v>611</v>
      </c>
      <c r="H611" s="4612">
        <v>195.92599999999999</v>
      </c>
      <c r="I611" s="4613"/>
      <c r="J611" s="4613">
        <f>ROUND(I611*H611,2)</f>
        <v>0</v>
      </c>
      <c r="K611" s="4610" t="s">
        <v>142</v>
      </c>
      <c r="L611" s="2071"/>
      <c r="M611" s="2190" t="s">
        <v>3146</v>
      </c>
      <c r="N611" s="2163" t="s">
        <v>3181</v>
      </c>
      <c r="O611" s="2191">
        <v>1.08</v>
      </c>
      <c r="P611" s="2191">
        <f>O611*H611</f>
        <v>211.60007999999999</v>
      </c>
      <c r="Q611" s="2191">
        <v>8.6800000000000002E-3</v>
      </c>
      <c r="R611" s="2191">
        <f>Q611*H611</f>
        <v>1.70063768</v>
      </c>
      <c r="S611" s="2191">
        <v>0</v>
      </c>
      <c r="T611" s="2192">
        <f>S611*H611</f>
        <v>0</v>
      </c>
      <c r="AR611" s="2193" t="s">
        <v>856</v>
      </c>
      <c r="AT611" s="2193" t="s">
        <v>3286</v>
      </c>
      <c r="AU611" s="2193" t="s">
        <v>134</v>
      </c>
      <c r="AY611" s="2056" t="s">
        <v>3285</v>
      </c>
      <c r="BE611" s="2194">
        <f>IF(N611="základní",J611,0)</f>
        <v>0</v>
      </c>
      <c r="BF611" s="2194">
        <f>IF(N611="snížená",J611,0)</f>
        <v>0</v>
      </c>
      <c r="BG611" s="2194">
        <f>IF(N611="zákl. přenesená",J611,0)</f>
        <v>0</v>
      </c>
      <c r="BH611" s="2194">
        <f>IF(N611="sníž. přenesená",J611,0)</f>
        <v>0</v>
      </c>
      <c r="BI611" s="2194">
        <f>IF(N611="nulová",J611,0)</f>
        <v>0</v>
      </c>
      <c r="BJ611" s="2056" t="s">
        <v>134</v>
      </c>
      <c r="BK611" s="2194">
        <f>ROUND(I611*H611,2)</f>
        <v>0</v>
      </c>
      <c r="BL611" s="2056" t="s">
        <v>856</v>
      </c>
      <c r="BM611" s="2193" t="s">
        <v>3709</v>
      </c>
    </row>
    <row r="612" spans="2:65" s="2195" customFormat="1">
      <c r="B612" s="2196"/>
      <c r="D612" s="2197" t="s">
        <v>3303</v>
      </c>
      <c r="E612" s="2198" t="s">
        <v>3146</v>
      </c>
      <c r="F612" s="2199" t="s">
        <v>3517</v>
      </c>
      <c r="H612" s="2198" t="s">
        <v>3146</v>
      </c>
      <c r="L612" s="2196"/>
      <c r="M612" s="2200"/>
      <c r="T612" s="2201"/>
      <c r="AT612" s="2198" t="s">
        <v>3303</v>
      </c>
      <c r="AU612" s="2198" t="s">
        <v>134</v>
      </c>
      <c r="AV612" s="2195" t="s">
        <v>133</v>
      </c>
      <c r="AW612" s="2195" t="s">
        <v>3171</v>
      </c>
      <c r="AX612" s="2195" t="s">
        <v>3213</v>
      </c>
      <c r="AY612" s="2198" t="s">
        <v>3285</v>
      </c>
    </row>
    <row r="613" spans="2:65" s="2209" customFormat="1">
      <c r="B613" s="2210"/>
      <c r="D613" s="2197" t="s">
        <v>3303</v>
      </c>
      <c r="E613" s="2211" t="s">
        <v>3146</v>
      </c>
      <c r="F613" s="2212" t="s">
        <v>3710</v>
      </c>
      <c r="H613" s="2213">
        <v>100.051</v>
      </c>
      <c r="L613" s="2210"/>
      <c r="M613" s="2214"/>
      <c r="T613" s="2215"/>
      <c r="AT613" s="2211" t="s">
        <v>3303</v>
      </c>
      <c r="AU613" s="2211" t="s">
        <v>134</v>
      </c>
      <c r="AV613" s="2209" t="s">
        <v>134</v>
      </c>
      <c r="AW613" s="2209" t="s">
        <v>3171</v>
      </c>
      <c r="AX613" s="2209" t="s">
        <v>3213</v>
      </c>
      <c r="AY613" s="2211" t="s">
        <v>3285</v>
      </c>
    </row>
    <row r="614" spans="2:65" s="2209" customFormat="1">
      <c r="B614" s="2210"/>
      <c r="D614" s="2197" t="s">
        <v>3303</v>
      </c>
      <c r="E614" s="2211" t="s">
        <v>3146</v>
      </c>
      <c r="F614" s="2212" t="s">
        <v>3711</v>
      </c>
      <c r="H614" s="2213">
        <v>1.98</v>
      </c>
      <c r="L614" s="2210"/>
      <c r="M614" s="2214"/>
      <c r="T614" s="2215"/>
      <c r="AT614" s="2211" t="s">
        <v>3303</v>
      </c>
      <c r="AU614" s="2211" t="s">
        <v>134</v>
      </c>
      <c r="AV614" s="2209" t="s">
        <v>134</v>
      </c>
      <c r="AW614" s="2209" t="s">
        <v>3171</v>
      </c>
      <c r="AX614" s="2209" t="s">
        <v>3213</v>
      </c>
      <c r="AY614" s="2211" t="s">
        <v>3285</v>
      </c>
    </row>
    <row r="615" spans="2:65" s="2209" customFormat="1">
      <c r="B615" s="2210"/>
      <c r="D615" s="2197" t="s">
        <v>3303</v>
      </c>
      <c r="E615" s="2211" t="s">
        <v>3146</v>
      </c>
      <c r="F615" s="2212" t="s">
        <v>3712</v>
      </c>
      <c r="H615" s="2213">
        <v>93.894999999999996</v>
      </c>
      <c r="L615" s="2210"/>
      <c r="M615" s="2214"/>
      <c r="T615" s="2215"/>
      <c r="AT615" s="2211" t="s">
        <v>3303</v>
      </c>
      <c r="AU615" s="2211" t="s">
        <v>134</v>
      </c>
      <c r="AV615" s="2209" t="s">
        <v>134</v>
      </c>
      <c r="AW615" s="2209" t="s">
        <v>3171</v>
      </c>
      <c r="AX615" s="2209" t="s">
        <v>3213</v>
      </c>
      <c r="AY615" s="2211" t="s">
        <v>3285</v>
      </c>
    </row>
    <row r="616" spans="2:65" s="2216" customFormat="1">
      <c r="B616" s="2217"/>
      <c r="D616" s="2197" t="s">
        <v>3303</v>
      </c>
      <c r="E616" s="2218" t="s">
        <v>3146</v>
      </c>
      <c r="F616" s="2219" t="s">
        <v>3306</v>
      </c>
      <c r="H616" s="2220">
        <v>195.92599999999999</v>
      </c>
      <c r="L616" s="2217"/>
      <c r="M616" s="2221"/>
      <c r="T616" s="2222"/>
      <c r="AT616" s="2218" t="s">
        <v>3303</v>
      </c>
      <c r="AU616" s="2218" t="s">
        <v>134</v>
      </c>
      <c r="AV616" s="2216" t="s">
        <v>856</v>
      </c>
      <c r="AW616" s="2216" t="s">
        <v>3171</v>
      </c>
      <c r="AX616" s="2216" t="s">
        <v>133</v>
      </c>
      <c r="AY616" s="2218" t="s">
        <v>3285</v>
      </c>
    </row>
    <row r="617" spans="2:65" s="2070" customFormat="1" ht="24.2" customHeight="1">
      <c r="B617" s="2164"/>
      <c r="C617" s="4614">
        <v>113</v>
      </c>
      <c r="D617" s="4614" t="s">
        <v>135</v>
      </c>
      <c r="E617" s="4615" t="s">
        <v>3714</v>
      </c>
      <c r="F617" s="4616" t="s">
        <v>3715</v>
      </c>
      <c r="G617" s="4617" t="s">
        <v>611</v>
      </c>
      <c r="H617" s="4618">
        <v>205.72200000000001</v>
      </c>
      <c r="I617" s="4619"/>
      <c r="J617" s="4619">
        <f>ROUND(I617*H617,2)</f>
        <v>0</v>
      </c>
      <c r="K617" s="4616" t="s">
        <v>142</v>
      </c>
      <c r="L617" s="2223"/>
      <c r="M617" s="2224" t="s">
        <v>3146</v>
      </c>
      <c r="N617" s="2225" t="s">
        <v>3181</v>
      </c>
      <c r="O617" s="2191">
        <v>0</v>
      </c>
      <c r="P617" s="2191">
        <f>O617*H617</f>
        <v>0</v>
      </c>
      <c r="Q617" s="2191">
        <v>6.3E-3</v>
      </c>
      <c r="R617" s="2191">
        <f>Q617*H617</f>
        <v>1.2960486</v>
      </c>
      <c r="S617" s="2191">
        <v>0</v>
      </c>
      <c r="T617" s="2192">
        <f>S617*H617</f>
        <v>0</v>
      </c>
      <c r="AR617" s="2193" t="s">
        <v>1363</v>
      </c>
      <c r="AT617" s="2193" t="s">
        <v>135</v>
      </c>
      <c r="AU617" s="2193" t="s">
        <v>134</v>
      </c>
      <c r="AY617" s="2056" t="s">
        <v>3285</v>
      </c>
      <c r="BE617" s="2194">
        <f>IF(N617="základní",J617,0)</f>
        <v>0</v>
      </c>
      <c r="BF617" s="2194">
        <f>IF(N617="snížená",J617,0)</f>
        <v>0</v>
      </c>
      <c r="BG617" s="2194">
        <f>IF(N617="zákl. přenesená",J617,0)</f>
        <v>0</v>
      </c>
      <c r="BH617" s="2194">
        <f>IF(N617="sníž. přenesená",J617,0)</f>
        <v>0</v>
      </c>
      <c r="BI617" s="2194">
        <f>IF(N617="nulová",J617,0)</f>
        <v>0</v>
      </c>
      <c r="BJ617" s="2056" t="s">
        <v>134</v>
      </c>
      <c r="BK617" s="2194">
        <f>ROUND(I617*H617,2)</f>
        <v>0</v>
      </c>
      <c r="BL617" s="2056" t="s">
        <v>856</v>
      </c>
      <c r="BM617" s="2193" t="s">
        <v>3716</v>
      </c>
    </row>
    <row r="618" spans="2:65" s="2209" customFormat="1">
      <c r="B618" s="2210"/>
      <c r="D618" s="2197" t="s">
        <v>3303</v>
      </c>
      <c r="F618" s="2212" t="s">
        <v>3717</v>
      </c>
      <c r="H618" s="2213">
        <v>205.72200000000001</v>
      </c>
      <c r="L618" s="2210"/>
      <c r="M618" s="2214"/>
      <c r="T618" s="2215"/>
      <c r="AT618" s="2211" t="s">
        <v>3303</v>
      </c>
      <c r="AU618" s="2211" t="s">
        <v>134</v>
      </c>
      <c r="AV618" s="2209" t="s">
        <v>134</v>
      </c>
      <c r="AW618" s="2209" t="s">
        <v>3148</v>
      </c>
      <c r="AX618" s="2209" t="s">
        <v>133</v>
      </c>
      <c r="AY618" s="2211" t="s">
        <v>3285</v>
      </c>
    </row>
    <row r="619" spans="2:65" s="2070" customFormat="1" ht="44.25" customHeight="1">
      <c r="B619" s="2164"/>
      <c r="C619" s="4608">
        <v>114</v>
      </c>
      <c r="D619" s="4608" t="s">
        <v>3286</v>
      </c>
      <c r="E619" s="4609" t="s">
        <v>3719</v>
      </c>
      <c r="F619" s="4610" t="s">
        <v>3720</v>
      </c>
      <c r="G619" s="4611" t="s">
        <v>611</v>
      </c>
      <c r="H619" s="4612">
        <v>742.41</v>
      </c>
      <c r="I619" s="4613"/>
      <c r="J619" s="4613">
        <f>ROUND(I619*H619,2)</f>
        <v>0</v>
      </c>
      <c r="K619" s="4610" t="s">
        <v>142</v>
      </c>
      <c r="L619" s="2071"/>
      <c r="M619" s="2190" t="s">
        <v>3146</v>
      </c>
      <c r="N619" s="2163" t="s">
        <v>3181</v>
      </c>
      <c r="O619" s="2191">
        <v>1.1000000000000001</v>
      </c>
      <c r="P619" s="2191">
        <f>O619*H619</f>
        <v>816.65100000000007</v>
      </c>
      <c r="Q619" s="2191">
        <v>8.7600000000000004E-3</v>
      </c>
      <c r="R619" s="2191">
        <f>Q619*H619</f>
        <v>6.5035116000000004</v>
      </c>
      <c r="S619" s="2191">
        <v>0</v>
      </c>
      <c r="T619" s="2192">
        <f>S619*H619</f>
        <v>0</v>
      </c>
      <c r="AR619" s="2193" t="s">
        <v>856</v>
      </c>
      <c r="AT619" s="2193" t="s">
        <v>3286</v>
      </c>
      <c r="AU619" s="2193" t="s">
        <v>134</v>
      </c>
      <c r="AY619" s="2056" t="s">
        <v>3285</v>
      </c>
      <c r="BE619" s="2194">
        <f>IF(N619="základní",J619,0)</f>
        <v>0</v>
      </c>
      <c r="BF619" s="2194">
        <f>IF(N619="snížená",J619,0)</f>
        <v>0</v>
      </c>
      <c r="BG619" s="2194">
        <f>IF(N619="zákl. přenesená",J619,0)</f>
        <v>0</v>
      </c>
      <c r="BH619" s="2194">
        <f>IF(N619="sníž. přenesená",J619,0)</f>
        <v>0</v>
      </c>
      <c r="BI619" s="2194">
        <f>IF(N619="nulová",J619,0)</f>
        <v>0</v>
      </c>
      <c r="BJ619" s="2056" t="s">
        <v>134</v>
      </c>
      <c r="BK619" s="2194">
        <f>ROUND(I619*H619,2)</f>
        <v>0</v>
      </c>
      <c r="BL619" s="2056" t="s">
        <v>856</v>
      </c>
      <c r="BM619" s="2193" t="s">
        <v>3721</v>
      </c>
    </row>
    <row r="620" spans="2:65" s="2195" customFormat="1">
      <c r="B620" s="2196"/>
      <c r="D620" s="2197" t="s">
        <v>3303</v>
      </c>
      <c r="E620" s="2198" t="s">
        <v>3146</v>
      </c>
      <c r="F620" s="2199" t="s">
        <v>3722</v>
      </c>
      <c r="H620" s="2198" t="s">
        <v>3146</v>
      </c>
      <c r="L620" s="2196"/>
      <c r="M620" s="2200"/>
      <c r="T620" s="2201"/>
      <c r="AT620" s="2198" t="s">
        <v>3303</v>
      </c>
      <c r="AU620" s="2198" t="s">
        <v>134</v>
      </c>
      <c r="AV620" s="2195" t="s">
        <v>133</v>
      </c>
      <c r="AW620" s="2195" t="s">
        <v>3171</v>
      </c>
      <c r="AX620" s="2195" t="s">
        <v>3213</v>
      </c>
      <c r="AY620" s="2198" t="s">
        <v>3285</v>
      </c>
    </row>
    <row r="621" spans="2:65" s="2209" customFormat="1">
      <c r="B621" s="2210"/>
      <c r="D621" s="2197" t="s">
        <v>3303</v>
      </c>
      <c r="E621" s="2211" t="s">
        <v>3146</v>
      </c>
      <c r="F621" s="2212" t="s">
        <v>3723</v>
      </c>
      <c r="H621" s="2213">
        <v>642.54600000000005</v>
      </c>
      <c r="L621" s="2210"/>
      <c r="M621" s="2214"/>
      <c r="T621" s="2215"/>
      <c r="AT621" s="2211" t="s">
        <v>3303</v>
      </c>
      <c r="AU621" s="2211" t="s">
        <v>134</v>
      </c>
      <c r="AV621" s="2209" t="s">
        <v>134</v>
      </c>
      <c r="AW621" s="2209" t="s">
        <v>3171</v>
      </c>
      <c r="AX621" s="2209" t="s">
        <v>3213</v>
      </c>
      <c r="AY621" s="2211" t="s">
        <v>3285</v>
      </c>
    </row>
    <row r="622" spans="2:65" s="2195" customFormat="1">
      <c r="B622" s="2196"/>
      <c r="D622" s="2197" t="s">
        <v>3303</v>
      </c>
      <c r="E622" s="2198" t="s">
        <v>3146</v>
      </c>
      <c r="F622" s="2199" t="s">
        <v>3724</v>
      </c>
      <c r="H622" s="2198" t="s">
        <v>3146</v>
      </c>
      <c r="L622" s="2196"/>
      <c r="M622" s="2200"/>
      <c r="T622" s="2201"/>
      <c r="AT622" s="2198" t="s">
        <v>3303</v>
      </c>
      <c r="AU622" s="2198" t="s">
        <v>134</v>
      </c>
      <c r="AV622" s="2195" t="s">
        <v>133</v>
      </c>
      <c r="AW622" s="2195" t="s">
        <v>3171</v>
      </c>
      <c r="AX622" s="2195" t="s">
        <v>3213</v>
      </c>
      <c r="AY622" s="2198" t="s">
        <v>3285</v>
      </c>
    </row>
    <row r="623" spans="2:65" s="2209" customFormat="1">
      <c r="B623" s="2210"/>
      <c r="D623" s="2197" t="s">
        <v>3303</v>
      </c>
      <c r="E623" s="2211" t="s">
        <v>3146</v>
      </c>
      <c r="F623" s="2212" t="s">
        <v>3725</v>
      </c>
      <c r="H623" s="2213">
        <v>99.864000000000004</v>
      </c>
      <c r="L623" s="2210"/>
      <c r="M623" s="2214"/>
      <c r="T623" s="2215"/>
      <c r="AT623" s="2211" t="s">
        <v>3303</v>
      </c>
      <c r="AU623" s="2211" t="s">
        <v>134</v>
      </c>
      <c r="AV623" s="2209" t="s">
        <v>134</v>
      </c>
      <c r="AW623" s="2209" t="s">
        <v>3171</v>
      </c>
      <c r="AX623" s="2209" t="s">
        <v>3213</v>
      </c>
      <c r="AY623" s="2211" t="s">
        <v>3285</v>
      </c>
    </row>
    <row r="624" spans="2:65" s="2216" customFormat="1">
      <c r="B624" s="2217"/>
      <c r="D624" s="2197" t="s">
        <v>3303</v>
      </c>
      <c r="E624" s="2218" t="s">
        <v>3146</v>
      </c>
      <c r="F624" s="2219" t="s">
        <v>3306</v>
      </c>
      <c r="H624" s="2220">
        <v>742.41</v>
      </c>
      <c r="L624" s="2217"/>
      <c r="M624" s="2221"/>
      <c r="T624" s="2222"/>
      <c r="AT624" s="2218" t="s">
        <v>3303</v>
      </c>
      <c r="AU624" s="2218" t="s">
        <v>134</v>
      </c>
      <c r="AV624" s="2216" t="s">
        <v>856</v>
      </c>
      <c r="AW624" s="2216" t="s">
        <v>3171</v>
      </c>
      <c r="AX624" s="2216" t="s">
        <v>133</v>
      </c>
      <c r="AY624" s="2218" t="s">
        <v>3285</v>
      </c>
    </row>
    <row r="625" spans="2:65" s="2070" customFormat="1" ht="24.2" customHeight="1">
      <c r="B625" s="2164"/>
      <c r="C625" s="4614">
        <v>115</v>
      </c>
      <c r="D625" s="4614" t="s">
        <v>135</v>
      </c>
      <c r="E625" s="4615" t="s">
        <v>3727</v>
      </c>
      <c r="F625" s="4616" t="s">
        <v>3728</v>
      </c>
      <c r="G625" s="4617" t="s">
        <v>611</v>
      </c>
      <c r="H625" s="4618">
        <v>779.62</v>
      </c>
      <c r="I625" s="4619"/>
      <c r="J625" s="4619">
        <f>ROUND(I625*H625,2)</f>
        <v>0</v>
      </c>
      <c r="K625" s="4616" t="s">
        <v>142</v>
      </c>
      <c r="L625" s="2223"/>
      <c r="M625" s="2224" t="s">
        <v>3146</v>
      </c>
      <c r="N625" s="2225" t="s">
        <v>3181</v>
      </c>
      <c r="O625" s="2191">
        <v>0</v>
      </c>
      <c r="P625" s="2191">
        <f>O625*H625</f>
        <v>0</v>
      </c>
      <c r="Q625" s="2191">
        <v>3.5000000000000001E-3</v>
      </c>
      <c r="R625" s="2191">
        <f>Q625*H625</f>
        <v>2.7286700000000002</v>
      </c>
      <c r="S625" s="2191">
        <v>0</v>
      </c>
      <c r="T625" s="2192">
        <f>S625*H625</f>
        <v>0</v>
      </c>
      <c r="AR625" s="2193" t="s">
        <v>1363</v>
      </c>
      <c r="AT625" s="2193" t="s">
        <v>135</v>
      </c>
      <c r="AU625" s="2193" t="s">
        <v>134</v>
      </c>
      <c r="AY625" s="2056" t="s">
        <v>3285</v>
      </c>
      <c r="BE625" s="2194">
        <f>IF(N625="základní",J625,0)</f>
        <v>0</v>
      </c>
      <c r="BF625" s="2194">
        <f>IF(N625="snížená",J625,0)</f>
        <v>0</v>
      </c>
      <c r="BG625" s="2194">
        <f>IF(N625="zákl. přenesená",J625,0)</f>
        <v>0</v>
      </c>
      <c r="BH625" s="2194">
        <f>IF(N625="sníž. přenesená",J625,0)</f>
        <v>0</v>
      </c>
      <c r="BI625" s="2194">
        <f>IF(N625="nulová",J625,0)</f>
        <v>0</v>
      </c>
      <c r="BJ625" s="2056" t="s">
        <v>134</v>
      </c>
      <c r="BK625" s="2194">
        <f>ROUND(I625*H625,2)</f>
        <v>0</v>
      </c>
      <c r="BL625" s="2056" t="s">
        <v>856</v>
      </c>
      <c r="BM625" s="2193" t="s">
        <v>3729</v>
      </c>
    </row>
    <row r="626" spans="2:65" s="2209" customFormat="1">
      <c r="B626" s="2210"/>
      <c r="D626" s="2197" t="s">
        <v>3303</v>
      </c>
      <c r="F626" s="2212" t="s">
        <v>3730</v>
      </c>
      <c r="H626" s="2213">
        <v>779.62</v>
      </c>
      <c r="L626" s="2210"/>
      <c r="M626" s="2214"/>
      <c r="T626" s="2215"/>
      <c r="AT626" s="2211" t="s">
        <v>3303</v>
      </c>
      <c r="AU626" s="2211" t="s">
        <v>134</v>
      </c>
      <c r="AV626" s="2209" t="s">
        <v>134</v>
      </c>
      <c r="AW626" s="2209" t="s">
        <v>3148</v>
      </c>
      <c r="AX626" s="2209" t="s">
        <v>133</v>
      </c>
      <c r="AY626" s="2211" t="s">
        <v>3285</v>
      </c>
    </row>
    <row r="627" spans="2:65" s="2070" customFormat="1" ht="24.2" customHeight="1">
      <c r="B627" s="2164"/>
      <c r="C627" s="4614">
        <v>116</v>
      </c>
      <c r="D627" s="4614" t="s">
        <v>135</v>
      </c>
      <c r="E627" s="4615" t="s">
        <v>3732</v>
      </c>
      <c r="F627" s="4616" t="s">
        <v>3733</v>
      </c>
      <c r="G627" s="4617" t="s">
        <v>611</v>
      </c>
      <c r="H627" s="4618">
        <v>779.62</v>
      </c>
      <c r="I627" s="4619"/>
      <c r="J627" s="4619">
        <f>ROUND(I627*H627,2)</f>
        <v>0</v>
      </c>
      <c r="K627" s="4616" t="s">
        <v>142</v>
      </c>
      <c r="L627" s="2223"/>
      <c r="M627" s="2224" t="s">
        <v>3146</v>
      </c>
      <c r="N627" s="2225" t="s">
        <v>3181</v>
      </c>
      <c r="O627" s="2191">
        <v>0</v>
      </c>
      <c r="P627" s="2191">
        <f>O627*H627</f>
        <v>0</v>
      </c>
      <c r="Q627" s="2191">
        <v>4.1999999999999997E-3</v>
      </c>
      <c r="R627" s="2191">
        <f>Q627*H627</f>
        <v>3.2744039999999996</v>
      </c>
      <c r="S627" s="2191">
        <v>0</v>
      </c>
      <c r="T627" s="2192">
        <f>S627*H627</f>
        <v>0</v>
      </c>
      <c r="AR627" s="2193" t="s">
        <v>1363</v>
      </c>
      <c r="AT627" s="2193" t="s">
        <v>135</v>
      </c>
      <c r="AU627" s="2193" t="s">
        <v>134</v>
      </c>
      <c r="AY627" s="2056" t="s">
        <v>3285</v>
      </c>
      <c r="BE627" s="2194">
        <f>IF(N627="základní",J627,0)</f>
        <v>0</v>
      </c>
      <c r="BF627" s="2194">
        <f>IF(N627="snížená",J627,0)</f>
        <v>0</v>
      </c>
      <c r="BG627" s="2194">
        <f>IF(N627="zákl. přenesená",J627,0)</f>
        <v>0</v>
      </c>
      <c r="BH627" s="2194">
        <f>IF(N627="sníž. přenesená",J627,0)</f>
        <v>0</v>
      </c>
      <c r="BI627" s="2194">
        <f>IF(N627="nulová",J627,0)</f>
        <v>0</v>
      </c>
      <c r="BJ627" s="2056" t="s">
        <v>134</v>
      </c>
      <c r="BK627" s="2194">
        <f>ROUND(I627*H627,2)</f>
        <v>0</v>
      </c>
      <c r="BL627" s="2056" t="s">
        <v>856</v>
      </c>
      <c r="BM627" s="2193" t="s">
        <v>3734</v>
      </c>
    </row>
    <row r="628" spans="2:65" s="2209" customFormat="1">
      <c r="B628" s="2210"/>
      <c r="D628" s="2197" t="s">
        <v>3303</v>
      </c>
      <c r="F628" s="2212" t="s">
        <v>3730</v>
      </c>
      <c r="H628" s="2213">
        <v>779.62</v>
      </c>
      <c r="L628" s="2210"/>
      <c r="M628" s="2214"/>
      <c r="T628" s="2215"/>
      <c r="AT628" s="2211" t="s">
        <v>3303</v>
      </c>
      <c r="AU628" s="2211" t="s">
        <v>134</v>
      </c>
      <c r="AV628" s="2209" t="s">
        <v>134</v>
      </c>
      <c r="AW628" s="2209" t="s">
        <v>3148</v>
      </c>
      <c r="AX628" s="2209" t="s">
        <v>133</v>
      </c>
      <c r="AY628" s="2211" t="s">
        <v>3285</v>
      </c>
    </row>
    <row r="629" spans="2:65" s="2070" customFormat="1" ht="44.25" customHeight="1">
      <c r="B629" s="2164"/>
      <c r="C629" s="4608">
        <v>117</v>
      </c>
      <c r="D629" s="4608" t="s">
        <v>3286</v>
      </c>
      <c r="E629" s="4609" t="s">
        <v>10813</v>
      </c>
      <c r="F629" s="4610" t="s">
        <v>10814</v>
      </c>
      <c r="G629" s="4611" t="s">
        <v>611</v>
      </c>
      <c r="H629" s="4612">
        <v>258.82299999999998</v>
      </c>
      <c r="I629" s="4613"/>
      <c r="J629" s="4613">
        <f>ROUND(I629*H629,2)</f>
        <v>0</v>
      </c>
      <c r="K629" s="4610" t="s">
        <v>142</v>
      </c>
      <c r="L629" s="2071"/>
      <c r="M629" s="2190" t="s">
        <v>3146</v>
      </c>
      <c r="N629" s="2163" t="s">
        <v>3181</v>
      </c>
      <c r="O629" s="2191">
        <v>1.08</v>
      </c>
      <c r="P629" s="2191">
        <f>O629*H629</f>
        <v>279.52884</v>
      </c>
      <c r="Q629" s="2191">
        <v>1.1599999999999999E-2</v>
      </c>
      <c r="R629" s="2191">
        <f>Q629*H629</f>
        <v>3.0023467999999998</v>
      </c>
      <c r="S629" s="2191">
        <v>0</v>
      </c>
      <c r="T629" s="2192">
        <f>S629*H629</f>
        <v>0</v>
      </c>
      <c r="AR629" s="2193" t="s">
        <v>856</v>
      </c>
      <c r="AT629" s="2193" t="s">
        <v>3286</v>
      </c>
      <c r="AU629" s="2193" t="s">
        <v>134</v>
      </c>
      <c r="AY629" s="2056" t="s">
        <v>3285</v>
      </c>
      <c r="BE629" s="2194">
        <f>IF(N629="základní",J629,0)</f>
        <v>0</v>
      </c>
      <c r="BF629" s="2194">
        <f>IF(N629="snížená",J629,0)</f>
        <v>0</v>
      </c>
      <c r="BG629" s="2194">
        <f>IF(N629="zákl. přenesená",J629,0)</f>
        <v>0</v>
      </c>
      <c r="BH629" s="2194">
        <f>IF(N629="sníž. přenesená",J629,0)</f>
        <v>0</v>
      </c>
      <c r="BI629" s="2194">
        <f>IF(N629="nulová",J629,0)</f>
        <v>0</v>
      </c>
      <c r="BJ629" s="2056" t="s">
        <v>134</v>
      </c>
      <c r="BK629" s="2194">
        <f>ROUND(I629*H629,2)</f>
        <v>0</v>
      </c>
      <c r="BL629" s="2056" t="s">
        <v>856</v>
      </c>
      <c r="BM629" s="2193" t="s">
        <v>10815</v>
      </c>
    </row>
    <row r="630" spans="2:65" s="2195" customFormat="1">
      <c r="B630" s="2196"/>
      <c r="D630" s="2197" t="s">
        <v>3303</v>
      </c>
      <c r="E630" s="2198" t="s">
        <v>3146</v>
      </c>
      <c r="F630" s="2199" t="s">
        <v>10816</v>
      </c>
      <c r="H630" s="2198" t="s">
        <v>3146</v>
      </c>
      <c r="L630" s="2196"/>
      <c r="M630" s="2200"/>
      <c r="T630" s="2201"/>
      <c r="AT630" s="2198" t="s">
        <v>3303</v>
      </c>
      <c r="AU630" s="2198" t="s">
        <v>134</v>
      </c>
      <c r="AV630" s="2195" t="s">
        <v>133</v>
      </c>
      <c r="AW630" s="2195" t="s">
        <v>3171</v>
      </c>
      <c r="AX630" s="2195" t="s">
        <v>3213</v>
      </c>
      <c r="AY630" s="2198" t="s">
        <v>3285</v>
      </c>
    </row>
    <row r="631" spans="2:65" s="2209" customFormat="1">
      <c r="B631" s="2210"/>
      <c r="D631" s="2197" t="s">
        <v>3303</v>
      </c>
      <c r="E631" s="2211" t="s">
        <v>3146</v>
      </c>
      <c r="F631" s="2212" t="s">
        <v>10817</v>
      </c>
      <c r="H631" s="2213">
        <v>258.82299999999998</v>
      </c>
      <c r="L631" s="2210"/>
      <c r="M631" s="2214"/>
      <c r="T631" s="2215"/>
      <c r="AT631" s="2211" t="s">
        <v>3303</v>
      </c>
      <c r="AU631" s="2211" t="s">
        <v>134</v>
      </c>
      <c r="AV631" s="2209" t="s">
        <v>134</v>
      </c>
      <c r="AW631" s="2209" t="s">
        <v>3171</v>
      </c>
      <c r="AX631" s="2209" t="s">
        <v>3213</v>
      </c>
      <c r="AY631" s="2211" t="s">
        <v>3285</v>
      </c>
    </row>
    <row r="632" spans="2:65" s="2216" customFormat="1">
      <c r="B632" s="2217"/>
      <c r="D632" s="2197" t="s">
        <v>3303</v>
      </c>
      <c r="E632" s="2218" t="s">
        <v>3146</v>
      </c>
      <c r="F632" s="2219" t="s">
        <v>3306</v>
      </c>
      <c r="H632" s="2220">
        <v>258.82299999999998</v>
      </c>
      <c r="L632" s="2217"/>
      <c r="M632" s="2221"/>
      <c r="T632" s="2222"/>
      <c r="AT632" s="2218" t="s">
        <v>3303</v>
      </c>
      <c r="AU632" s="2218" t="s">
        <v>134</v>
      </c>
      <c r="AV632" s="2216" t="s">
        <v>856</v>
      </c>
      <c r="AW632" s="2216" t="s">
        <v>3171</v>
      </c>
      <c r="AX632" s="2216" t="s">
        <v>133</v>
      </c>
      <c r="AY632" s="2218" t="s">
        <v>3285</v>
      </c>
    </row>
    <row r="633" spans="2:65" s="2070" customFormat="1" ht="24.2" customHeight="1">
      <c r="B633" s="2164"/>
      <c r="C633" s="4614">
        <v>118</v>
      </c>
      <c r="D633" s="4614" t="s">
        <v>135</v>
      </c>
      <c r="E633" s="4615" t="s">
        <v>10818</v>
      </c>
      <c r="F633" s="4616" t="s">
        <v>10819</v>
      </c>
      <c r="G633" s="4617" t="s">
        <v>611</v>
      </c>
      <c r="H633" s="4618">
        <v>271.76400000000001</v>
      </c>
      <c r="I633" s="4619"/>
      <c r="J633" s="4619">
        <f>ROUND(I633*H633,2)</f>
        <v>0</v>
      </c>
      <c r="K633" s="4616" t="s">
        <v>142</v>
      </c>
      <c r="L633" s="2223"/>
      <c r="M633" s="2224" t="s">
        <v>3146</v>
      </c>
      <c r="N633" s="2225" t="s">
        <v>3181</v>
      </c>
      <c r="O633" s="2191">
        <v>0</v>
      </c>
      <c r="P633" s="2191">
        <f>O633*H633</f>
        <v>0</v>
      </c>
      <c r="Q633" s="2191">
        <v>1.7999999999999999E-2</v>
      </c>
      <c r="R633" s="2191">
        <f>Q633*H633</f>
        <v>4.8917519999999994</v>
      </c>
      <c r="S633" s="2191">
        <v>0</v>
      </c>
      <c r="T633" s="2192">
        <f>S633*H633</f>
        <v>0</v>
      </c>
      <c r="AR633" s="2193" t="s">
        <v>1363</v>
      </c>
      <c r="AT633" s="2193" t="s">
        <v>135</v>
      </c>
      <c r="AU633" s="2193" t="s">
        <v>134</v>
      </c>
      <c r="AY633" s="2056" t="s">
        <v>3285</v>
      </c>
      <c r="BE633" s="2194">
        <f>IF(N633="základní",J633,0)</f>
        <v>0</v>
      </c>
      <c r="BF633" s="2194">
        <f>IF(N633="snížená",J633,0)</f>
        <v>0</v>
      </c>
      <c r="BG633" s="2194">
        <f>IF(N633="zákl. přenesená",J633,0)</f>
        <v>0</v>
      </c>
      <c r="BH633" s="2194">
        <f>IF(N633="sníž. přenesená",J633,0)</f>
        <v>0</v>
      </c>
      <c r="BI633" s="2194">
        <f>IF(N633="nulová",J633,0)</f>
        <v>0</v>
      </c>
      <c r="BJ633" s="2056" t="s">
        <v>134</v>
      </c>
      <c r="BK633" s="2194">
        <f>ROUND(I633*H633,2)</f>
        <v>0</v>
      </c>
      <c r="BL633" s="2056" t="s">
        <v>856</v>
      </c>
      <c r="BM633" s="2193" t="s">
        <v>10820</v>
      </c>
    </row>
    <row r="634" spans="2:65" s="2209" customFormat="1">
      <c r="B634" s="2210"/>
      <c r="D634" s="2197" t="s">
        <v>3303</v>
      </c>
      <c r="F634" s="2212" t="s">
        <v>10821</v>
      </c>
      <c r="H634" s="2213">
        <v>271.76400000000001</v>
      </c>
      <c r="L634" s="2210"/>
      <c r="M634" s="2214"/>
      <c r="T634" s="2215"/>
      <c r="AT634" s="2211" t="s">
        <v>3303</v>
      </c>
      <c r="AU634" s="2211" t="s">
        <v>134</v>
      </c>
      <c r="AV634" s="2209" t="s">
        <v>134</v>
      </c>
      <c r="AW634" s="2209" t="s">
        <v>3148</v>
      </c>
      <c r="AX634" s="2209" t="s">
        <v>133</v>
      </c>
      <c r="AY634" s="2211" t="s">
        <v>3285</v>
      </c>
    </row>
    <row r="635" spans="2:65" s="2070" customFormat="1" ht="49.15" customHeight="1">
      <c r="B635" s="2164"/>
      <c r="C635" s="4608">
        <v>119</v>
      </c>
      <c r="D635" s="4608" t="s">
        <v>3286</v>
      </c>
      <c r="E635" s="4609" t="s">
        <v>3736</v>
      </c>
      <c r="F635" s="4610" t="s">
        <v>3737</v>
      </c>
      <c r="G635" s="4611" t="s">
        <v>611</v>
      </c>
      <c r="H635" s="4612">
        <v>18.347999999999999</v>
      </c>
      <c r="I635" s="4613"/>
      <c r="J635" s="4613">
        <f>ROUND(I635*H635,2)</f>
        <v>0</v>
      </c>
      <c r="K635" s="4610" t="s">
        <v>142</v>
      </c>
      <c r="L635" s="2071"/>
      <c r="M635" s="2190" t="s">
        <v>3146</v>
      </c>
      <c r="N635" s="2163" t="s">
        <v>3181</v>
      </c>
      <c r="O635" s="2191">
        <v>1.1000000000000001</v>
      </c>
      <c r="P635" s="2191">
        <f>O635*H635</f>
        <v>20.1828</v>
      </c>
      <c r="Q635" s="2191">
        <v>1.1679999999999999E-2</v>
      </c>
      <c r="R635" s="2191">
        <f>Q635*H635</f>
        <v>0.21430463999999999</v>
      </c>
      <c r="S635" s="2191">
        <v>0</v>
      </c>
      <c r="T635" s="2192">
        <f>S635*H635</f>
        <v>0</v>
      </c>
      <c r="AR635" s="2193" t="s">
        <v>856</v>
      </c>
      <c r="AT635" s="2193" t="s">
        <v>3286</v>
      </c>
      <c r="AU635" s="2193" t="s">
        <v>134</v>
      </c>
      <c r="AY635" s="2056" t="s">
        <v>3285</v>
      </c>
      <c r="BE635" s="2194">
        <f>IF(N635="základní",J635,0)</f>
        <v>0</v>
      </c>
      <c r="BF635" s="2194">
        <f>IF(N635="snížená",J635,0)</f>
        <v>0</v>
      </c>
      <c r="BG635" s="2194">
        <f>IF(N635="zákl. přenesená",J635,0)</f>
        <v>0</v>
      </c>
      <c r="BH635" s="2194">
        <f>IF(N635="sníž. přenesená",J635,0)</f>
        <v>0</v>
      </c>
      <c r="BI635" s="2194">
        <f>IF(N635="nulová",J635,0)</f>
        <v>0</v>
      </c>
      <c r="BJ635" s="2056" t="s">
        <v>134</v>
      </c>
      <c r="BK635" s="2194">
        <f>ROUND(I635*H635,2)</f>
        <v>0</v>
      </c>
      <c r="BL635" s="2056" t="s">
        <v>856</v>
      </c>
      <c r="BM635" s="2193" t="s">
        <v>3738</v>
      </c>
    </row>
    <row r="636" spans="2:65" s="2209" customFormat="1">
      <c r="B636" s="2210"/>
      <c r="D636" s="2197" t="s">
        <v>3303</v>
      </c>
      <c r="E636" s="2211" t="s">
        <v>3146</v>
      </c>
      <c r="F636" s="2212" t="s">
        <v>3739</v>
      </c>
      <c r="H636" s="2213">
        <v>18.347999999999999</v>
      </c>
      <c r="L636" s="2210"/>
      <c r="M636" s="2214"/>
      <c r="T636" s="2215"/>
      <c r="AT636" s="2211" t="s">
        <v>3303</v>
      </c>
      <c r="AU636" s="2211" t="s">
        <v>134</v>
      </c>
      <c r="AV636" s="2209" t="s">
        <v>134</v>
      </c>
      <c r="AW636" s="2209" t="s">
        <v>3171</v>
      </c>
      <c r="AX636" s="2209" t="s">
        <v>3213</v>
      </c>
      <c r="AY636" s="2211" t="s">
        <v>3285</v>
      </c>
    </row>
    <row r="637" spans="2:65" s="2216" customFormat="1">
      <c r="B637" s="2217"/>
      <c r="D637" s="2197" t="s">
        <v>3303</v>
      </c>
      <c r="E637" s="2218" t="s">
        <v>3146</v>
      </c>
      <c r="F637" s="2219" t="s">
        <v>3306</v>
      </c>
      <c r="H637" s="2220">
        <v>18.347999999999999</v>
      </c>
      <c r="L637" s="2217"/>
      <c r="M637" s="2221"/>
      <c r="T637" s="2222"/>
      <c r="AT637" s="2218" t="s">
        <v>3303</v>
      </c>
      <c r="AU637" s="2218" t="s">
        <v>134</v>
      </c>
      <c r="AV637" s="2216" t="s">
        <v>856</v>
      </c>
      <c r="AW637" s="2216" t="s">
        <v>3171</v>
      </c>
      <c r="AX637" s="2216" t="s">
        <v>133</v>
      </c>
      <c r="AY637" s="2218" t="s">
        <v>3285</v>
      </c>
    </row>
    <row r="638" spans="2:65" s="2070" customFormat="1" ht="24.2" customHeight="1">
      <c r="B638" s="2164"/>
      <c r="C638" s="4614">
        <v>120</v>
      </c>
      <c r="D638" s="4614" t="s">
        <v>135</v>
      </c>
      <c r="E638" s="4615" t="s">
        <v>3698</v>
      </c>
      <c r="F638" s="4616" t="s">
        <v>3699</v>
      </c>
      <c r="G638" s="4617" t="s">
        <v>611</v>
      </c>
      <c r="H638" s="4618">
        <v>19.265000000000001</v>
      </c>
      <c r="I638" s="4619"/>
      <c r="J638" s="4619">
        <f>ROUND(I638*H638,2)</f>
        <v>0</v>
      </c>
      <c r="K638" s="4616" t="s">
        <v>142</v>
      </c>
      <c r="L638" s="2223"/>
      <c r="M638" s="2224" t="s">
        <v>3146</v>
      </c>
      <c r="N638" s="2225" t="s">
        <v>3181</v>
      </c>
      <c r="O638" s="2191">
        <v>0</v>
      </c>
      <c r="P638" s="2191">
        <f>O638*H638</f>
        <v>0</v>
      </c>
      <c r="Q638" s="2191">
        <v>2.1000000000000001E-2</v>
      </c>
      <c r="R638" s="2191">
        <f>Q638*H638</f>
        <v>0.40456500000000006</v>
      </c>
      <c r="S638" s="2191">
        <v>0</v>
      </c>
      <c r="T638" s="2192">
        <f>S638*H638</f>
        <v>0</v>
      </c>
      <c r="AR638" s="2193" t="s">
        <v>1363</v>
      </c>
      <c r="AT638" s="2193" t="s">
        <v>135</v>
      </c>
      <c r="AU638" s="2193" t="s">
        <v>134</v>
      </c>
      <c r="AY638" s="2056" t="s">
        <v>3285</v>
      </c>
      <c r="BE638" s="2194">
        <f>IF(N638="základní",J638,0)</f>
        <v>0</v>
      </c>
      <c r="BF638" s="2194">
        <f>IF(N638="snížená",J638,0)</f>
        <v>0</v>
      </c>
      <c r="BG638" s="2194">
        <f>IF(N638="zákl. přenesená",J638,0)</f>
        <v>0</v>
      </c>
      <c r="BH638" s="2194">
        <f>IF(N638="sníž. přenesená",J638,0)</f>
        <v>0</v>
      </c>
      <c r="BI638" s="2194">
        <f>IF(N638="nulová",J638,0)</f>
        <v>0</v>
      </c>
      <c r="BJ638" s="2056" t="s">
        <v>134</v>
      </c>
      <c r="BK638" s="2194">
        <f>ROUND(I638*H638,2)</f>
        <v>0</v>
      </c>
      <c r="BL638" s="2056" t="s">
        <v>856</v>
      </c>
      <c r="BM638" s="2193" t="s">
        <v>3741</v>
      </c>
    </row>
    <row r="639" spans="2:65" s="2209" customFormat="1">
      <c r="B639" s="2210"/>
      <c r="D639" s="2197" t="s">
        <v>3303</v>
      </c>
      <c r="F639" s="2212" t="s">
        <v>3742</v>
      </c>
      <c r="H639" s="2213">
        <v>19.265000000000001</v>
      </c>
      <c r="L639" s="2210"/>
      <c r="M639" s="2214"/>
      <c r="T639" s="2215"/>
      <c r="AT639" s="2211" t="s">
        <v>3303</v>
      </c>
      <c r="AU639" s="2211" t="s">
        <v>134</v>
      </c>
      <c r="AV639" s="2209" t="s">
        <v>134</v>
      </c>
      <c r="AW639" s="2209" t="s">
        <v>3148</v>
      </c>
      <c r="AX639" s="2209" t="s">
        <v>133</v>
      </c>
      <c r="AY639" s="2211" t="s">
        <v>3285</v>
      </c>
    </row>
    <row r="640" spans="2:65" s="2070" customFormat="1" ht="44.25" customHeight="1">
      <c r="B640" s="2164"/>
      <c r="C640" s="4608">
        <v>121</v>
      </c>
      <c r="D640" s="4608" t="s">
        <v>3286</v>
      </c>
      <c r="E640" s="4609" t="s">
        <v>3744</v>
      </c>
      <c r="F640" s="4610" t="s">
        <v>3745</v>
      </c>
      <c r="G640" s="4611" t="s">
        <v>611</v>
      </c>
      <c r="H640" s="4612">
        <v>1541.4</v>
      </c>
      <c r="I640" s="4613"/>
      <c r="J640" s="4613">
        <f>ROUND(I640*H640,2)</f>
        <v>0</v>
      </c>
      <c r="K640" s="4610" t="s">
        <v>142</v>
      </c>
      <c r="L640" s="2071"/>
      <c r="M640" s="2190" t="s">
        <v>3146</v>
      </c>
      <c r="N640" s="2163" t="s">
        <v>3181</v>
      </c>
      <c r="O640" s="2191">
        <v>1.1399999999999999</v>
      </c>
      <c r="P640" s="2191">
        <f>O640*H640</f>
        <v>1757.1959999999999</v>
      </c>
      <c r="Q640" s="2191">
        <v>1.184E-2</v>
      </c>
      <c r="R640" s="2191">
        <f>Q640*H640</f>
        <v>18.250176</v>
      </c>
      <c r="S640" s="2191">
        <v>0</v>
      </c>
      <c r="T640" s="2192">
        <f>S640*H640</f>
        <v>0</v>
      </c>
      <c r="AR640" s="2193" t="s">
        <v>856</v>
      </c>
      <c r="AT640" s="2193" t="s">
        <v>3286</v>
      </c>
      <c r="AU640" s="2193" t="s">
        <v>134</v>
      </c>
      <c r="AY640" s="2056" t="s">
        <v>3285</v>
      </c>
      <c r="BE640" s="2194">
        <f>IF(N640="základní",J640,0)</f>
        <v>0</v>
      </c>
      <c r="BF640" s="2194">
        <f>IF(N640="snížená",J640,0)</f>
        <v>0</v>
      </c>
      <c r="BG640" s="2194">
        <f>IF(N640="zákl. přenesená",J640,0)</f>
        <v>0</v>
      </c>
      <c r="BH640" s="2194">
        <f>IF(N640="sníž. přenesená",J640,0)</f>
        <v>0</v>
      </c>
      <c r="BI640" s="2194">
        <f>IF(N640="nulová",J640,0)</f>
        <v>0</v>
      </c>
      <c r="BJ640" s="2056" t="s">
        <v>134</v>
      </c>
      <c r="BK640" s="2194">
        <f>ROUND(I640*H640,2)</f>
        <v>0</v>
      </c>
      <c r="BL640" s="2056" t="s">
        <v>856</v>
      </c>
      <c r="BM640" s="2193" t="s">
        <v>3746</v>
      </c>
    </row>
    <row r="641" spans="2:65" s="2195" customFormat="1">
      <c r="B641" s="2196"/>
      <c r="D641" s="2197" t="s">
        <v>3303</v>
      </c>
      <c r="E641" s="2198" t="s">
        <v>3146</v>
      </c>
      <c r="F641" s="2199" t="s">
        <v>3747</v>
      </c>
      <c r="H641" s="2198" t="s">
        <v>3146</v>
      </c>
      <c r="L641" s="2196"/>
      <c r="M641" s="2200"/>
      <c r="T641" s="2201"/>
      <c r="AT641" s="2198" t="s">
        <v>3303</v>
      </c>
      <c r="AU641" s="2198" t="s">
        <v>134</v>
      </c>
      <c r="AV641" s="2195" t="s">
        <v>133</v>
      </c>
      <c r="AW641" s="2195" t="s">
        <v>3171</v>
      </c>
      <c r="AX641" s="2195" t="s">
        <v>3213</v>
      </c>
      <c r="AY641" s="2198" t="s">
        <v>3285</v>
      </c>
    </row>
    <row r="642" spans="2:65" s="2209" customFormat="1">
      <c r="B642" s="2210"/>
      <c r="D642" s="2197" t="s">
        <v>3303</v>
      </c>
      <c r="E642" s="2211" t="s">
        <v>3146</v>
      </c>
      <c r="F642" s="2212" t="s">
        <v>3748</v>
      </c>
      <c r="H642" s="2213">
        <v>1541.4</v>
      </c>
      <c r="L642" s="2210"/>
      <c r="M642" s="2214"/>
      <c r="T642" s="2215"/>
      <c r="AT642" s="2211" t="s">
        <v>3303</v>
      </c>
      <c r="AU642" s="2211" t="s">
        <v>134</v>
      </c>
      <c r="AV642" s="2209" t="s">
        <v>134</v>
      </c>
      <c r="AW642" s="2209" t="s">
        <v>3171</v>
      </c>
      <c r="AX642" s="2209" t="s">
        <v>3213</v>
      </c>
      <c r="AY642" s="2211" t="s">
        <v>3285</v>
      </c>
    </row>
    <row r="643" spans="2:65" s="2216" customFormat="1">
      <c r="B643" s="2217"/>
      <c r="D643" s="2197" t="s">
        <v>3303</v>
      </c>
      <c r="E643" s="2218" t="s">
        <v>3146</v>
      </c>
      <c r="F643" s="2219" t="s">
        <v>3306</v>
      </c>
      <c r="H643" s="2220">
        <v>1541.4</v>
      </c>
      <c r="L643" s="2217"/>
      <c r="M643" s="2221"/>
      <c r="T643" s="2222"/>
      <c r="AT643" s="2218" t="s">
        <v>3303</v>
      </c>
      <c r="AU643" s="2218" t="s">
        <v>134</v>
      </c>
      <c r="AV643" s="2216" t="s">
        <v>856</v>
      </c>
      <c r="AW643" s="2216" t="s">
        <v>3171</v>
      </c>
      <c r="AX643" s="2216" t="s">
        <v>133</v>
      </c>
      <c r="AY643" s="2218" t="s">
        <v>3285</v>
      </c>
    </row>
    <row r="644" spans="2:65" s="2070" customFormat="1" ht="24.2" customHeight="1">
      <c r="B644" s="2164"/>
      <c r="C644" s="4614">
        <v>122</v>
      </c>
      <c r="D644" s="4614" t="s">
        <v>135</v>
      </c>
      <c r="E644" s="4615" t="s">
        <v>3750</v>
      </c>
      <c r="F644" s="4616" t="s">
        <v>3751</v>
      </c>
      <c r="G644" s="4617" t="s">
        <v>611</v>
      </c>
      <c r="H644" s="4618">
        <v>1664.712</v>
      </c>
      <c r="I644" s="4619"/>
      <c r="J644" s="4619">
        <f>ROUND(I644*H644,2)</f>
        <v>0</v>
      </c>
      <c r="K644" s="4616" t="s">
        <v>142</v>
      </c>
      <c r="L644" s="2223"/>
      <c r="M644" s="2224" t="s">
        <v>3146</v>
      </c>
      <c r="N644" s="2225" t="s">
        <v>3181</v>
      </c>
      <c r="O644" s="2191">
        <v>0</v>
      </c>
      <c r="P644" s="2191">
        <f>O644*H644</f>
        <v>0</v>
      </c>
      <c r="Q644" s="2191">
        <v>2.9499999999999998E-2</v>
      </c>
      <c r="R644" s="2191">
        <f>Q644*H644</f>
        <v>49.109003999999999</v>
      </c>
      <c r="S644" s="2191">
        <v>0</v>
      </c>
      <c r="T644" s="2192">
        <f>S644*H644</f>
        <v>0</v>
      </c>
      <c r="AR644" s="2193" t="s">
        <v>1363</v>
      </c>
      <c r="AT644" s="2193" t="s">
        <v>135</v>
      </c>
      <c r="AU644" s="2193" t="s">
        <v>134</v>
      </c>
      <c r="AY644" s="2056" t="s">
        <v>3285</v>
      </c>
      <c r="BE644" s="2194">
        <f>IF(N644="základní",J644,0)</f>
        <v>0</v>
      </c>
      <c r="BF644" s="2194">
        <f>IF(N644="snížená",J644,0)</f>
        <v>0</v>
      </c>
      <c r="BG644" s="2194">
        <f>IF(N644="zákl. přenesená",J644,0)</f>
        <v>0</v>
      </c>
      <c r="BH644" s="2194">
        <f>IF(N644="sníž. přenesená",J644,0)</f>
        <v>0</v>
      </c>
      <c r="BI644" s="2194">
        <f>IF(N644="nulová",J644,0)</f>
        <v>0</v>
      </c>
      <c r="BJ644" s="2056" t="s">
        <v>134</v>
      </c>
      <c r="BK644" s="2194">
        <f>ROUND(I644*H644,2)</f>
        <v>0</v>
      </c>
      <c r="BL644" s="2056" t="s">
        <v>856</v>
      </c>
      <c r="BM644" s="2193" t="s">
        <v>3752</v>
      </c>
    </row>
    <row r="645" spans="2:65" s="2209" customFormat="1">
      <c r="B645" s="2210"/>
      <c r="D645" s="2197" t="s">
        <v>3303</v>
      </c>
      <c r="F645" s="2212" t="s">
        <v>3753</v>
      </c>
      <c r="H645" s="2213">
        <v>1664.712</v>
      </c>
      <c r="L645" s="2210"/>
      <c r="M645" s="2214"/>
      <c r="T645" s="2215"/>
      <c r="AT645" s="2211" t="s">
        <v>3303</v>
      </c>
      <c r="AU645" s="2211" t="s">
        <v>134</v>
      </c>
      <c r="AV645" s="2209" t="s">
        <v>134</v>
      </c>
      <c r="AW645" s="2209" t="s">
        <v>3148</v>
      </c>
      <c r="AX645" s="2209" t="s">
        <v>133</v>
      </c>
      <c r="AY645" s="2211" t="s">
        <v>3285</v>
      </c>
    </row>
    <row r="646" spans="2:65" s="2070" customFormat="1" ht="37.9" customHeight="1">
      <c r="B646" s="2164"/>
      <c r="C646" s="4608">
        <v>123</v>
      </c>
      <c r="D646" s="4608" t="s">
        <v>3286</v>
      </c>
      <c r="E646" s="4609" t="s">
        <v>3755</v>
      </c>
      <c r="F646" s="4610" t="s">
        <v>3756</v>
      </c>
      <c r="G646" s="4611" t="s">
        <v>611</v>
      </c>
      <c r="H646" s="4612">
        <v>836.30799999999999</v>
      </c>
      <c r="I646" s="4613"/>
      <c r="J646" s="4613">
        <f>ROUND(I646*H646,2)</f>
        <v>0</v>
      </c>
      <c r="K646" s="4610" t="s">
        <v>142</v>
      </c>
      <c r="L646" s="2071"/>
      <c r="M646" s="2190" t="s">
        <v>3146</v>
      </c>
      <c r="N646" s="2163" t="s">
        <v>3181</v>
      </c>
      <c r="O646" s="2191">
        <v>4.3999999999999997E-2</v>
      </c>
      <c r="P646" s="2191">
        <f>O646*H646</f>
        <v>36.797551999999996</v>
      </c>
      <c r="Q646" s="2191">
        <v>8.0000000000000007E-5</v>
      </c>
      <c r="R646" s="2191">
        <f>Q646*H646</f>
        <v>6.6904640000000001E-2</v>
      </c>
      <c r="S646" s="2191">
        <v>0</v>
      </c>
      <c r="T646" s="2192">
        <f>S646*H646</f>
        <v>0</v>
      </c>
      <c r="AR646" s="2193" t="s">
        <v>856</v>
      </c>
      <c r="AT646" s="2193" t="s">
        <v>3286</v>
      </c>
      <c r="AU646" s="2193" t="s">
        <v>134</v>
      </c>
      <c r="AY646" s="2056" t="s">
        <v>3285</v>
      </c>
      <c r="BE646" s="2194">
        <f>IF(N646="základní",J646,0)</f>
        <v>0</v>
      </c>
      <c r="BF646" s="2194">
        <f>IF(N646="snížená",J646,0)</f>
        <v>0</v>
      </c>
      <c r="BG646" s="2194">
        <f>IF(N646="zákl. přenesená",J646,0)</f>
        <v>0</v>
      </c>
      <c r="BH646" s="2194">
        <f>IF(N646="sníž. přenesená",J646,0)</f>
        <v>0</v>
      </c>
      <c r="BI646" s="2194">
        <f>IF(N646="nulová",J646,0)</f>
        <v>0</v>
      </c>
      <c r="BJ646" s="2056" t="s">
        <v>134</v>
      </c>
      <c r="BK646" s="2194">
        <f>ROUND(I646*H646,2)</f>
        <v>0</v>
      </c>
      <c r="BL646" s="2056" t="s">
        <v>856</v>
      </c>
      <c r="BM646" s="2193" t="s">
        <v>3757</v>
      </c>
    </row>
    <row r="647" spans="2:65" s="2209" customFormat="1">
      <c r="B647" s="2210"/>
      <c r="D647" s="2197" t="s">
        <v>3303</v>
      </c>
      <c r="E647" s="2211" t="s">
        <v>3146</v>
      </c>
      <c r="F647" s="2212" t="s">
        <v>3758</v>
      </c>
      <c r="H647" s="2213">
        <v>836.30799999999999</v>
      </c>
      <c r="L647" s="2210"/>
      <c r="M647" s="2214"/>
      <c r="T647" s="2215"/>
      <c r="AT647" s="2211" t="s">
        <v>3303</v>
      </c>
      <c r="AU647" s="2211" t="s">
        <v>134</v>
      </c>
      <c r="AV647" s="2209" t="s">
        <v>134</v>
      </c>
      <c r="AW647" s="2209" t="s">
        <v>3171</v>
      </c>
      <c r="AX647" s="2209" t="s">
        <v>3213</v>
      </c>
      <c r="AY647" s="2211" t="s">
        <v>3285</v>
      </c>
    </row>
    <row r="648" spans="2:65" s="2216" customFormat="1">
      <c r="B648" s="2217"/>
      <c r="D648" s="2197" t="s">
        <v>3303</v>
      </c>
      <c r="E648" s="2218" t="s">
        <v>3146</v>
      </c>
      <c r="F648" s="2219" t="s">
        <v>3306</v>
      </c>
      <c r="H648" s="2220">
        <v>836.30799999999999</v>
      </c>
      <c r="L648" s="2217"/>
      <c r="M648" s="2221"/>
      <c r="T648" s="2222"/>
      <c r="AT648" s="2218" t="s">
        <v>3303</v>
      </c>
      <c r="AU648" s="2218" t="s">
        <v>134</v>
      </c>
      <c r="AV648" s="2216" t="s">
        <v>856</v>
      </c>
      <c r="AW648" s="2216" t="s">
        <v>3171</v>
      </c>
      <c r="AX648" s="2216" t="s">
        <v>133</v>
      </c>
      <c r="AY648" s="2218" t="s">
        <v>3285</v>
      </c>
    </row>
    <row r="649" spans="2:65" s="2070" customFormat="1" ht="37.9" customHeight="1">
      <c r="B649" s="2164"/>
      <c r="C649" s="4608">
        <v>124</v>
      </c>
      <c r="D649" s="4608" t="s">
        <v>3286</v>
      </c>
      <c r="E649" s="4609" t="s">
        <v>3760</v>
      </c>
      <c r="F649" s="4610" t="s">
        <v>3761</v>
      </c>
      <c r="G649" s="4611" t="s">
        <v>611</v>
      </c>
      <c r="H649" s="4612">
        <v>1541.4</v>
      </c>
      <c r="I649" s="4613"/>
      <c r="J649" s="4613">
        <f>ROUND(I649*H649,2)</f>
        <v>0</v>
      </c>
      <c r="K649" s="4610" t="s">
        <v>142</v>
      </c>
      <c r="L649" s="2071"/>
      <c r="M649" s="2190" t="s">
        <v>3146</v>
      </c>
      <c r="N649" s="2163" t="s">
        <v>3181</v>
      </c>
      <c r="O649" s="2191">
        <v>4.3999999999999997E-2</v>
      </c>
      <c r="P649" s="2191">
        <f>O649*H649</f>
        <v>67.821600000000004</v>
      </c>
      <c r="Q649" s="2191">
        <v>8.0000000000000007E-5</v>
      </c>
      <c r="R649" s="2191">
        <f>Q649*H649</f>
        <v>0.12331200000000002</v>
      </c>
      <c r="S649" s="2191">
        <v>0</v>
      </c>
      <c r="T649" s="2192">
        <f>S649*H649</f>
        <v>0</v>
      </c>
      <c r="AR649" s="2193" t="s">
        <v>856</v>
      </c>
      <c r="AT649" s="2193" t="s">
        <v>3286</v>
      </c>
      <c r="AU649" s="2193" t="s">
        <v>134</v>
      </c>
      <c r="AY649" s="2056" t="s">
        <v>3285</v>
      </c>
      <c r="BE649" s="2194">
        <f>IF(N649="základní",J649,0)</f>
        <v>0</v>
      </c>
      <c r="BF649" s="2194">
        <f>IF(N649="snížená",J649,0)</f>
        <v>0</v>
      </c>
      <c r="BG649" s="2194">
        <f>IF(N649="zákl. přenesená",J649,0)</f>
        <v>0</v>
      </c>
      <c r="BH649" s="2194">
        <f>IF(N649="sníž. přenesená",J649,0)</f>
        <v>0</v>
      </c>
      <c r="BI649" s="2194">
        <f>IF(N649="nulová",J649,0)</f>
        <v>0</v>
      </c>
      <c r="BJ649" s="2056" t="s">
        <v>134</v>
      </c>
      <c r="BK649" s="2194">
        <f>ROUND(I649*H649,2)</f>
        <v>0</v>
      </c>
      <c r="BL649" s="2056" t="s">
        <v>856</v>
      </c>
      <c r="BM649" s="2193" t="s">
        <v>3762</v>
      </c>
    </row>
    <row r="650" spans="2:65" s="2070" customFormat="1" ht="37.9" customHeight="1">
      <c r="B650" s="2164"/>
      <c r="C650" s="4608">
        <v>125</v>
      </c>
      <c r="D650" s="4608" t="s">
        <v>3286</v>
      </c>
      <c r="E650" s="4609" t="s">
        <v>3764</v>
      </c>
      <c r="F650" s="4610" t="s">
        <v>3765</v>
      </c>
      <c r="G650" s="4611" t="s">
        <v>611</v>
      </c>
      <c r="H650" s="4612">
        <v>2339.741</v>
      </c>
      <c r="I650" s="4613"/>
      <c r="J650" s="4613">
        <f>ROUND(I650*H650,2)</f>
        <v>0</v>
      </c>
      <c r="K650" s="4610" t="s">
        <v>142</v>
      </c>
      <c r="L650" s="2071"/>
      <c r="M650" s="2190" t="s">
        <v>3146</v>
      </c>
      <c r="N650" s="2163" t="s">
        <v>3181</v>
      </c>
      <c r="O650" s="2191">
        <v>0</v>
      </c>
      <c r="P650" s="2191">
        <f>O650*H650</f>
        <v>0</v>
      </c>
      <c r="Q650" s="2191">
        <v>0</v>
      </c>
      <c r="R650" s="2191">
        <f>Q650*H650</f>
        <v>0</v>
      </c>
      <c r="S650" s="2191">
        <v>0</v>
      </c>
      <c r="T650" s="2192">
        <f>S650*H650</f>
        <v>0</v>
      </c>
      <c r="AR650" s="2193" t="s">
        <v>856</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856</v>
      </c>
      <c r="BM650" s="2193" t="s">
        <v>3766</v>
      </c>
    </row>
    <row r="651" spans="2:65" s="2209" customFormat="1">
      <c r="B651" s="2210"/>
      <c r="D651" s="2197" t="s">
        <v>3303</v>
      </c>
      <c r="E651" s="2211" t="s">
        <v>3146</v>
      </c>
      <c r="F651" s="2212" t="s">
        <v>3767</v>
      </c>
      <c r="H651" s="2213">
        <v>2172.2660000000001</v>
      </c>
      <c r="L651" s="2210"/>
      <c r="M651" s="2214"/>
      <c r="T651" s="2215"/>
      <c r="AT651" s="2211" t="s">
        <v>3303</v>
      </c>
      <c r="AU651" s="2211" t="s">
        <v>134</v>
      </c>
      <c r="AV651" s="2209" t="s">
        <v>134</v>
      </c>
      <c r="AW651" s="2209" t="s">
        <v>3171</v>
      </c>
      <c r="AX651" s="2209" t="s">
        <v>3213</v>
      </c>
      <c r="AY651" s="2211" t="s">
        <v>3285</v>
      </c>
    </row>
    <row r="652" spans="2:65" s="2209" customFormat="1">
      <c r="B652" s="2210"/>
      <c r="D652" s="2197" t="s">
        <v>3303</v>
      </c>
      <c r="E652" s="2211" t="s">
        <v>3146</v>
      </c>
      <c r="F652" s="2212" t="s">
        <v>3768</v>
      </c>
      <c r="H652" s="2213">
        <v>73.58</v>
      </c>
      <c r="L652" s="2210"/>
      <c r="M652" s="2214"/>
      <c r="T652" s="2215"/>
      <c r="AT652" s="2211" t="s">
        <v>3303</v>
      </c>
      <c r="AU652" s="2211" t="s">
        <v>134</v>
      </c>
      <c r="AV652" s="2209" t="s">
        <v>134</v>
      </c>
      <c r="AW652" s="2209" t="s">
        <v>3171</v>
      </c>
      <c r="AX652" s="2209" t="s">
        <v>3213</v>
      </c>
      <c r="AY652" s="2211" t="s">
        <v>3285</v>
      </c>
    </row>
    <row r="653" spans="2:65" s="2209" customFormat="1">
      <c r="B653" s="2210"/>
      <c r="D653" s="2197" t="s">
        <v>3303</v>
      </c>
      <c r="E653" s="2211" t="s">
        <v>3146</v>
      </c>
      <c r="F653" s="2212" t="s">
        <v>3712</v>
      </c>
      <c r="H653" s="2213">
        <v>93.894999999999996</v>
      </c>
      <c r="L653" s="2210"/>
      <c r="M653" s="2214"/>
      <c r="T653" s="2215"/>
      <c r="AT653" s="2211" t="s">
        <v>3303</v>
      </c>
      <c r="AU653" s="2211" t="s">
        <v>134</v>
      </c>
      <c r="AV653" s="2209" t="s">
        <v>134</v>
      </c>
      <c r="AW653" s="2209" t="s">
        <v>3171</v>
      </c>
      <c r="AX653" s="2209" t="s">
        <v>3213</v>
      </c>
      <c r="AY653" s="2211" t="s">
        <v>3285</v>
      </c>
    </row>
    <row r="654" spans="2:65" s="2216" customFormat="1">
      <c r="B654" s="2217"/>
      <c r="D654" s="2197" t="s">
        <v>3303</v>
      </c>
      <c r="E654" s="2218" t="s">
        <v>3146</v>
      </c>
      <c r="F654" s="2219" t="s">
        <v>3306</v>
      </c>
      <c r="H654" s="2220">
        <v>2339.741</v>
      </c>
      <c r="L654" s="2217"/>
      <c r="M654" s="2221"/>
      <c r="T654" s="2222"/>
      <c r="AT654" s="2218" t="s">
        <v>3303</v>
      </c>
      <c r="AU654" s="2218" t="s">
        <v>134</v>
      </c>
      <c r="AV654" s="2216" t="s">
        <v>856</v>
      </c>
      <c r="AW654" s="2216" t="s">
        <v>3171</v>
      </c>
      <c r="AX654" s="2216" t="s">
        <v>133</v>
      </c>
      <c r="AY654" s="2218" t="s">
        <v>3285</v>
      </c>
    </row>
    <row r="655" spans="2:65" s="2070" customFormat="1" ht="24.2" customHeight="1">
      <c r="B655" s="2164"/>
      <c r="C655" s="4608">
        <v>126</v>
      </c>
      <c r="D655" s="4608" t="s">
        <v>3286</v>
      </c>
      <c r="E655" s="4609" t="s">
        <v>3770</v>
      </c>
      <c r="F655" s="4610" t="s">
        <v>3771</v>
      </c>
      <c r="G655" s="4611" t="s">
        <v>141</v>
      </c>
      <c r="H655" s="4612">
        <v>157.58000000000001</v>
      </c>
      <c r="I655" s="4613"/>
      <c r="J655" s="4613">
        <f>ROUND(I655*H655,2)</f>
        <v>0</v>
      </c>
      <c r="K655" s="4610" t="s">
        <v>142</v>
      </c>
      <c r="L655" s="2071"/>
      <c r="M655" s="2190" t="s">
        <v>3146</v>
      </c>
      <c r="N655" s="2163" t="s">
        <v>3181</v>
      </c>
      <c r="O655" s="2191">
        <v>0.23</v>
      </c>
      <c r="P655" s="2191">
        <f>O655*H655</f>
        <v>36.243400000000001</v>
      </c>
      <c r="Q655" s="2191">
        <v>3.0000000000000001E-5</v>
      </c>
      <c r="R655" s="2191">
        <f>Q655*H655</f>
        <v>4.7274000000000005E-3</v>
      </c>
      <c r="S655" s="2191">
        <v>0</v>
      </c>
      <c r="T655" s="2192">
        <f>S655*H655</f>
        <v>0</v>
      </c>
      <c r="AR655" s="2193" t="s">
        <v>856</v>
      </c>
      <c r="AT655" s="2193" t="s">
        <v>3286</v>
      </c>
      <c r="AU655" s="2193" t="s">
        <v>134</v>
      </c>
      <c r="AY655" s="2056" t="s">
        <v>3285</v>
      </c>
      <c r="BE655" s="2194">
        <f>IF(N655="základní",J655,0)</f>
        <v>0</v>
      </c>
      <c r="BF655" s="2194">
        <f>IF(N655="snížená",J655,0)</f>
        <v>0</v>
      </c>
      <c r="BG655" s="2194">
        <f>IF(N655="zákl. přenesená",J655,0)</f>
        <v>0</v>
      </c>
      <c r="BH655" s="2194">
        <f>IF(N655="sníž. přenesená",J655,0)</f>
        <v>0</v>
      </c>
      <c r="BI655" s="2194">
        <f>IF(N655="nulová",J655,0)</f>
        <v>0</v>
      </c>
      <c r="BJ655" s="2056" t="s">
        <v>134</v>
      </c>
      <c r="BK655" s="2194">
        <f>ROUND(I655*H655,2)</f>
        <v>0</v>
      </c>
      <c r="BL655" s="2056" t="s">
        <v>856</v>
      </c>
      <c r="BM655" s="2193" t="s">
        <v>3772</v>
      </c>
    </row>
    <row r="656" spans="2:65" s="2070" customFormat="1" ht="33" customHeight="1">
      <c r="B656" s="2164"/>
      <c r="C656" s="4614">
        <v>127</v>
      </c>
      <c r="D656" s="4614" t="s">
        <v>135</v>
      </c>
      <c r="E656" s="4615" t="s">
        <v>3774</v>
      </c>
      <c r="F656" s="4616" t="s">
        <v>3775</v>
      </c>
      <c r="G656" s="4617" t="s">
        <v>141</v>
      </c>
      <c r="H656" s="4618">
        <v>165.459</v>
      </c>
      <c r="I656" s="4619"/>
      <c r="J656" s="4619">
        <f>ROUND(I656*H656,2)</f>
        <v>0</v>
      </c>
      <c r="K656" s="4616" t="s">
        <v>142</v>
      </c>
      <c r="L656" s="2223"/>
      <c r="M656" s="2224" t="s">
        <v>3146</v>
      </c>
      <c r="N656" s="2225" t="s">
        <v>3181</v>
      </c>
      <c r="O656" s="2191">
        <v>0</v>
      </c>
      <c r="P656" s="2191">
        <f>O656*H656</f>
        <v>0</v>
      </c>
      <c r="Q656" s="2191">
        <v>6.8000000000000005E-4</v>
      </c>
      <c r="R656" s="2191">
        <f>Q656*H656</f>
        <v>0.11251212000000001</v>
      </c>
      <c r="S656" s="2191">
        <v>0</v>
      </c>
      <c r="T656" s="2192">
        <f>S656*H656</f>
        <v>0</v>
      </c>
      <c r="AR656" s="2193" t="s">
        <v>1363</v>
      </c>
      <c r="AT656" s="2193" t="s">
        <v>135</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856</v>
      </c>
      <c r="BM656" s="2193" t="s">
        <v>3776</v>
      </c>
    </row>
    <row r="657" spans="2:65" s="2209" customFormat="1">
      <c r="B657" s="2210"/>
      <c r="D657" s="2197" t="s">
        <v>3303</v>
      </c>
      <c r="F657" s="2212" t="s">
        <v>3777</v>
      </c>
      <c r="H657" s="2213">
        <v>165.459</v>
      </c>
      <c r="L657" s="2210"/>
      <c r="M657" s="2214"/>
      <c r="T657" s="2215"/>
      <c r="AT657" s="2211" t="s">
        <v>3303</v>
      </c>
      <c r="AU657" s="2211" t="s">
        <v>134</v>
      </c>
      <c r="AV657" s="2209" t="s">
        <v>134</v>
      </c>
      <c r="AW657" s="2209" t="s">
        <v>3148</v>
      </c>
      <c r="AX657" s="2209" t="s">
        <v>133</v>
      </c>
      <c r="AY657" s="2211" t="s">
        <v>3285</v>
      </c>
    </row>
    <row r="658" spans="2:65" s="2070" customFormat="1" ht="24.2" customHeight="1">
      <c r="B658" s="2164"/>
      <c r="C658" s="4608">
        <v>128</v>
      </c>
      <c r="D658" s="4608" t="s">
        <v>3286</v>
      </c>
      <c r="E658" s="4609" t="s">
        <v>3781</v>
      </c>
      <c r="F658" s="4610" t="s">
        <v>3782</v>
      </c>
      <c r="G658" s="4611" t="s">
        <v>611</v>
      </c>
      <c r="H658" s="4612">
        <v>1900.087</v>
      </c>
      <c r="I658" s="4613"/>
      <c r="J658" s="4613">
        <f>ROUND(I658*H658,2)</f>
        <v>0</v>
      </c>
      <c r="K658" s="4610" t="s">
        <v>142</v>
      </c>
      <c r="L658" s="2071"/>
      <c r="M658" s="2190" t="s">
        <v>3146</v>
      </c>
      <c r="N658" s="2163" t="s">
        <v>3181</v>
      </c>
      <c r="O658" s="2191">
        <v>0.245</v>
      </c>
      <c r="P658" s="2191">
        <f>O658*H658</f>
        <v>465.52131500000002</v>
      </c>
      <c r="Q658" s="2191">
        <v>2.8500000000000001E-3</v>
      </c>
      <c r="R658" s="2191">
        <f>Q658*H658</f>
        <v>5.4152479500000004</v>
      </c>
      <c r="S658" s="2191">
        <v>0</v>
      </c>
      <c r="T658" s="2192">
        <f>S658*H658</f>
        <v>0</v>
      </c>
      <c r="AR658" s="2193" t="s">
        <v>856</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856</v>
      </c>
      <c r="BM658" s="2193" t="s">
        <v>3783</v>
      </c>
    </row>
    <row r="659" spans="2:65" s="2209" customFormat="1">
      <c r="B659" s="2210"/>
      <c r="D659" s="2197" t="s">
        <v>3303</v>
      </c>
      <c r="E659" s="2211" t="s">
        <v>3146</v>
      </c>
      <c r="F659" s="2212" t="s">
        <v>3704</v>
      </c>
      <c r="H659" s="2213">
        <v>1541.4</v>
      </c>
      <c r="L659" s="2210"/>
      <c r="M659" s="2214"/>
      <c r="T659" s="2215"/>
      <c r="AT659" s="2211" t="s">
        <v>3303</v>
      </c>
      <c r="AU659" s="2211" t="s">
        <v>134</v>
      </c>
      <c r="AV659" s="2209" t="s">
        <v>134</v>
      </c>
      <c r="AW659" s="2209" t="s">
        <v>3171</v>
      </c>
      <c r="AX659" s="2209" t="s">
        <v>3213</v>
      </c>
      <c r="AY659" s="2211" t="s">
        <v>3285</v>
      </c>
    </row>
    <row r="660" spans="2:65" s="2209" customFormat="1">
      <c r="B660" s="2210"/>
      <c r="D660" s="2197" t="s">
        <v>3303</v>
      </c>
      <c r="E660" s="2211" t="s">
        <v>3146</v>
      </c>
      <c r="F660" s="2212" t="s">
        <v>3705</v>
      </c>
      <c r="H660" s="2213">
        <v>99.864000000000004</v>
      </c>
      <c r="L660" s="2210"/>
      <c r="M660" s="2214"/>
      <c r="T660" s="2215"/>
      <c r="AT660" s="2211" t="s">
        <v>3303</v>
      </c>
      <c r="AU660" s="2211" t="s">
        <v>134</v>
      </c>
      <c r="AV660" s="2209" t="s">
        <v>134</v>
      </c>
      <c r="AW660" s="2209" t="s">
        <v>3171</v>
      </c>
      <c r="AX660" s="2209" t="s">
        <v>3213</v>
      </c>
      <c r="AY660" s="2211" t="s">
        <v>3285</v>
      </c>
    </row>
    <row r="661" spans="2:65" s="2209" customFormat="1">
      <c r="B661" s="2210"/>
      <c r="D661" s="2197" t="s">
        <v>3303</v>
      </c>
      <c r="E661" s="2211" t="s">
        <v>3146</v>
      </c>
      <c r="F661" s="2212" t="s">
        <v>10822</v>
      </c>
      <c r="H661" s="2213">
        <v>258.82299999999998</v>
      </c>
      <c r="L661" s="2210"/>
      <c r="M661" s="2214"/>
      <c r="T661" s="2215"/>
      <c r="AT661" s="2211" t="s">
        <v>3303</v>
      </c>
      <c r="AU661" s="2211" t="s">
        <v>134</v>
      </c>
      <c r="AV661" s="2209" t="s">
        <v>134</v>
      </c>
      <c r="AW661" s="2209" t="s">
        <v>3171</v>
      </c>
      <c r="AX661" s="2209" t="s">
        <v>3213</v>
      </c>
      <c r="AY661" s="2211" t="s">
        <v>3285</v>
      </c>
    </row>
    <row r="662" spans="2:65" s="2216" customFormat="1">
      <c r="B662" s="2217"/>
      <c r="D662" s="2197" t="s">
        <v>3303</v>
      </c>
      <c r="E662" s="2218" t="s">
        <v>3146</v>
      </c>
      <c r="F662" s="2219" t="s">
        <v>3306</v>
      </c>
      <c r="H662" s="2220">
        <v>1900.087</v>
      </c>
      <c r="L662" s="2217"/>
      <c r="M662" s="2221"/>
      <c r="T662" s="2222"/>
      <c r="AT662" s="2218" t="s">
        <v>3303</v>
      </c>
      <c r="AU662" s="2218" t="s">
        <v>134</v>
      </c>
      <c r="AV662" s="2216" t="s">
        <v>856</v>
      </c>
      <c r="AW662" s="2216" t="s">
        <v>3171</v>
      </c>
      <c r="AX662" s="2216" t="s">
        <v>133</v>
      </c>
      <c r="AY662" s="2218" t="s">
        <v>3285</v>
      </c>
    </row>
    <row r="663" spans="2:65" s="2070" customFormat="1" ht="24.2" customHeight="1">
      <c r="B663" s="2164"/>
      <c r="C663" s="4608">
        <v>129</v>
      </c>
      <c r="D663" s="4608" t="s">
        <v>3286</v>
      </c>
      <c r="E663" s="4609" t="s">
        <v>3785</v>
      </c>
      <c r="F663" s="4610" t="s">
        <v>3786</v>
      </c>
      <c r="G663" s="4611" t="s">
        <v>611</v>
      </c>
      <c r="H663" s="4612">
        <v>16.367999999999999</v>
      </c>
      <c r="I663" s="4613"/>
      <c r="J663" s="4613">
        <f>ROUND(I663*H663,2)</f>
        <v>0</v>
      </c>
      <c r="K663" s="4610" t="s">
        <v>142</v>
      </c>
      <c r="L663" s="2071"/>
      <c r="M663" s="2190" t="s">
        <v>3146</v>
      </c>
      <c r="N663" s="2163" t="s">
        <v>3181</v>
      </c>
      <c r="O663" s="2191">
        <v>8.1000000000000003E-2</v>
      </c>
      <c r="P663" s="2191">
        <f>O663*H663</f>
        <v>1.3258079999999999</v>
      </c>
      <c r="Q663" s="2191">
        <v>1.3999999999999999E-4</v>
      </c>
      <c r="R663" s="2191">
        <f>Q663*H663</f>
        <v>2.2915199999999996E-3</v>
      </c>
      <c r="S663" s="2191">
        <v>0</v>
      </c>
      <c r="T663" s="2192">
        <f>S663*H663</f>
        <v>0</v>
      </c>
      <c r="AR663" s="2193" t="s">
        <v>856</v>
      </c>
      <c r="AT663" s="2193" t="s">
        <v>3286</v>
      </c>
      <c r="AU663" s="2193" t="s">
        <v>134</v>
      </c>
      <c r="AY663" s="2056" t="s">
        <v>3285</v>
      </c>
      <c r="BE663" s="2194">
        <f>IF(N663="základní",J663,0)</f>
        <v>0</v>
      </c>
      <c r="BF663" s="2194">
        <f>IF(N663="snížená",J663,0)</f>
        <v>0</v>
      </c>
      <c r="BG663" s="2194">
        <f>IF(N663="zákl. přenesená",J663,0)</f>
        <v>0</v>
      </c>
      <c r="BH663" s="2194">
        <f>IF(N663="sníž. přenesená",J663,0)</f>
        <v>0</v>
      </c>
      <c r="BI663" s="2194">
        <f>IF(N663="nulová",J663,0)</f>
        <v>0</v>
      </c>
      <c r="BJ663" s="2056" t="s">
        <v>134</v>
      </c>
      <c r="BK663" s="2194">
        <f>ROUND(I663*H663,2)</f>
        <v>0</v>
      </c>
      <c r="BL663" s="2056" t="s">
        <v>856</v>
      </c>
      <c r="BM663" s="2193" t="s">
        <v>3787</v>
      </c>
    </row>
    <row r="664" spans="2:65" s="2070" customFormat="1" ht="24.2" customHeight="1">
      <c r="B664" s="2164"/>
      <c r="C664" s="4608">
        <v>130</v>
      </c>
      <c r="D664" s="4608" t="s">
        <v>3286</v>
      </c>
      <c r="E664" s="4609" t="s">
        <v>3789</v>
      </c>
      <c r="F664" s="4610" t="s">
        <v>3790</v>
      </c>
      <c r="G664" s="4611" t="s">
        <v>611</v>
      </c>
      <c r="H664" s="4612">
        <v>16.367999999999999</v>
      </c>
      <c r="I664" s="4613"/>
      <c r="J664" s="4613">
        <f>ROUND(I664*H664,2)</f>
        <v>0</v>
      </c>
      <c r="K664" s="4610" t="s">
        <v>142</v>
      </c>
      <c r="L664" s="2071"/>
      <c r="M664" s="2190" t="s">
        <v>3146</v>
      </c>
      <c r="N664" s="2163" t="s">
        <v>3181</v>
      </c>
      <c r="O664" s="2191">
        <v>0.38500000000000001</v>
      </c>
      <c r="P664" s="2191">
        <f>O664*H664</f>
        <v>6.3016799999999993</v>
      </c>
      <c r="Q664" s="2191">
        <v>2.8500000000000001E-3</v>
      </c>
      <c r="R664" s="2191">
        <f>Q664*H664</f>
        <v>4.6648799999999997E-2</v>
      </c>
      <c r="S664" s="2191">
        <v>0</v>
      </c>
      <c r="T664" s="2192">
        <f>S664*H664</f>
        <v>0</v>
      </c>
      <c r="AR664" s="2193" t="s">
        <v>856</v>
      </c>
      <c r="AT664" s="2193" t="s">
        <v>3286</v>
      </c>
      <c r="AU664" s="2193" t="s">
        <v>134</v>
      </c>
      <c r="AY664" s="2056" t="s">
        <v>3285</v>
      </c>
      <c r="BE664" s="2194">
        <f>IF(N664="základní",J664,0)</f>
        <v>0</v>
      </c>
      <c r="BF664" s="2194">
        <f>IF(N664="snížená",J664,0)</f>
        <v>0</v>
      </c>
      <c r="BG664" s="2194">
        <f>IF(N664="zákl. přenesená",J664,0)</f>
        <v>0</v>
      </c>
      <c r="BH664" s="2194">
        <f>IF(N664="sníž. přenesená",J664,0)</f>
        <v>0</v>
      </c>
      <c r="BI664" s="2194">
        <f>IF(N664="nulová",J664,0)</f>
        <v>0</v>
      </c>
      <c r="BJ664" s="2056" t="s">
        <v>134</v>
      </c>
      <c r="BK664" s="2194">
        <f>ROUND(I664*H664,2)</f>
        <v>0</v>
      </c>
      <c r="BL664" s="2056" t="s">
        <v>856</v>
      </c>
      <c r="BM664" s="2193" t="s">
        <v>3791</v>
      </c>
    </row>
    <row r="665" spans="2:65" s="2070" customFormat="1" ht="16.5" customHeight="1">
      <c r="B665" s="2164"/>
      <c r="C665" s="4608">
        <v>131</v>
      </c>
      <c r="D665" s="4608" t="s">
        <v>3286</v>
      </c>
      <c r="E665" s="4609" t="s">
        <v>3793</v>
      </c>
      <c r="F665" s="4610" t="s">
        <v>3794</v>
      </c>
      <c r="G665" s="4611" t="s">
        <v>3795</v>
      </c>
      <c r="H665" s="4612">
        <v>3</v>
      </c>
      <c r="I665" s="4613"/>
      <c r="J665" s="4613">
        <f>ROUND(I665*H665,2)</f>
        <v>0</v>
      </c>
      <c r="K665" s="4610" t="s">
        <v>3146</v>
      </c>
      <c r="L665" s="2071"/>
      <c r="M665" s="2190" t="s">
        <v>3146</v>
      </c>
      <c r="N665" s="2163" t="s">
        <v>3181</v>
      </c>
      <c r="O665" s="2191">
        <v>0</v>
      </c>
      <c r="P665" s="2191">
        <f>O665*H665</f>
        <v>0</v>
      </c>
      <c r="Q665" s="2191">
        <v>0</v>
      </c>
      <c r="R665" s="2191">
        <f>Q665*H665</f>
        <v>0</v>
      </c>
      <c r="S665" s="2191">
        <v>0</v>
      </c>
      <c r="T665" s="2192">
        <f>S665*H665</f>
        <v>0</v>
      </c>
      <c r="AR665" s="2193" t="s">
        <v>856</v>
      </c>
      <c r="AT665" s="2193" t="s">
        <v>3286</v>
      </c>
      <c r="AU665" s="2193" t="s">
        <v>134</v>
      </c>
      <c r="AY665" s="2056" t="s">
        <v>3285</v>
      </c>
      <c r="BE665" s="2194">
        <f>IF(N665="základní",J665,0)</f>
        <v>0</v>
      </c>
      <c r="BF665" s="2194">
        <f>IF(N665="snížená",J665,0)</f>
        <v>0</v>
      </c>
      <c r="BG665" s="2194">
        <f>IF(N665="zákl. přenesená",J665,0)</f>
        <v>0</v>
      </c>
      <c r="BH665" s="2194">
        <f>IF(N665="sníž. přenesená",J665,0)</f>
        <v>0</v>
      </c>
      <c r="BI665" s="2194">
        <f>IF(N665="nulová",J665,0)</f>
        <v>0</v>
      </c>
      <c r="BJ665" s="2056" t="s">
        <v>134</v>
      </c>
      <c r="BK665" s="2194">
        <f>ROUND(I665*H665,2)</f>
        <v>0</v>
      </c>
      <c r="BL665" s="2056" t="s">
        <v>856</v>
      </c>
      <c r="BM665" s="2193" t="s">
        <v>3796</v>
      </c>
    </row>
    <row r="666" spans="2:65" s="2070" customFormat="1" ht="16.5" customHeight="1">
      <c r="B666" s="2164"/>
      <c r="C666" s="4608">
        <v>132</v>
      </c>
      <c r="D666" s="4608" t="s">
        <v>3286</v>
      </c>
      <c r="E666" s="4609" t="s">
        <v>3799</v>
      </c>
      <c r="F666" s="4610" t="s">
        <v>3800</v>
      </c>
      <c r="G666" s="4611" t="s">
        <v>611</v>
      </c>
      <c r="H666" s="4612">
        <v>124.70099999999999</v>
      </c>
      <c r="I666" s="4613"/>
      <c r="J666" s="4613">
        <f>ROUND(I666*H666,2)</f>
        <v>0</v>
      </c>
      <c r="K666" s="4610" t="s">
        <v>142</v>
      </c>
      <c r="L666" s="2071"/>
      <c r="M666" s="2190" t="s">
        <v>3146</v>
      </c>
      <c r="N666" s="2163" t="s">
        <v>3181</v>
      </c>
      <c r="O666" s="2191">
        <v>0.63800000000000001</v>
      </c>
      <c r="P666" s="2191">
        <f>O666*H666</f>
        <v>79.559237999999993</v>
      </c>
      <c r="Q666" s="2191">
        <v>1.4630000000000001E-2</v>
      </c>
      <c r="R666" s="2191">
        <f>Q666*H666</f>
        <v>1.82437563</v>
      </c>
      <c r="S666" s="2191">
        <v>0</v>
      </c>
      <c r="T666" s="2192">
        <f>S666*H666</f>
        <v>0</v>
      </c>
      <c r="AR666" s="2193" t="s">
        <v>856</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856</v>
      </c>
      <c r="BM666" s="2193" t="s">
        <v>3801</v>
      </c>
    </row>
    <row r="667" spans="2:65" s="2209" customFormat="1">
      <c r="B667" s="2210"/>
      <c r="D667" s="2197" t="s">
        <v>3303</v>
      </c>
      <c r="E667" s="2211" t="s">
        <v>3146</v>
      </c>
      <c r="F667" s="2212" t="s">
        <v>3802</v>
      </c>
      <c r="H667" s="2213">
        <v>19.446000000000002</v>
      </c>
      <c r="L667" s="2210"/>
      <c r="M667" s="2214"/>
      <c r="T667" s="2215"/>
      <c r="AT667" s="2211" t="s">
        <v>3303</v>
      </c>
      <c r="AU667" s="2211" t="s">
        <v>134</v>
      </c>
      <c r="AV667" s="2209" t="s">
        <v>134</v>
      </c>
      <c r="AW667" s="2209" t="s">
        <v>3171</v>
      </c>
      <c r="AX667" s="2209" t="s">
        <v>3213</v>
      </c>
      <c r="AY667" s="2211" t="s">
        <v>3285</v>
      </c>
    </row>
    <row r="668" spans="2:65" s="2209" customFormat="1">
      <c r="B668" s="2210"/>
      <c r="D668" s="2197" t="s">
        <v>3303</v>
      </c>
      <c r="E668" s="2211" t="s">
        <v>3146</v>
      </c>
      <c r="F668" s="2212" t="s">
        <v>3803</v>
      </c>
      <c r="H668" s="2213">
        <v>22.138000000000002</v>
      </c>
      <c r="L668" s="2210"/>
      <c r="M668" s="2214"/>
      <c r="T668" s="2215"/>
      <c r="AT668" s="2211" t="s">
        <v>3303</v>
      </c>
      <c r="AU668" s="2211" t="s">
        <v>134</v>
      </c>
      <c r="AV668" s="2209" t="s">
        <v>134</v>
      </c>
      <c r="AW668" s="2209" t="s">
        <v>3171</v>
      </c>
      <c r="AX668" s="2209" t="s">
        <v>3213</v>
      </c>
      <c r="AY668" s="2211" t="s">
        <v>3285</v>
      </c>
    </row>
    <row r="669" spans="2:65" s="2209" customFormat="1">
      <c r="B669" s="2210"/>
      <c r="D669" s="2197" t="s">
        <v>3303</v>
      </c>
      <c r="E669" s="2211" t="s">
        <v>3146</v>
      </c>
      <c r="F669" s="2212" t="s">
        <v>3804</v>
      </c>
      <c r="H669" s="2213">
        <v>22.256</v>
      </c>
      <c r="L669" s="2210"/>
      <c r="M669" s="2214"/>
      <c r="T669" s="2215"/>
      <c r="AT669" s="2211" t="s">
        <v>3303</v>
      </c>
      <c r="AU669" s="2211" t="s">
        <v>134</v>
      </c>
      <c r="AV669" s="2209" t="s">
        <v>134</v>
      </c>
      <c r="AW669" s="2209" t="s">
        <v>3171</v>
      </c>
      <c r="AX669" s="2209" t="s">
        <v>3213</v>
      </c>
      <c r="AY669" s="2211" t="s">
        <v>3285</v>
      </c>
    </row>
    <row r="670" spans="2:65" s="2209" customFormat="1">
      <c r="B670" s="2210"/>
      <c r="D670" s="2197" t="s">
        <v>3303</v>
      </c>
      <c r="E670" s="2211" t="s">
        <v>3146</v>
      </c>
      <c r="F670" s="2212" t="s">
        <v>3805</v>
      </c>
      <c r="H670" s="2213">
        <v>11.260999999999999</v>
      </c>
      <c r="L670" s="2210"/>
      <c r="M670" s="2214"/>
      <c r="T670" s="2215"/>
      <c r="AT670" s="2211" t="s">
        <v>3303</v>
      </c>
      <c r="AU670" s="2211" t="s">
        <v>134</v>
      </c>
      <c r="AV670" s="2209" t="s">
        <v>134</v>
      </c>
      <c r="AW670" s="2209" t="s">
        <v>3171</v>
      </c>
      <c r="AX670" s="2209" t="s">
        <v>3213</v>
      </c>
      <c r="AY670" s="2211" t="s">
        <v>3285</v>
      </c>
    </row>
    <row r="671" spans="2:65" s="2209" customFormat="1">
      <c r="B671" s="2210"/>
      <c r="D671" s="2197" t="s">
        <v>3303</v>
      </c>
      <c r="E671" s="2211" t="s">
        <v>3146</v>
      </c>
      <c r="F671" s="2212" t="s">
        <v>3806</v>
      </c>
      <c r="H671" s="2213">
        <v>21.719000000000001</v>
      </c>
      <c r="L671" s="2210"/>
      <c r="M671" s="2214"/>
      <c r="T671" s="2215"/>
      <c r="AT671" s="2211" t="s">
        <v>3303</v>
      </c>
      <c r="AU671" s="2211" t="s">
        <v>134</v>
      </c>
      <c r="AV671" s="2209" t="s">
        <v>134</v>
      </c>
      <c r="AW671" s="2209" t="s">
        <v>3171</v>
      </c>
      <c r="AX671" s="2209" t="s">
        <v>3213</v>
      </c>
      <c r="AY671" s="2211" t="s">
        <v>3285</v>
      </c>
    </row>
    <row r="672" spans="2:65" s="2209" customFormat="1">
      <c r="B672" s="2210"/>
      <c r="D672" s="2197" t="s">
        <v>3303</v>
      </c>
      <c r="E672" s="2211" t="s">
        <v>3146</v>
      </c>
      <c r="F672" s="2212" t="s">
        <v>3807</v>
      </c>
      <c r="H672" s="2213">
        <v>27.881</v>
      </c>
      <c r="L672" s="2210"/>
      <c r="M672" s="2214"/>
      <c r="T672" s="2215"/>
      <c r="AT672" s="2211" t="s">
        <v>3303</v>
      </c>
      <c r="AU672" s="2211" t="s">
        <v>134</v>
      </c>
      <c r="AV672" s="2209" t="s">
        <v>134</v>
      </c>
      <c r="AW672" s="2209" t="s">
        <v>3171</v>
      </c>
      <c r="AX672" s="2209" t="s">
        <v>3213</v>
      </c>
      <c r="AY672" s="2211" t="s">
        <v>3285</v>
      </c>
    </row>
    <row r="673" spans="2:65" s="2216" customFormat="1">
      <c r="B673" s="2217"/>
      <c r="D673" s="2197" t="s">
        <v>3303</v>
      </c>
      <c r="E673" s="2218" t="s">
        <v>3146</v>
      </c>
      <c r="F673" s="2219" t="s">
        <v>3306</v>
      </c>
      <c r="H673" s="2220">
        <v>124.70099999999999</v>
      </c>
      <c r="L673" s="2217"/>
      <c r="M673" s="2221"/>
      <c r="T673" s="2222"/>
      <c r="AT673" s="2218" t="s">
        <v>3303</v>
      </c>
      <c r="AU673" s="2218" t="s">
        <v>134</v>
      </c>
      <c r="AV673" s="2216" t="s">
        <v>856</v>
      </c>
      <c r="AW673" s="2216" t="s">
        <v>3171</v>
      </c>
      <c r="AX673" s="2216" t="s">
        <v>133</v>
      </c>
      <c r="AY673" s="2218" t="s">
        <v>3285</v>
      </c>
    </row>
    <row r="674" spans="2:65" s="2070" customFormat="1" ht="21.75" customHeight="1">
      <c r="B674" s="2164"/>
      <c r="C674" s="4608">
        <v>133</v>
      </c>
      <c r="D674" s="4608" t="s">
        <v>3286</v>
      </c>
      <c r="E674" s="4609" t="s">
        <v>3809</v>
      </c>
      <c r="F674" s="4610" t="s">
        <v>3810</v>
      </c>
      <c r="G674" s="4611" t="s">
        <v>611</v>
      </c>
      <c r="H674" s="4612">
        <v>124.70099999999999</v>
      </c>
      <c r="I674" s="4613"/>
      <c r="J674" s="4613">
        <f>ROUND(I674*H674,2)</f>
        <v>0</v>
      </c>
      <c r="K674" s="4610" t="s">
        <v>142</v>
      </c>
      <c r="L674" s="2071"/>
      <c r="M674" s="2190" t="s">
        <v>3146</v>
      </c>
      <c r="N674" s="2163" t="s">
        <v>3181</v>
      </c>
      <c r="O674" s="2191">
        <v>0.29499999999999998</v>
      </c>
      <c r="P674" s="2191">
        <f>O674*H674</f>
        <v>36.786794999999998</v>
      </c>
      <c r="Q674" s="2191">
        <v>0</v>
      </c>
      <c r="R674" s="2191">
        <f>Q674*H674</f>
        <v>0</v>
      </c>
      <c r="S674" s="2191">
        <v>0</v>
      </c>
      <c r="T674" s="2192">
        <f>S674*H674</f>
        <v>0</v>
      </c>
      <c r="AR674" s="2193" t="s">
        <v>856</v>
      </c>
      <c r="AT674" s="2193" t="s">
        <v>3286</v>
      </c>
      <c r="AU674" s="2193" t="s">
        <v>134</v>
      </c>
      <c r="AY674" s="2056" t="s">
        <v>3285</v>
      </c>
      <c r="BE674" s="2194">
        <f>IF(N674="základní",J674,0)</f>
        <v>0</v>
      </c>
      <c r="BF674" s="2194">
        <f>IF(N674="snížená",J674,0)</f>
        <v>0</v>
      </c>
      <c r="BG674" s="2194">
        <f>IF(N674="zákl. přenesená",J674,0)</f>
        <v>0</v>
      </c>
      <c r="BH674" s="2194">
        <f>IF(N674="sníž. přenesená",J674,0)</f>
        <v>0</v>
      </c>
      <c r="BI674" s="2194">
        <f>IF(N674="nulová",J674,0)</f>
        <v>0</v>
      </c>
      <c r="BJ674" s="2056" t="s">
        <v>134</v>
      </c>
      <c r="BK674" s="2194">
        <f>ROUND(I674*H674,2)</f>
        <v>0</v>
      </c>
      <c r="BL674" s="2056" t="s">
        <v>856</v>
      </c>
      <c r="BM674" s="2193" t="s">
        <v>3811</v>
      </c>
    </row>
    <row r="675" spans="2:65" s="2178" customFormat="1" ht="22.9" customHeight="1">
      <c r="B675" s="2179"/>
      <c r="D675" s="2180" t="s">
        <v>3212</v>
      </c>
      <c r="E675" s="2188" t="s">
        <v>2071</v>
      </c>
      <c r="F675" s="2188" t="s">
        <v>3812</v>
      </c>
      <c r="J675" s="2189">
        <f>BK675</f>
        <v>0</v>
      </c>
      <c r="L675" s="2179"/>
      <c r="M675" s="2183"/>
      <c r="P675" s="2184">
        <f>SUM(P676:P717)</f>
        <v>3500.0270320000004</v>
      </c>
      <c r="R675" s="2184">
        <f>SUM(R676:R717)</f>
        <v>1.6405954199999999</v>
      </c>
      <c r="T675" s="2185">
        <f>SUM(T676:T717)</f>
        <v>1.4450000000000001</v>
      </c>
      <c r="AR675" s="2180" t="s">
        <v>133</v>
      </c>
      <c r="AT675" s="2186" t="s">
        <v>3212</v>
      </c>
      <c r="AU675" s="2186" t="s">
        <v>133</v>
      </c>
      <c r="AY675" s="2180" t="s">
        <v>3285</v>
      </c>
      <c r="BK675" s="2187">
        <f>SUM(BK676:BK717)</f>
        <v>0</v>
      </c>
    </row>
    <row r="676" spans="2:65" s="2070" customFormat="1" ht="37.9" customHeight="1">
      <c r="B676" s="2164"/>
      <c r="C676" s="4608">
        <v>134</v>
      </c>
      <c r="D676" s="4608" t="s">
        <v>3286</v>
      </c>
      <c r="E676" s="4609" t="s">
        <v>3814</v>
      </c>
      <c r="F676" s="4610" t="s">
        <v>3815</v>
      </c>
      <c r="G676" s="4611" t="s">
        <v>611</v>
      </c>
      <c r="H676" s="4612">
        <v>2176.3200000000002</v>
      </c>
      <c r="I676" s="4613"/>
      <c r="J676" s="4613">
        <f>ROUND(I676*H676,2)</f>
        <v>0</v>
      </c>
      <c r="K676" s="4610" t="s">
        <v>142</v>
      </c>
      <c r="L676" s="2071"/>
      <c r="M676" s="2190" t="s">
        <v>3146</v>
      </c>
      <c r="N676" s="2163" t="s">
        <v>3181</v>
      </c>
      <c r="O676" s="2191">
        <v>0.14799999999999999</v>
      </c>
      <c r="P676" s="2191">
        <f>O676*H676</f>
        <v>322.09536000000003</v>
      </c>
      <c r="Q676" s="2191">
        <v>0</v>
      </c>
      <c r="R676" s="2191">
        <f>Q676*H676</f>
        <v>0</v>
      </c>
      <c r="S676" s="2191">
        <v>0</v>
      </c>
      <c r="T676" s="2192">
        <f>S676*H676</f>
        <v>0</v>
      </c>
      <c r="AR676" s="2193" t="s">
        <v>856</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856</v>
      </c>
      <c r="BM676" s="2193" t="s">
        <v>3816</v>
      </c>
    </row>
    <row r="677" spans="2:65" s="2209" customFormat="1">
      <c r="B677" s="2210"/>
      <c r="D677" s="2197" t="s">
        <v>3303</v>
      </c>
      <c r="E677" s="2211" t="s">
        <v>3146</v>
      </c>
      <c r="F677" s="2212" t="s">
        <v>3817</v>
      </c>
      <c r="H677" s="2213">
        <v>1456.32</v>
      </c>
      <c r="L677" s="2210"/>
      <c r="M677" s="2214"/>
      <c r="T677" s="2215"/>
      <c r="AT677" s="2211" t="s">
        <v>3303</v>
      </c>
      <c r="AU677" s="2211" t="s">
        <v>134</v>
      </c>
      <c r="AV677" s="2209" t="s">
        <v>134</v>
      </c>
      <c r="AW677" s="2209" t="s">
        <v>3171</v>
      </c>
      <c r="AX677" s="2209" t="s">
        <v>3213</v>
      </c>
      <c r="AY677" s="2211" t="s">
        <v>3285</v>
      </c>
    </row>
    <row r="678" spans="2:65" s="2209" customFormat="1">
      <c r="B678" s="2210"/>
      <c r="D678" s="2197" t="s">
        <v>3303</v>
      </c>
      <c r="E678" s="2211" t="s">
        <v>3146</v>
      </c>
      <c r="F678" s="2212" t="s">
        <v>3818</v>
      </c>
      <c r="H678" s="2213">
        <v>720</v>
      </c>
      <c r="L678" s="2210"/>
      <c r="M678" s="2214"/>
      <c r="T678" s="2215"/>
      <c r="AT678" s="2211" t="s">
        <v>3303</v>
      </c>
      <c r="AU678" s="2211" t="s">
        <v>134</v>
      </c>
      <c r="AV678" s="2209" t="s">
        <v>134</v>
      </c>
      <c r="AW678" s="2209" t="s">
        <v>3171</v>
      </c>
      <c r="AX678" s="2209" t="s">
        <v>3213</v>
      </c>
      <c r="AY678" s="2211" t="s">
        <v>3285</v>
      </c>
    </row>
    <row r="679" spans="2:65" s="2216" customFormat="1">
      <c r="B679" s="2217"/>
      <c r="D679" s="2197" t="s">
        <v>3303</v>
      </c>
      <c r="E679" s="2218" t="s">
        <v>3146</v>
      </c>
      <c r="F679" s="2219" t="s">
        <v>3306</v>
      </c>
      <c r="H679" s="2220">
        <v>2176.3200000000002</v>
      </c>
      <c r="L679" s="2217"/>
      <c r="M679" s="2221"/>
      <c r="T679" s="2222"/>
      <c r="AT679" s="2218" t="s">
        <v>3303</v>
      </c>
      <c r="AU679" s="2218" t="s">
        <v>134</v>
      </c>
      <c r="AV679" s="2216" t="s">
        <v>856</v>
      </c>
      <c r="AW679" s="2216" t="s">
        <v>3171</v>
      </c>
      <c r="AX679" s="2216" t="s">
        <v>133</v>
      </c>
      <c r="AY679" s="2218" t="s">
        <v>3285</v>
      </c>
    </row>
    <row r="680" spans="2:65" s="2070" customFormat="1" ht="33" customHeight="1">
      <c r="B680" s="2164"/>
      <c r="C680" s="4608">
        <v>135</v>
      </c>
      <c r="D680" s="4608" t="s">
        <v>3286</v>
      </c>
      <c r="E680" s="4609" t="s">
        <v>3820</v>
      </c>
      <c r="F680" s="4610" t="s">
        <v>3821</v>
      </c>
      <c r="G680" s="4611" t="s">
        <v>611</v>
      </c>
      <c r="H680" s="4612">
        <v>391737.59999999998</v>
      </c>
      <c r="I680" s="4613"/>
      <c r="J680" s="4613">
        <f>ROUND(I680*H680,2)</f>
        <v>0</v>
      </c>
      <c r="K680" s="4610" t="s">
        <v>142</v>
      </c>
      <c r="L680" s="2071"/>
      <c r="M680" s="2190" t="s">
        <v>3146</v>
      </c>
      <c r="N680" s="2163" t="s">
        <v>3181</v>
      </c>
      <c r="O680" s="2191">
        <v>0</v>
      </c>
      <c r="P680" s="2191">
        <f>O680*H680</f>
        <v>0</v>
      </c>
      <c r="Q680" s="2191">
        <v>0</v>
      </c>
      <c r="R680" s="2191">
        <f>Q680*H680</f>
        <v>0</v>
      </c>
      <c r="S680" s="2191">
        <v>0</v>
      </c>
      <c r="T680" s="2192">
        <f>S680*H680</f>
        <v>0</v>
      </c>
      <c r="AR680" s="2193" t="s">
        <v>856</v>
      </c>
      <c r="AT680" s="2193" t="s">
        <v>3286</v>
      </c>
      <c r="AU680" s="2193" t="s">
        <v>134</v>
      </c>
      <c r="AY680" s="2056" t="s">
        <v>3285</v>
      </c>
      <c r="BE680" s="2194">
        <f>IF(N680="základní",J680,0)</f>
        <v>0</v>
      </c>
      <c r="BF680" s="2194">
        <f>IF(N680="snížená",J680,0)</f>
        <v>0</v>
      </c>
      <c r="BG680" s="2194">
        <f>IF(N680="zákl. přenesená",J680,0)</f>
        <v>0</v>
      </c>
      <c r="BH680" s="2194">
        <f>IF(N680="sníž. přenesená",J680,0)</f>
        <v>0</v>
      </c>
      <c r="BI680" s="2194">
        <f>IF(N680="nulová",J680,0)</f>
        <v>0</v>
      </c>
      <c r="BJ680" s="2056" t="s">
        <v>134</v>
      </c>
      <c r="BK680" s="2194">
        <f>ROUND(I680*H680,2)</f>
        <v>0</v>
      </c>
      <c r="BL680" s="2056" t="s">
        <v>856</v>
      </c>
      <c r="BM680" s="2193" t="s">
        <v>3822</v>
      </c>
    </row>
    <row r="681" spans="2:65" s="2209" customFormat="1">
      <c r="B681" s="2210"/>
      <c r="D681" s="2197" t="s">
        <v>3303</v>
      </c>
      <c r="F681" s="2212" t="s">
        <v>10823</v>
      </c>
      <c r="H681" s="2213">
        <v>391737.59999999998</v>
      </c>
      <c r="L681" s="2210"/>
      <c r="M681" s="2214"/>
      <c r="T681" s="2215"/>
      <c r="AT681" s="2211" t="s">
        <v>3303</v>
      </c>
      <c r="AU681" s="2211" t="s">
        <v>134</v>
      </c>
      <c r="AV681" s="2209" t="s">
        <v>134</v>
      </c>
      <c r="AW681" s="2209" t="s">
        <v>3148</v>
      </c>
      <c r="AX681" s="2209" t="s">
        <v>133</v>
      </c>
      <c r="AY681" s="2211" t="s">
        <v>3285</v>
      </c>
    </row>
    <row r="682" spans="2:65" s="2070" customFormat="1" ht="37.9" customHeight="1">
      <c r="B682" s="2164"/>
      <c r="C682" s="4608">
        <v>136</v>
      </c>
      <c r="D682" s="4608" t="s">
        <v>3286</v>
      </c>
      <c r="E682" s="4609" t="s">
        <v>3824</v>
      </c>
      <c r="F682" s="4610" t="s">
        <v>3825</v>
      </c>
      <c r="G682" s="4611" t="s">
        <v>611</v>
      </c>
      <c r="H682" s="4612">
        <v>2176.3200000000002</v>
      </c>
      <c r="I682" s="4613"/>
      <c r="J682" s="4613">
        <f>ROUND(I682*H682,2)</f>
        <v>0</v>
      </c>
      <c r="K682" s="4610" t="s">
        <v>142</v>
      </c>
      <c r="L682" s="2071"/>
      <c r="M682" s="2190" t="s">
        <v>3146</v>
      </c>
      <c r="N682" s="2163" t="s">
        <v>3181</v>
      </c>
      <c r="O682" s="2191">
        <v>9.0999999999999998E-2</v>
      </c>
      <c r="P682" s="2191">
        <f>O682*H682</f>
        <v>198.04512</v>
      </c>
      <c r="Q682" s="2191">
        <v>0</v>
      </c>
      <c r="R682" s="2191">
        <f>Q682*H682</f>
        <v>0</v>
      </c>
      <c r="S682" s="2191">
        <v>0</v>
      </c>
      <c r="T682" s="2192">
        <f>S682*H682</f>
        <v>0</v>
      </c>
      <c r="AR682" s="2193" t="s">
        <v>856</v>
      </c>
      <c r="AT682" s="2193" t="s">
        <v>3286</v>
      </c>
      <c r="AU682" s="2193" t="s">
        <v>134</v>
      </c>
      <c r="AY682" s="2056" t="s">
        <v>3285</v>
      </c>
      <c r="BE682" s="2194">
        <f>IF(N682="základní",J682,0)</f>
        <v>0</v>
      </c>
      <c r="BF682" s="2194">
        <f>IF(N682="snížená",J682,0)</f>
        <v>0</v>
      </c>
      <c r="BG682" s="2194">
        <f>IF(N682="zákl. přenesená",J682,0)</f>
        <v>0</v>
      </c>
      <c r="BH682" s="2194">
        <f>IF(N682="sníž. přenesená",J682,0)</f>
        <v>0</v>
      </c>
      <c r="BI682" s="2194">
        <f>IF(N682="nulová",J682,0)</f>
        <v>0</v>
      </c>
      <c r="BJ682" s="2056" t="s">
        <v>134</v>
      </c>
      <c r="BK682" s="2194">
        <f>ROUND(I682*H682,2)</f>
        <v>0</v>
      </c>
      <c r="BL682" s="2056" t="s">
        <v>856</v>
      </c>
      <c r="BM682" s="2193" t="s">
        <v>3826</v>
      </c>
    </row>
    <row r="683" spans="2:65" s="2070" customFormat="1" ht="33" customHeight="1">
      <c r="B683" s="2164"/>
      <c r="C683" s="4608">
        <v>137</v>
      </c>
      <c r="D683" s="4608" t="s">
        <v>3286</v>
      </c>
      <c r="E683" s="4609" t="s">
        <v>3828</v>
      </c>
      <c r="F683" s="4610" t="s">
        <v>3829</v>
      </c>
      <c r="G683" s="4611" t="s">
        <v>221</v>
      </c>
      <c r="H683" s="4612">
        <v>480</v>
      </c>
      <c r="I683" s="4613"/>
      <c r="J683" s="4613">
        <f>ROUND(I683*H683,2)</f>
        <v>0</v>
      </c>
      <c r="K683" s="4610" t="s">
        <v>142</v>
      </c>
      <c r="L683" s="2071"/>
      <c r="M683" s="2190" t="s">
        <v>3146</v>
      </c>
      <c r="N683" s="2163" t="s">
        <v>3181</v>
      </c>
      <c r="O683" s="2191">
        <v>0.126</v>
      </c>
      <c r="P683" s="2191">
        <f>O683*H683</f>
        <v>60.480000000000004</v>
      </c>
      <c r="Q683" s="2191">
        <v>0</v>
      </c>
      <c r="R683" s="2191">
        <f>Q683*H683</f>
        <v>0</v>
      </c>
      <c r="S683" s="2191">
        <v>0</v>
      </c>
      <c r="T683" s="2192">
        <f>S683*H683</f>
        <v>0</v>
      </c>
      <c r="AR683" s="2193" t="s">
        <v>856</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856</v>
      </c>
      <c r="BM683" s="2193" t="s">
        <v>3830</v>
      </c>
    </row>
    <row r="684" spans="2:65" s="2209" customFormat="1">
      <c r="B684" s="2210"/>
      <c r="D684" s="2197" t="s">
        <v>3303</v>
      </c>
      <c r="E684" s="2211" t="s">
        <v>3146</v>
      </c>
      <c r="F684" s="2212" t="s">
        <v>3831</v>
      </c>
      <c r="H684" s="2213">
        <v>480</v>
      </c>
      <c r="L684" s="2210"/>
      <c r="M684" s="2214"/>
      <c r="T684" s="2215"/>
      <c r="AT684" s="2211" t="s">
        <v>3303</v>
      </c>
      <c r="AU684" s="2211" t="s">
        <v>134</v>
      </c>
      <c r="AV684" s="2209" t="s">
        <v>134</v>
      </c>
      <c r="AW684" s="2209" t="s">
        <v>3171</v>
      </c>
      <c r="AX684" s="2209" t="s">
        <v>133</v>
      </c>
      <c r="AY684" s="2211" t="s">
        <v>3285</v>
      </c>
    </row>
    <row r="685" spans="2:65" s="2070" customFormat="1" ht="33" customHeight="1">
      <c r="B685" s="2164"/>
      <c r="C685" s="4608">
        <v>138</v>
      </c>
      <c r="D685" s="4608" t="s">
        <v>3286</v>
      </c>
      <c r="E685" s="4609" t="s">
        <v>3833</v>
      </c>
      <c r="F685" s="4610" t="s">
        <v>3834</v>
      </c>
      <c r="G685" s="4611" t="s">
        <v>221</v>
      </c>
      <c r="H685" s="4612">
        <v>28800</v>
      </c>
      <c r="I685" s="4613"/>
      <c r="J685" s="4613">
        <f>ROUND(I685*H685,2)</f>
        <v>0</v>
      </c>
      <c r="K685" s="4610" t="s">
        <v>142</v>
      </c>
      <c r="L685" s="2071"/>
      <c r="M685" s="2190" t="s">
        <v>3146</v>
      </c>
      <c r="N685" s="2163" t="s">
        <v>3181</v>
      </c>
      <c r="O685" s="2191">
        <v>0</v>
      </c>
      <c r="P685" s="2191">
        <f>O685*H685</f>
        <v>0</v>
      </c>
      <c r="Q685" s="2191">
        <v>0</v>
      </c>
      <c r="R685" s="2191">
        <f>Q685*H685</f>
        <v>0</v>
      </c>
      <c r="S685" s="2191">
        <v>0</v>
      </c>
      <c r="T685" s="2192">
        <f>S685*H685</f>
        <v>0</v>
      </c>
      <c r="AR685" s="2193" t="s">
        <v>856</v>
      </c>
      <c r="AT685" s="2193" t="s">
        <v>3286</v>
      </c>
      <c r="AU685" s="2193" t="s">
        <v>134</v>
      </c>
      <c r="AY685" s="2056" t="s">
        <v>3285</v>
      </c>
      <c r="BE685" s="2194">
        <f>IF(N685="základní",J685,0)</f>
        <v>0</v>
      </c>
      <c r="BF685" s="2194">
        <f>IF(N685="snížená",J685,0)</f>
        <v>0</v>
      </c>
      <c r="BG685" s="2194">
        <f>IF(N685="zákl. přenesená",J685,0)</f>
        <v>0</v>
      </c>
      <c r="BH685" s="2194">
        <f>IF(N685="sníž. přenesená",J685,0)</f>
        <v>0</v>
      </c>
      <c r="BI685" s="2194">
        <f>IF(N685="nulová",J685,0)</f>
        <v>0</v>
      </c>
      <c r="BJ685" s="2056" t="s">
        <v>134</v>
      </c>
      <c r="BK685" s="2194">
        <f>ROUND(I685*H685,2)</f>
        <v>0</v>
      </c>
      <c r="BL685" s="2056" t="s">
        <v>856</v>
      </c>
      <c r="BM685" s="2193" t="s">
        <v>3835</v>
      </c>
    </row>
    <row r="686" spans="2:65" s="2209" customFormat="1">
      <c r="B686" s="2210"/>
      <c r="D686" s="2197" t="s">
        <v>3303</v>
      </c>
      <c r="F686" s="2212" t="s">
        <v>3836</v>
      </c>
      <c r="H686" s="2213">
        <v>28800</v>
      </c>
      <c r="L686" s="2210"/>
      <c r="M686" s="2214"/>
      <c r="T686" s="2215"/>
      <c r="AT686" s="2211" t="s">
        <v>3303</v>
      </c>
      <c r="AU686" s="2211" t="s">
        <v>134</v>
      </c>
      <c r="AV686" s="2209" t="s">
        <v>134</v>
      </c>
      <c r="AW686" s="2209" t="s">
        <v>3148</v>
      </c>
      <c r="AX686" s="2209" t="s">
        <v>133</v>
      </c>
      <c r="AY686" s="2211" t="s">
        <v>3285</v>
      </c>
    </row>
    <row r="687" spans="2:65" s="2070" customFormat="1" ht="33" customHeight="1">
      <c r="B687" s="2164"/>
      <c r="C687" s="4608">
        <v>139</v>
      </c>
      <c r="D687" s="4608" t="s">
        <v>3286</v>
      </c>
      <c r="E687" s="4609" t="s">
        <v>3838</v>
      </c>
      <c r="F687" s="4610" t="s">
        <v>3839</v>
      </c>
      <c r="G687" s="4611" t="s">
        <v>221</v>
      </c>
      <c r="H687" s="4612">
        <v>480</v>
      </c>
      <c r="I687" s="4613"/>
      <c r="J687" s="4613">
        <f>ROUND(I687*H687,2)</f>
        <v>0</v>
      </c>
      <c r="K687" s="4610" t="s">
        <v>142</v>
      </c>
      <c r="L687" s="2071"/>
      <c r="M687" s="2190" t="s">
        <v>3146</v>
      </c>
      <c r="N687" s="2163" t="s">
        <v>3181</v>
      </c>
      <c r="O687" s="2191">
        <v>7.6999999999999999E-2</v>
      </c>
      <c r="P687" s="2191">
        <f>O687*H687</f>
        <v>36.96</v>
      </c>
      <c r="Q687" s="2191">
        <v>0</v>
      </c>
      <c r="R687" s="2191">
        <f>Q687*H687</f>
        <v>0</v>
      </c>
      <c r="S687" s="2191">
        <v>0</v>
      </c>
      <c r="T687" s="2192">
        <f>S687*H687</f>
        <v>0</v>
      </c>
      <c r="AR687" s="2193" t="s">
        <v>856</v>
      </c>
      <c r="AT687" s="2193" t="s">
        <v>3286</v>
      </c>
      <c r="AU687" s="2193" t="s">
        <v>134</v>
      </c>
      <c r="AY687" s="2056" t="s">
        <v>3285</v>
      </c>
      <c r="BE687" s="2194">
        <f>IF(N687="základní",J687,0)</f>
        <v>0</v>
      </c>
      <c r="BF687" s="2194">
        <f>IF(N687="snížená",J687,0)</f>
        <v>0</v>
      </c>
      <c r="BG687" s="2194">
        <f>IF(N687="zákl. přenesená",J687,0)</f>
        <v>0</v>
      </c>
      <c r="BH687" s="2194">
        <f>IF(N687="sníž. přenesená",J687,0)</f>
        <v>0</v>
      </c>
      <c r="BI687" s="2194">
        <f>IF(N687="nulová",J687,0)</f>
        <v>0</v>
      </c>
      <c r="BJ687" s="2056" t="s">
        <v>134</v>
      </c>
      <c r="BK687" s="2194">
        <f>ROUND(I687*H687,2)</f>
        <v>0</v>
      </c>
      <c r="BL687" s="2056" t="s">
        <v>856</v>
      </c>
      <c r="BM687" s="2193" t="s">
        <v>3840</v>
      </c>
    </row>
    <row r="688" spans="2:65" s="2070" customFormat="1" ht="21.75" customHeight="1">
      <c r="B688" s="2164"/>
      <c r="C688" s="4608">
        <v>140</v>
      </c>
      <c r="D688" s="4608" t="s">
        <v>3286</v>
      </c>
      <c r="E688" s="4609" t="s">
        <v>3842</v>
      </c>
      <c r="F688" s="4610" t="s">
        <v>3843</v>
      </c>
      <c r="G688" s="4611" t="s">
        <v>611</v>
      </c>
      <c r="H688" s="4612">
        <v>2176</v>
      </c>
      <c r="I688" s="4613"/>
      <c r="J688" s="4613">
        <f>ROUND(I688*H688,2)</f>
        <v>0</v>
      </c>
      <c r="K688" s="4610" t="s">
        <v>142</v>
      </c>
      <c r="L688" s="2071"/>
      <c r="M688" s="2190" t="s">
        <v>3146</v>
      </c>
      <c r="N688" s="2163" t="s">
        <v>3181</v>
      </c>
      <c r="O688" s="2191">
        <v>6.0999999999999999E-2</v>
      </c>
      <c r="P688" s="2191">
        <f>O688*H688</f>
        <v>132.73599999999999</v>
      </c>
      <c r="Q688" s="2191">
        <v>0</v>
      </c>
      <c r="R688" s="2191">
        <f>Q688*H688</f>
        <v>0</v>
      </c>
      <c r="S688" s="2191">
        <v>0</v>
      </c>
      <c r="T688" s="2192">
        <f>S688*H688</f>
        <v>0</v>
      </c>
      <c r="AR688" s="2193" t="s">
        <v>856</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856</v>
      </c>
      <c r="BM688" s="2193" t="s">
        <v>3844</v>
      </c>
    </row>
    <row r="689" spans="2:65" s="2070" customFormat="1" ht="21.75" customHeight="1">
      <c r="B689" s="2164"/>
      <c r="C689" s="4608">
        <v>141</v>
      </c>
      <c r="D689" s="4608" t="s">
        <v>3286</v>
      </c>
      <c r="E689" s="4609" t="s">
        <v>3846</v>
      </c>
      <c r="F689" s="4610" t="s">
        <v>3847</v>
      </c>
      <c r="G689" s="4611" t="s">
        <v>611</v>
      </c>
      <c r="H689" s="4612">
        <v>391680</v>
      </c>
      <c r="I689" s="4613"/>
      <c r="J689" s="4613">
        <f>ROUND(I689*H689,2)</f>
        <v>0</v>
      </c>
      <c r="K689" s="4610" t="s">
        <v>142</v>
      </c>
      <c r="L689" s="2071"/>
      <c r="M689" s="2190" t="s">
        <v>3146</v>
      </c>
      <c r="N689" s="2163" t="s">
        <v>3181</v>
      </c>
      <c r="O689" s="2191">
        <v>0</v>
      </c>
      <c r="P689" s="2191">
        <f>O689*H689</f>
        <v>0</v>
      </c>
      <c r="Q689" s="2191">
        <v>0</v>
      </c>
      <c r="R689" s="2191">
        <f>Q689*H689</f>
        <v>0</v>
      </c>
      <c r="S689" s="2191">
        <v>0</v>
      </c>
      <c r="T689" s="2192">
        <f>S689*H689</f>
        <v>0</v>
      </c>
      <c r="AR689" s="2193" t="s">
        <v>856</v>
      </c>
      <c r="AT689" s="2193" t="s">
        <v>3286</v>
      </c>
      <c r="AU689" s="2193" t="s">
        <v>134</v>
      </c>
      <c r="AY689" s="2056" t="s">
        <v>3285</v>
      </c>
      <c r="BE689" s="2194">
        <f>IF(N689="základní",J689,0)</f>
        <v>0</v>
      </c>
      <c r="BF689" s="2194">
        <f>IF(N689="snížená",J689,0)</f>
        <v>0</v>
      </c>
      <c r="BG689" s="2194">
        <f>IF(N689="zákl. přenesená",J689,0)</f>
        <v>0</v>
      </c>
      <c r="BH689" s="2194">
        <f>IF(N689="sníž. přenesená",J689,0)</f>
        <v>0</v>
      </c>
      <c r="BI689" s="2194">
        <f>IF(N689="nulová",J689,0)</f>
        <v>0</v>
      </c>
      <c r="BJ689" s="2056" t="s">
        <v>134</v>
      </c>
      <c r="BK689" s="2194">
        <f>ROUND(I689*H689,2)</f>
        <v>0</v>
      </c>
      <c r="BL689" s="2056" t="s">
        <v>856</v>
      </c>
      <c r="BM689" s="2193" t="s">
        <v>3848</v>
      </c>
    </row>
    <row r="690" spans="2:65" s="2209" customFormat="1">
      <c r="B690" s="2210"/>
      <c r="D690" s="2197" t="s">
        <v>3303</v>
      </c>
      <c r="F690" s="2212" t="s">
        <v>10824</v>
      </c>
      <c r="H690" s="2213">
        <v>391680</v>
      </c>
      <c r="L690" s="2210"/>
      <c r="M690" s="2214"/>
      <c r="T690" s="2215"/>
      <c r="AT690" s="2211" t="s">
        <v>3303</v>
      </c>
      <c r="AU690" s="2211" t="s">
        <v>134</v>
      </c>
      <c r="AV690" s="2209" t="s">
        <v>134</v>
      </c>
      <c r="AW690" s="2209" t="s">
        <v>3148</v>
      </c>
      <c r="AX690" s="2209" t="s">
        <v>133</v>
      </c>
      <c r="AY690" s="2211" t="s">
        <v>3285</v>
      </c>
    </row>
    <row r="691" spans="2:65" s="2070" customFormat="1" ht="21.75" customHeight="1">
      <c r="B691" s="2164"/>
      <c r="C691" s="4608">
        <v>142</v>
      </c>
      <c r="D691" s="4608" t="s">
        <v>3286</v>
      </c>
      <c r="E691" s="4609" t="s">
        <v>3850</v>
      </c>
      <c r="F691" s="4610" t="s">
        <v>3851</v>
      </c>
      <c r="G691" s="4611" t="s">
        <v>611</v>
      </c>
      <c r="H691" s="4612">
        <v>2176</v>
      </c>
      <c r="I691" s="4613"/>
      <c r="J691" s="4613">
        <f>ROUND(I691*H691,2)</f>
        <v>0</v>
      </c>
      <c r="K691" s="4610" t="s">
        <v>142</v>
      </c>
      <c r="L691" s="2071"/>
      <c r="M691" s="2190" t="s">
        <v>3146</v>
      </c>
      <c r="N691" s="2163" t="s">
        <v>3181</v>
      </c>
      <c r="O691" s="2191">
        <v>4.1000000000000002E-2</v>
      </c>
      <c r="P691" s="2191">
        <f>O691*H691</f>
        <v>89.216000000000008</v>
      </c>
      <c r="Q691" s="2191">
        <v>0</v>
      </c>
      <c r="R691" s="2191">
        <f>Q691*H691</f>
        <v>0</v>
      </c>
      <c r="S691" s="2191">
        <v>0</v>
      </c>
      <c r="T691" s="2192">
        <f>S691*H691</f>
        <v>0</v>
      </c>
      <c r="AR691" s="2193" t="s">
        <v>856</v>
      </c>
      <c r="AT691" s="2193" t="s">
        <v>3286</v>
      </c>
      <c r="AU691" s="2193" t="s">
        <v>134</v>
      </c>
      <c r="AY691" s="2056" t="s">
        <v>3285</v>
      </c>
      <c r="BE691" s="2194">
        <f>IF(N691="základní",J691,0)</f>
        <v>0</v>
      </c>
      <c r="BF691" s="2194">
        <f>IF(N691="snížená",J691,0)</f>
        <v>0</v>
      </c>
      <c r="BG691" s="2194">
        <f>IF(N691="zákl. přenesená",J691,0)</f>
        <v>0</v>
      </c>
      <c r="BH691" s="2194">
        <f>IF(N691="sníž. přenesená",J691,0)</f>
        <v>0</v>
      </c>
      <c r="BI691" s="2194">
        <f>IF(N691="nulová",J691,0)</f>
        <v>0</v>
      </c>
      <c r="BJ691" s="2056" t="s">
        <v>134</v>
      </c>
      <c r="BK691" s="2194">
        <f>ROUND(I691*H691,2)</f>
        <v>0</v>
      </c>
      <c r="BL691" s="2056" t="s">
        <v>856</v>
      </c>
      <c r="BM691" s="2193" t="s">
        <v>3852</v>
      </c>
    </row>
    <row r="692" spans="2:65" s="2070" customFormat="1" ht="33" customHeight="1">
      <c r="B692" s="2164"/>
      <c r="C692" s="4608">
        <v>143</v>
      </c>
      <c r="D692" s="4608" t="s">
        <v>3286</v>
      </c>
      <c r="E692" s="4609" t="s">
        <v>3854</v>
      </c>
      <c r="F692" s="4610" t="s">
        <v>3855</v>
      </c>
      <c r="G692" s="4611" t="s">
        <v>155</v>
      </c>
      <c r="H692" s="4612">
        <v>5</v>
      </c>
      <c r="I692" s="4613"/>
      <c r="J692" s="4613">
        <f>ROUND(I692*H692,2)</f>
        <v>0</v>
      </c>
      <c r="K692" s="4610" t="s">
        <v>142</v>
      </c>
      <c r="L692" s="2071"/>
      <c r="M692" s="2190" t="s">
        <v>3146</v>
      </c>
      <c r="N692" s="2163" t="s">
        <v>3181</v>
      </c>
      <c r="O692" s="2191">
        <v>10.065</v>
      </c>
      <c r="P692" s="2191">
        <f>O692*H692</f>
        <v>50.324999999999996</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3856</v>
      </c>
    </row>
    <row r="693" spans="2:65" s="2070" customFormat="1" ht="33" customHeight="1">
      <c r="B693" s="2164"/>
      <c r="C693" s="4608">
        <v>144</v>
      </c>
      <c r="D693" s="4608" t="s">
        <v>3286</v>
      </c>
      <c r="E693" s="4609" t="s">
        <v>3858</v>
      </c>
      <c r="F693" s="4610" t="s">
        <v>3859</v>
      </c>
      <c r="G693" s="4611" t="s">
        <v>155</v>
      </c>
      <c r="H693" s="4612">
        <v>150</v>
      </c>
      <c r="I693" s="4613"/>
      <c r="J693" s="4613">
        <f>ROUND(I693*H693,2)</f>
        <v>0</v>
      </c>
      <c r="K693" s="4610" t="s">
        <v>142</v>
      </c>
      <c r="L693" s="2071"/>
      <c r="M693" s="2190" t="s">
        <v>3146</v>
      </c>
      <c r="N693" s="2163" t="s">
        <v>3181</v>
      </c>
      <c r="O693" s="2191">
        <v>0</v>
      </c>
      <c r="P693" s="2191">
        <f>O693*H693</f>
        <v>0</v>
      </c>
      <c r="Q693" s="2191">
        <v>0</v>
      </c>
      <c r="R693" s="2191">
        <f>Q693*H693</f>
        <v>0</v>
      </c>
      <c r="S693" s="2191">
        <v>0</v>
      </c>
      <c r="T693" s="2192">
        <f>S693*H693</f>
        <v>0</v>
      </c>
      <c r="AR693" s="2193" t="s">
        <v>856</v>
      </c>
      <c r="AT693" s="2193" t="s">
        <v>3286</v>
      </c>
      <c r="AU693" s="2193" t="s">
        <v>134</v>
      </c>
      <c r="AY693" s="2056" t="s">
        <v>3285</v>
      </c>
      <c r="BE693" s="2194">
        <f>IF(N693="základní",J693,0)</f>
        <v>0</v>
      </c>
      <c r="BF693" s="2194">
        <f>IF(N693="snížená",J693,0)</f>
        <v>0</v>
      </c>
      <c r="BG693" s="2194">
        <f>IF(N693="zákl. přenesená",J693,0)</f>
        <v>0</v>
      </c>
      <c r="BH693" s="2194">
        <f>IF(N693="sníž. přenesená",J693,0)</f>
        <v>0</v>
      </c>
      <c r="BI693" s="2194">
        <f>IF(N693="nulová",J693,0)</f>
        <v>0</v>
      </c>
      <c r="BJ693" s="2056" t="s">
        <v>134</v>
      </c>
      <c r="BK693" s="2194">
        <f>ROUND(I693*H693,2)</f>
        <v>0</v>
      </c>
      <c r="BL693" s="2056" t="s">
        <v>856</v>
      </c>
      <c r="BM693" s="2193" t="s">
        <v>3860</v>
      </c>
    </row>
    <row r="694" spans="2:65" s="2209" customFormat="1">
      <c r="B694" s="2210"/>
      <c r="D694" s="2197" t="s">
        <v>3303</v>
      </c>
      <c r="E694" s="2211" t="s">
        <v>3146</v>
      </c>
      <c r="F694" s="2212" t="s">
        <v>858</v>
      </c>
      <c r="H694" s="2213">
        <v>5</v>
      </c>
      <c r="L694" s="2210"/>
      <c r="M694" s="2214"/>
      <c r="T694" s="2215"/>
      <c r="AT694" s="2211" t="s">
        <v>3303</v>
      </c>
      <c r="AU694" s="2211" t="s">
        <v>134</v>
      </c>
      <c r="AV694" s="2209" t="s">
        <v>134</v>
      </c>
      <c r="AW694" s="2209" t="s">
        <v>3171</v>
      </c>
      <c r="AX694" s="2209" t="s">
        <v>133</v>
      </c>
      <c r="AY694" s="2211" t="s">
        <v>3285</v>
      </c>
    </row>
    <row r="695" spans="2:65" s="2209" customFormat="1">
      <c r="B695" s="2210"/>
      <c r="D695" s="2197" t="s">
        <v>3303</v>
      </c>
      <c r="F695" s="2212" t="s">
        <v>10825</v>
      </c>
      <c r="H695" s="2213">
        <v>150</v>
      </c>
      <c r="L695" s="2210"/>
      <c r="M695" s="2214"/>
      <c r="T695" s="2215"/>
      <c r="AT695" s="2211" t="s">
        <v>3303</v>
      </c>
      <c r="AU695" s="2211" t="s">
        <v>134</v>
      </c>
      <c r="AV695" s="2209" t="s">
        <v>134</v>
      </c>
      <c r="AW695" s="2209" t="s">
        <v>3148</v>
      </c>
      <c r="AX695" s="2209" t="s">
        <v>133</v>
      </c>
      <c r="AY695" s="2211" t="s">
        <v>3285</v>
      </c>
    </row>
    <row r="696" spans="2:65" s="2070" customFormat="1" ht="33" customHeight="1">
      <c r="B696" s="2164"/>
      <c r="C696" s="4608">
        <v>145</v>
      </c>
      <c r="D696" s="4608" t="s">
        <v>3286</v>
      </c>
      <c r="E696" s="4609" t="s">
        <v>3862</v>
      </c>
      <c r="F696" s="4610" t="s">
        <v>3863</v>
      </c>
      <c r="G696" s="4611" t="s">
        <v>155</v>
      </c>
      <c r="H696" s="4612">
        <v>5</v>
      </c>
      <c r="I696" s="4613"/>
      <c r="J696" s="4613">
        <f>ROUND(I696*H696,2)</f>
        <v>0</v>
      </c>
      <c r="K696" s="4610" t="s">
        <v>142</v>
      </c>
      <c r="L696" s="2071"/>
      <c r="M696" s="2190" t="s">
        <v>3146</v>
      </c>
      <c r="N696" s="2163" t="s">
        <v>3181</v>
      </c>
      <c r="O696" s="2191">
        <v>7.4809999999999999</v>
      </c>
      <c r="P696" s="2191">
        <f>O696*H696</f>
        <v>37.405000000000001</v>
      </c>
      <c r="Q696" s="2191">
        <v>0</v>
      </c>
      <c r="R696" s="2191">
        <f>Q696*H696</f>
        <v>0</v>
      </c>
      <c r="S696" s="2191">
        <v>0</v>
      </c>
      <c r="T696" s="2192">
        <f>S696*H696</f>
        <v>0</v>
      </c>
      <c r="AR696" s="2193" t="s">
        <v>856</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856</v>
      </c>
      <c r="BM696" s="2193" t="s">
        <v>3864</v>
      </c>
    </row>
    <row r="697" spans="2:65" s="2070" customFormat="1" ht="24.2" customHeight="1">
      <c r="B697" s="2164"/>
      <c r="C697" s="4608">
        <v>146</v>
      </c>
      <c r="D697" s="4608" t="s">
        <v>3286</v>
      </c>
      <c r="E697" s="4609" t="s">
        <v>3866</v>
      </c>
      <c r="F697" s="4610" t="s">
        <v>3867</v>
      </c>
      <c r="G697" s="4611" t="s">
        <v>155</v>
      </c>
      <c r="H697" s="4612">
        <v>5</v>
      </c>
      <c r="I697" s="4613"/>
      <c r="J697" s="4613">
        <f>ROUND(I697*H697,2)</f>
        <v>0</v>
      </c>
      <c r="K697" s="4610" t="s">
        <v>142</v>
      </c>
      <c r="L697" s="2071"/>
      <c r="M697" s="2190" t="s">
        <v>3146</v>
      </c>
      <c r="N697" s="2163" t="s">
        <v>3181</v>
      </c>
      <c r="O697" s="2191">
        <v>22.09</v>
      </c>
      <c r="P697" s="2191">
        <f>O697*H697</f>
        <v>110.45</v>
      </c>
      <c r="Q697" s="2191">
        <v>0</v>
      </c>
      <c r="R697" s="2191">
        <f>Q697*H697</f>
        <v>0</v>
      </c>
      <c r="S697" s="2191">
        <v>0</v>
      </c>
      <c r="T697" s="2192">
        <f>S697*H697</f>
        <v>0</v>
      </c>
      <c r="AR697" s="2193" t="s">
        <v>856</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856</v>
      </c>
      <c r="BM697" s="2193" t="s">
        <v>3868</v>
      </c>
    </row>
    <row r="698" spans="2:65" s="2070" customFormat="1" ht="33" customHeight="1">
      <c r="B698" s="2164"/>
      <c r="C698" s="4608">
        <v>147</v>
      </c>
      <c r="D698" s="4608" t="s">
        <v>3286</v>
      </c>
      <c r="E698" s="4609" t="s">
        <v>3870</v>
      </c>
      <c r="F698" s="4610" t="s">
        <v>3871</v>
      </c>
      <c r="G698" s="4611" t="s">
        <v>155</v>
      </c>
      <c r="H698" s="4612">
        <v>300</v>
      </c>
      <c r="I698" s="4613"/>
      <c r="J698" s="4613">
        <f>ROUND(I698*H698,2)</f>
        <v>0</v>
      </c>
      <c r="K698" s="4610" t="s">
        <v>142</v>
      </c>
      <c r="L698" s="2071"/>
      <c r="M698" s="2190" t="s">
        <v>3146</v>
      </c>
      <c r="N698" s="2163" t="s">
        <v>3181</v>
      </c>
      <c r="O698" s="2191">
        <v>0</v>
      </c>
      <c r="P698" s="2191">
        <f>O698*H698</f>
        <v>0</v>
      </c>
      <c r="Q698" s="2191">
        <v>0</v>
      </c>
      <c r="R698" s="2191">
        <f>Q698*H698</f>
        <v>0</v>
      </c>
      <c r="S698" s="2191">
        <v>0</v>
      </c>
      <c r="T698" s="2192">
        <f>S698*H698</f>
        <v>0</v>
      </c>
      <c r="AR698" s="2193" t="s">
        <v>856</v>
      </c>
      <c r="AT698" s="2193" t="s">
        <v>3286</v>
      </c>
      <c r="AU698" s="2193" t="s">
        <v>134</v>
      </c>
      <c r="AY698" s="2056" t="s">
        <v>3285</v>
      </c>
      <c r="BE698" s="2194">
        <f>IF(N698="základní",J698,0)</f>
        <v>0</v>
      </c>
      <c r="BF698" s="2194">
        <f>IF(N698="snížená",J698,0)</f>
        <v>0</v>
      </c>
      <c r="BG698" s="2194">
        <f>IF(N698="zákl. přenesená",J698,0)</f>
        <v>0</v>
      </c>
      <c r="BH698" s="2194">
        <f>IF(N698="sníž. přenesená",J698,0)</f>
        <v>0</v>
      </c>
      <c r="BI698" s="2194">
        <f>IF(N698="nulová",J698,0)</f>
        <v>0</v>
      </c>
      <c r="BJ698" s="2056" t="s">
        <v>134</v>
      </c>
      <c r="BK698" s="2194">
        <f>ROUND(I698*H698,2)</f>
        <v>0</v>
      </c>
      <c r="BL698" s="2056" t="s">
        <v>856</v>
      </c>
      <c r="BM698" s="2193" t="s">
        <v>3872</v>
      </c>
    </row>
    <row r="699" spans="2:65" s="2209" customFormat="1">
      <c r="B699" s="2210"/>
      <c r="D699" s="2197" t="s">
        <v>3303</v>
      </c>
      <c r="E699" s="2211" t="s">
        <v>3146</v>
      </c>
      <c r="F699" s="2212" t="s">
        <v>858</v>
      </c>
      <c r="H699" s="2213">
        <v>5</v>
      </c>
      <c r="L699" s="2210"/>
      <c r="M699" s="2214"/>
      <c r="T699" s="2215"/>
      <c r="AT699" s="2211" t="s">
        <v>3303</v>
      </c>
      <c r="AU699" s="2211" t="s">
        <v>134</v>
      </c>
      <c r="AV699" s="2209" t="s">
        <v>134</v>
      </c>
      <c r="AW699" s="2209" t="s">
        <v>3171</v>
      </c>
      <c r="AX699" s="2209" t="s">
        <v>133</v>
      </c>
      <c r="AY699" s="2211" t="s">
        <v>3285</v>
      </c>
    </row>
    <row r="700" spans="2:65" s="2209" customFormat="1">
      <c r="B700" s="2210"/>
      <c r="D700" s="2197" t="s">
        <v>3303</v>
      </c>
      <c r="F700" s="2212" t="s">
        <v>10826</v>
      </c>
      <c r="H700" s="2213">
        <v>300</v>
      </c>
      <c r="L700" s="2210"/>
      <c r="M700" s="2214"/>
      <c r="T700" s="2215"/>
      <c r="AT700" s="2211" t="s">
        <v>3303</v>
      </c>
      <c r="AU700" s="2211" t="s">
        <v>134</v>
      </c>
      <c r="AV700" s="2209" t="s">
        <v>134</v>
      </c>
      <c r="AW700" s="2209" t="s">
        <v>3148</v>
      </c>
      <c r="AX700" s="2209" t="s">
        <v>133</v>
      </c>
      <c r="AY700" s="2211" t="s">
        <v>3285</v>
      </c>
    </row>
    <row r="701" spans="2:65" s="2070" customFormat="1" ht="33" customHeight="1">
      <c r="B701" s="2164"/>
      <c r="C701" s="4608">
        <v>148</v>
      </c>
      <c r="D701" s="4608" t="s">
        <v>3286</v>
      </c>
      <c r="E701" s="4609" t="s">
        <v>3874</v>
      </c>
      <c r="F701" s="4610" t="s">
        <v>3875</v>
      </c>
      <c r="G701" s="4611" t="s">
        <v>155</v>
      </c>
      <c r="H701" s="4612">
        <v>5</v>
      </c>
      <c r="I701" s="4613"/>
      <c r="J701" s="4613">
        <f>ROUND(I701*H701,2)</f>
        <v>0</v>
      </c>
      <c r="K701" s="4610" t="s">
        <v>142</v>
      </c>
      <c r="L701" s="2071"/>
      <c r="M701" s="2190" t="s">
        <v>3146</v>
      </c>
      <c r="N701" s="2163" t="s">
        <v>3181</v>
      </c>
      <c r="O701" s="2191">
        <v>19.202999999999999</v>
      </c>
      <c r="P701" s="2191">
        <f>O701*H701</f>
        <v>96.015000000000001</v>
      </c>
      <c r="Q701" s="2191">
        <v>0</v>
      </c>
      <c r="R701" s="2191">
        <f>Q701*H701</f>
        <v>0</v>
      </c>
      <c r="S701" s="2191">
        <v>0</v>
      </c>
      <c r="T701" s="2192">
        <f>S701*H701</f>
        <v>0</v>
      </c>
      <c r="AR701" s="2193" t="s">
        <v>856</v>
      </c>
      <c r="AT701" s="2193" t="s">
        <v>3286</v>
      </c>
      <c r="AU701" s="2193" t="s">
        <v>134</v>
      </c>
      <c r="AY701" s="2056" t="s">
        <v>3285</v>
      </c>
      <c r="BE701" s="2194">
        <f>IF(N701="základní",J701,0)</f>
        <v>0</v>
      </c>
      <c r="BF701" s="2194">
        <f>IF(N701="snížená",J701,0)</f>
        <v>0</v>
      </c>
      <c r="BG701" s="2194">
        <f>IF(N701="zákl. přenesená",J701,0)</f>
        <v>0</v>
      </c>
      <c r="BH701" s="2194">
        <f>IF(N701="sníž. přenesená",J701,0)</f>
        <v>0</v>
      </c>
      <c r="BI701" s="2194">
        <f>IF(N701="nulová",J701,0)</f>
        <v>0</v>
      </c>
      <c r="BJ701" s="2056" t="s">
        <v>134</v>
      </c>
      <c r="BK701" s="2194">
        <f>ROUND(I701*H701,2)</f>
        <v>0</v>
      </c>
      <c r="BL701" s="2056" t="s">
        <v>856</v>
      </c>
      <c r="BM701" s="2193" t="s">
        <v>3876</v>
      </c>
    </row>
    <row r="702" spans="2:65" s="2070" customFormat="1" ht="37.9" customHeight="1">
      <c r="B702" s="2164"/>
      <c r="C702" s="4608">
        <v>149</v>
      </c>
      <c r="D702" s="4608" t="s">
        <v>3286</v>
      </c>
      <c r="E702" s="4609" t="s">
        <v>10827</v>
      </c>
      <c r="F702" s="4610" t="s">
        <v>10828</v>
      </c>
      <c r="G702" s="4611" t="s">
        <v>611</v>
      </c>
      <c r="H702" s="4612">
        <v>1942.002</v>
      </c>
      <c r="I702" s="4613"/>
      <c r="J702" s="4613">
        <f>ROUND(I702*H702,2)</f>
        <v>0</v>
      </c>
      <c r="K702" s="4610" t="s">
        <v>142</v>
      </c>
      <c r="L702" s="2071"/>
      <c r="M702" s="2190" t="s">
        <v>3146</v>
      </c>
      <c r="N702" s="2163" t="s">
        <v>3181</v>
      </c>
      <c r="O702" s="2191">
        <v>0.126</v>
      </c>
      <c r="P702" s="2191">
        <f>O702*H702</f>
        <v>244.692252</v>
      </c>
      <c r="Q702" s="2191">
        <v>2.1000000000000001E-4</v>
      </c>
      <c r="R702" s="2191">
        <f>Q702*H702</f>
        <v>0.40782042000000002</v>
      </c>
      <c r="S702" s="2191">
        <v>0</v>
      </c>
      <c r="T702" s="2192">
        <f>S702*H702</f>
        <v>0</v>
      </c>
      <c r="AR702" s="2193" t="s">
        <v>856</v>
      </c>
      <c r="AT702" s="2193" t="s">
        <v>3286</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856</v>
      </c>
      <c r="BM702" s="2193" t="s">
        <v>10829</v>
      </c>
    </row>
    <row r="703" spans="2:65" s="2209" customFormat="1">
      <c r="B703" s="2210"/>
      <c r="D703" s="2197" t="s">
        <v>3303</v>
      </c>
      <c r="E703" s="2211" t="s">
        <v>3146</v>
      </c>
      <c r="F703" s="2212" t="s">
        <v>10830</v>
      </c>
      <c r="H703" s="2213">
        <v>971.00099999999998</v>
      </c>
      <c r="L703" s="2210"/>
      <c r="M703" s="2214"/>
      <c r="T703" s="2215"/>
      <c r="AT703" s="2211" t="s">
        <v>3303</v>
      </c>
      <c r="AU703" s="2211" t="s">
        <v>134</v>
      </c>
      <c r="AV703" s="2209" t="s">
        <v>134</v>
      </c>
      <c r="AW703" s="2209" t="s">
        <v>3171</v>
      </c>
      <c r="AX703" s="2209" t="s">
        <v>133</v>
      </c>
      <c r="AY703" s="2211" t="s">
        <v>3285</v>
      </c>
    </row>
    <row r="704" spans="2:65" s="2209" customFormat="1">
      <c r="B704" s="2210"/>
      <c r="D704" s="2197" t="s">
        <v>3303</v>
      </c>
      <c r="F704" s="2212" t="s">
        <v>10831</v>
      </c>
      <c r="H704" s="2213">
        <v>1942.002</v>
      </c>
      <c r="L704" s="2210"/>
      <c r="M704" s="2214"/>
      <c r="T704" s="2215"/>
      <c r="AT704" s="2211" t="s">
        <v>3303</v>
      </c>
      <c r="AU704" s="2211" t="s">
        <v>134</v>
      </c>
      <c r="AV704" s="2209" t="s">
        <v>134</v>
      </c>
      <c r="AW704" s="2209" t="s">
        <v>3148</v>
      </c>
      <c r="AX704" s="2209" t="s">
        <v>133</v>
      </c>
      <c r="AY704" s="2211" t="s">
        <v>3285</v>
      </c>
    </row>
    <row r="705" spans="2:65" s="2070" customFormat="1" ht="33" customHeight="1">
      <c r="B705" s="2164"/>
      <c r="C705" s="4608">
        <v>150</v>
      </c>
      <c r="D705" s="4608" t="s">
        <v>3286</v>
      </c>
      <c r="E705" s="4609" t="s">
        <v>3878</v>
      </c>
      <c r="F705" s="4610" t="s">
        <v>3879</v>
      </c>
      <c r="G705" s="4611" t="s">
        <v>611</v>
      </c>
      <c r="H705" s="4612">
        <v>7233.7</v>
      </c>
      <c r="I705" s="4613"/>
      <c r="J705" s="4613">
        <f>ROUND(I705*H705,2)</f>
        <v>0</v>
      </c>
      <c r="K705" s="4610" t="s">
        <v>142</v>
      </c>
      <c r="L705" s="2071"/>
      <c r="M705" s="2190" t="s">
        <v>3146</v>
      </c>
      <c r="N705" s="2163" t="s">
        <v>3181</v>
      </c>
      <c r="O705" s="2191">
        <v>0.105</v>
      </c>
      <c r="P705" s="2191">
        <f>O705*H705</f>
        <v>759.5385</v>
      </c>
      <c r="Q705" s="2191">
        <v>1.2999999999999999E-4</v>
      </c>
      <c r="R705" s="2191">
        <f>Q705*H705</f>
        <v>0.94038099999999991</v>
      </c>
      <c r="S705" s="2191">
        <v>0</v>
      </c>
      <c r="T705" s="2192">
        <f>S705*H705</f>
        <v>0</v>
      </c>
      <c r="AR705" s="2193" t="s">
        <v>856</v>
      </c>
      <c r="AT705" s="2193" t="s">
        <v>3286</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856</v>
      </c>
      <c r="BM705" s="2193" t="s">
        <v>3880</v>
      </c>
    </row>
    <row r="706" spans="2:65" s="2209" customFormat="1">
      <c r="B706" s="2210"/>
      <c r="D706" s="2197" t="s">
        <v>3303</v>
      </c>
      <c r="F706" s="2212" t="s">
        <v>10832</v>
      </c>
      <c r="H706" s="2213">
        <v>7233.7</v>
      </c>
      <c r="L706" s="2210"/>
      <c r="M706" s="2214"/>
      <c r="T706" s="2215"/>
      <c r="AT706" s="2211" t="s">
        <v>3303</v>
      </c>
      <c r="AU706" s="2211" t="s">
        <v>134</v>
      </c>
      <c r="AV706" s="2209" t="s">
        <v>134</v>
      </c>
      <c r="AW706" s="2209" t="s">
        <v>3148</v>
      </c>
      <c r="AX706" s="2209" t="s">
        <v>133</v>
      </c>
      <c r="AY706" s="2211" t="s">
        <v>3285</v>
      </c>
    </row>
    <row r="707" spans="2:65" s="2070" customFormat="1" ht="24.2" customHeight="1">
      <c r="B707" s="2164"/>
      <c r="C707" s="4608">
        <v>151</v>
      </c>
      <c r="D707" s="4608" t="s">
        <v>3286</v>
      </c>
      <c r="E707" s="4609" t="s">
        <v>3882</v>
      </c>
      <c r="F707" s="4610" t="s">
        <v>3883</v>
      </c>
      <c r="G707" s="4611" t="s">
        <v>611</v>
      </c>
      <c r="H707" s="4612">
        <v>3998.6</v>
      </c>
      <c r="I707" s="4613"/>
      <c r="J707" s="4613">
        <f>ROUND(I707*H707,2)</f>
        <v>0</v>
      </c>
      <c r="K707" s="4610" t="s">
        <v>142</v>
      </c>
      <c r="L707" s="2071"/>
      <c r="M707" s="2190" t="s">
        <v>3146</v>
      </c>
      <c r="N707" s="2163" t="s">
        <v>3181</v>
      </c>
      <c r="O707" s="2191">
        <v>0.308</v>
      </c>
      <c r="P707" s="2191">
        <f>O707*H707</f>
        <v>1231.5688</v>
      </c>
      <c r="Q707" s="2191">
        <v>4.0000000000000003E-5</v>
      </c>
      <c r="R707" s="2191">
        <f>Q707*H707</f>
        <v>0.159944</v>
      </c>
      <c r="S707" s="2191">
        <v>0</v>
      </c>
      <c r="T707" s="2192">
        <f>S707*H707</f>
        <v>0</v>
      </c>
      <c r="AR707" s="2193" t="s">
        <v>856</v>
      </c>
      <c r="AT707" s="2193" t="s">
        <v>3286</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856</v>
      </c>
      <c r="BM707" s="2193" t="s">
        <v>3884</v>
      </c>
    </row>
    <row r="708" spans="2:65" s="2070" customFormat="1" ht="16.5" customHeight="1">
      <c r="B708" s="2164"/>
      <c r="C708" s="5561">
        <v>152</v>
      </c>
      <c r="D708" s="4608" t="s">
        <v>3286</v>
      </c>
      <c r="E708" s="4609" t="s">
        <v>3886</v>
      </c>
      <c r="F708" s="4610" t="s">
        <v>3887</v>
      </c>
      <c r="G708" s="4611" t="s">
        <v>23</v>
      </c>
      <c r="H708" s="4612">
        <v>1</v>
      </c>
      <c r="I708" s="4613"/>
      <c r="J708" s="4613">
        <f>ROUND(I708*H708,2)</f>
        <v>0</v>
      </c>
      <c r="K708" s="4610" t="s">
        <v>3146</v>
      </c>
      <c r="L708" s="2071"/>
      <c r="M708" s="2190" t="s">
        <v>3146</v>
      </c>
      <c r="N708" s="2163" t="s">
        <v>3181</v>
      </c>
      <c r="O708" s="2191">
        <v>0</v>
      </c>
      <c r="P708" s="2191">
        <f>O708*H708</f>
        <v>0</v>
      </c>
      <c r="Q708" s="2191">
        <v>0</v>
      </c>
      <c r="R708" s="2191">
        <f>Q708*H708</f>
        <v>0</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3888</v>
      </c>
    </row>
    <row r="709" spans="2:65" s="2070" customFormat="1" ht="27" customHeight="1">
      <c r="B709" s="2164"/>
      <c r="C709" s="4608"/>
      <c r="D709" s="4608"/>
      <c r="E709" s="4609"/>
      <c r="F709" s="5563" t="s">
        <v>11641</v>
      </c>
      <c r="G709" s="4611"/>
      <c r="H709" s="4612"/>
      <c r="I709" s="4613"/>
      <c r="J709" s="4613"/>
      <c r="K709" s="4610"/>
      <c r="L709" s="2071"/>
      <c r="M709" s="2190"/>
      <c r="N709" s="2163"/>
      <c r="O709" s="2191"/>
      <c r="P709" s="2191"/>
      <c r="Q709" s="2191"/>
      <c r="R709" s="2191"/>
      <c r="S709" s="2191"/>
      <c r="T709" s="2192"/>
      <c r="AR709" s="2193"/>
      <c r="AT709" s="2193"/>
      <c r="AU709" s="2193"/>
      <c r="AY709" s="2056"/>
      <c r="BE709" s="2194"/>
      <c r="BF709" s="2194"/>
      <c r="BG709" s="2194"/>
      <c r="BH709" s="2194"/>
      <c r="BI709" s="2194"/>
      <c r="BJ709" s="2056"/>
      <c r="BK709" s="2194"/>
      <c r="BL709" s="2056"/>
      <c r="BM709" s="2193"/>
    </row>
    <row r="710" spans="2:65" s="2070" customFormat="1" ht="54" customHeight="1">
      <c r="B710" s="2164"/>
      <c r="C710" s="4608"/>
      <c r="D710" s="4608"/>
      <c r="E710" s="4609"/>
      <c r="F710" s="5563" t="s">
        <v>11643</v>
      </c>
      <c r="G710" s="4611"/>
      <c r="H710" s="4612"/>
      <c r="I710" s="4613"/>
      <c r="J710" s="4613"/>
      <c r="K710" s="4610"/>
      <c r="L710" s="2071"/>
      <c r="M710" s="2190"/>
      <c r="N710" s="2163"/>
      <c r="O710" s="2191"/>
      <c r="P710" s="2191"/>
      <c r="Q710" s="2191"/>
      <c r="R710" s="2191"/>
      <c r="S710" s="2191"/>
      <c r="T710" s="2192"/>
      <c r="AR710" s="2193"/>
      <c r="AT710" s="2193"/>
      <c r="AU710" s="2193"/>
      <c r="AY710" s="2056"/>
      <c r="BE710" s="2194"/>
      <c r="BF710" s="2194"/>
      <c r="BG710" s="2194"/>
      <c r="BH710" s="2194"/>
      <c r="BI710" s="2194"/>
      <c r="BJ710" s="2056"/>
      <c r="BK710" s="2194"/>
      <c r="BL710" s="2056"/>
      <c r="BM710" s="2193"/>
    </row>
    <row r="711" spans="2:65" s="2070" customFormat="1" ht="16.5" customHeight="1">
      <c r="B711" s="2164"/>
      <c r="C711" s="5561">
        <v>153</v>
      </c>
      <c r="D711" s="4608" t="s">
        <v>3286</v>
      </c>
      <c r="E711" s="4609" t="s">
        <v>3890</v>
      </c>
      <c r="F711" s="4610" t="s">
        <v>3891</v>
      </c>
      <c r="G711" s="4611" t="s">
        <v>23</v>
      </c>
      <c r="H711" s="4612">
        <v>1</v>
      </c>
      <c r="I711" s="4613"/>
      <c r="J711" s="4613">
        <f>ROUND(I711*H711,2)</f>
        <v>0</v>
      </c>
      <c r="K711" s="4610" t="s">
        <v>3146</v>
      </c>
      <c r="L711" s="2071"/>
      <c r="M711" s="2190" t="s">
        <v>3146</v>
      </c>
      <c r="N711" s="2163" t="s">
        <v>3181</v>
      </c>
      <c r="O711" s="2191">
        <v>0</v>
      </c>
      <c r="P711" s="2191">
        <f>O711*H711</f>
        <v>0</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3892</v>
      </c>
    </row>
    <row r="712" spans="2:65" s="2070" customFormat="1" ht="27" customHeight="1">
      <c r="B712" s="2164"/>
      <c r="C712" s="4608"/>
      <c r="D712" s="4608"/>
      <c r="E712" s="4609"/>
      <c r="F712" s="5563" t="s">
        <v>11644</v>
      </c>
      <c r="G712" s="4611"/>
      <c r="H712" s="4612"/>
      <c r="I712" s="4613"/>
      <c r="J712" s="4613"/>
      <c r="K712" s="4610"/>
      <c r="L712" s="2071"/>
      <c r="M712" s="2190"/>
      <c r="N712" s="2163"/>
      <c r="O712" s="2191"/>
      <c r="P712" s="2191"/>
      <c r="Q712" s="2191"/>
      <c r="R712" s="2191"/>
      <c r="S712" s="2191"/>
      <c r="T712" s="2192"/>
      <c r="AR712" s="2193"/>
      <c r="AT712" s="2193"/>
      <c r="AU712" s="2193"/>
      <c r="AY712" s="2056"/>
      <c r="BE712" s="2194"/>
      <c r="BF712" s="2194"/>
      <c r="BG712" s="2194"/>
      <c r="BH712" s="2194"/>
      <c r="BI712" s="2194"/>
      <c r="BJ712" s="2056"/>
      <c r="BK712" s="2194"/>
      <c r="BL712" s="2056"/>
      <c r="BM712" s="2193"/>
    </row>
    <row r="713" spans="2:65" s="2070" customFormat="1" ht="148.5" customHeight="1">
      <c r="B713" s="2164"/>
      <c r="C713" s="4608"/>
      <c r="D713" s="4608"/>
      <c r="E713" s="4609"/>
      <c r="F713" s="5563" t="s">
        <v>11645</v>
      </c>
      <c r="G713" s="4611"/>
      <c r="H713" s="4612"/>
      <c r="I713" s="4613"/>
      <c r="J713" s="4613"/>
      <c r="K713" s="4610"/>
      <c r="L713" s="2071"/>
      <c r="M713" s="2190"/>
      <c r="N713" s="2163"/>
      <c r="O713" s="2191"/>
      <c r="P713" s="2191"/>
      <c r="Q713" s="2191"/>
      <c r="R713" s="2191"/>
      <c r="S713" s="2191"/>
      <c r="T713" s="2192"/>
      <c r="AR713" s="2193"/>
      <c r="AT713" s="2193"/>
      <c r="AU713" s="2193"/>
      <c r="AY713" s="2056"/>
      <c r="BE713" s="2194"/>
      <c r="BF713" s="2194"/>
      <c r="BG713" s="2194"/>
      <c r="BH713" s="2194"/>
      <c r="BI713" s="2194"/>
      <c r="BJ713" s="2056"/>
      <c r="BK713" s="2194"/>
      <c r="BL713" s="2056"/>
      <c r="BM713" s="2193"/>
    </row>
    <row r="714" spans="2:65" s="2070" customFormat="1" ht="27" customHeight="1">
      <c r="B714" s="2164"/>
      <c r="C714" s="4608"/>
      <c r="D714" s="4608"/>
      <c r="E714" s="4609"/>
      <c r="F714" s="5563" t="s">
        <v>11642</v>
      </c>
      <c r="G714" s="4611"/>
      <c r="H714" s="4612"/>
      <c r="I714" s="4613"/>
      <c r="J714" s="4613"/>
      <c r="K714" s="4610"/>
      <c r="L714" s="2071"/>
      <c r="M714" s="2190"/>
      <c r="N714" s="2163"/>
      <c r="O714" s="2191"/>
      <c r="P714" s="2191"/>
      <c r="Q714" s="2191"/>
      <c r="R714" s="2191"/>
      <c r="S714" s="2191"/>
      <c r="T714" s="2192"/>
      <c r="AR714" s="2193"/>
      <c r="AT714" s="2193"/>
      <c r="AU714" s="2193"/>
      <c r="AY714" s="2056"/>
      <c r="BE714" s="2194"/>
      <c r="BF714" s="2194"/>
      <c r="BG714" s="2194"/>
      <c r="BH714" s="2194"/>
      <c r="BI714" s="2194"/>
      <c r="BJ714" s="2056"/>
      <c r="BK714" s="2194"/>
      <c r="BL714" s="2056"/>
      <c r="BM714" s="2193"/>
    </row>
    <row r="715" spans="2:65" s="2070" customFormat="1" ht="54" customHeight="1">
      <c r="B715" s="2164"/>
      <c r="C715" s="4608"/>
      <c r="D715" s="4608"/>
      <c r="E715" s="4609"/>
      <c r="F715" s="5563" t="s">
        <v>11646</v>
      </c>
      <c r="G715" s="4611"/>
      <c r="H715" s="4612"/>
      <c r="I715" s="4613"/>
      <c r="J715" s="4613"/>
      <c r="K715" s="4610"/>
      <c r="L715" s="2071"/>
      <c r="M715" s="2190"/>
      <c r="N715" s="2163"/>
      <c r="O715" s="2191"/>
      <c r="P715" s="2191"/>
      <c r="Q715" s="2191"/>
      <c r="R715" s="2191"/>
      <c r="S715" s="2191"/>
      <c r="T715" s="2192"/>
      <c r="AR715" s="2193"/>
      <c r="AT715" s="2193"/>
      <c r="AU715" s="2193"/>
      <c r="AY715" s="2056"/>
      <c r="BE715" s="2194"/>
      <c r="BF715" s="2194"/>
      <c r="BG715" s="2194"/>
      <c r="BH715" s="2194"/>
      <c r="BI715" s="2194"/>
      <c r="BJ715" s="2056"/>
      <c r="BK715" s="2194"/>
      <c r="BL715" s="2056"/>
      <c r="BM715" s="2193"/>
    </row>
    <row r="716" spans="2:65" s="2070" customFormat="1" ht="24.2" customHeight="1">
      <c r="B716" s="2164"/>
      <c r="C716" s="4608">
        <v>154</v>
      </c>
      <c r="D716" s="4608" t="s">
        <v>3286</v>
      </c>
      <c r="E716" s="4609" t="s">
        <v>3894</v>
      </c>
      <c r="F716" s="4610" t="s">
        <v>3895</v>
      </c>
      <c r="G716" s="4611" t="s">
        <v>141</v>
      </c>
      <c r="H716" s="4612">
        <v>60</v>
      </c>
      <c r="I716" s="4613"/>
      <c r="J716" s="4613">
        <f>ROUND(I716*H716,2)</f>
        <v>0</v>
      </c>
      <c r="K716" s="4610" t="s">
        <v>142</v>
      </c>
      <c r="L716" s="2071"/>
      <c r="M716" s="2190" t="s">
        <v>3146</v>
      </c>
      <c r="N716" s="2163" t="s">
        <v>3181</v>
      </c>
      <c r="O716" s="2191">
        <v>0.8</v>
      </c>
      <c r="P716" s="2191">
        <f>O716*H716</f>
        <v>48</v>
      </c>
      <c r="Q716" s="2191">
        <v>1.08E-3</v>
      </c>
      <c r="R716" s="2191">
        <f>Q716*H716</f>
        <v>6.4799999999999996E-2</v>
      </c>
      <c r="S716" s="2191">
        <v>8.5000000000000006E-3</v>
      </c>
      <c r="T716" s="2192">
        <f>S716*H716</f>
        <v>0.51</v>
      </c>
      <c r="AR716" s="2193" t="s">
        <v>856</v>
      </c>
      <c r="AT716" s="2193" t="s">
        <v>3286</v>
      </c>
      <c r="AU716" s="2193" t="s">
        <v>134</v>
      </c>
      <c r="AY716" s="2056" t="s">
        <v>3285</v>
      </c>
      <c r="BE716" s="2194">
        <f>IF(N716="základní",J716,0)</f>
        <v>0</v>
      </c>
      <c r="BF716" s="2194">
        <f>IF(N716="snížená",J716,0)</f>
        <v>0</v>
      </c>
      <c r="BG716" s="2194">
        <f>IF(N716="zákl. přenesená",J716,0)</f>
        <v>0</v>
      </c>
      <c r="BH716" s="2194">
        <f>IF(N716="sníž. přenesená",J716,0)</f>
        <v>0</v>
      </c>
      <c r="BI716" s="2194">
        <f>IF(N716="nulová",J716,0)</f>
        <v>0</v>
      </c>
      <c r="BJ716" s="2056" t="s">
        <v>134</v>
      </c>
      <c r="BK716" s="2194">
        <f>ROUND(I716*H716,2)</f>
        <v>0</v>
      </c>
      <c r="BL716" s="2056" t="s">
        <v>856</v>
      </c>
      <c r="BM716" s="2193" t="s">
        <v>3896</v>
      </c>
    </row>
    <row r="717" spans="2:65" s="2070" customFormat="1" ht="24.2" customHeight="1">
      <c r="B717" s="2164"/>
      <c r="C717" s="4608">
        <v>155</v>
      </c>
      <c r="D717" s="4608" t="s">
        <v>3286</v>
      </c>
      <c r="E717" s="4609" t="s">
        <v>3898</v>
      </c>
      <c r="F717" s="4610" t="s">
        <v>3899</v>
      </c>
      <c r="G717" s="4611" t="s">
        <v>141</v>
      </c>
      <c r="H717" s="4612">
        <v>55</v>
      </c>
      <c r="I717" s="4613"/>
      <c r="J717" s="4613">
        <f>ROUND(I717*H717,2)</f>
        <v>0</v>
      </c>
      <c r="K717" s="4610" t="s">
        <v>142</v>
      </c>
      <c r="L717" s="2071"/>
      <c r="M717" s="2190" t="s">
        <v>3146</v>
      </c>
      <c r="N717" s="2163" t="s">
        <v>3181</v>
      </c>
      <c r="O717" s="2191">
        <v>1.5</v>
      </c>
      <c r="P717" s="2191">
        <f>O717*H717</f>
        <v>82.5</v>
      </c>
      <c r="Q717" s="2191">
        <v>1.23E-3</v>
      </c>
      <c r="R717" s="2191">
        <f>Q717*H717</f>
        <v>6.7650000000000002E-2</v>
      </c>
      <c r="S717" s="2191">
        <v>1.7000000000000001E-2</v>
      </c>
      <c r="T717" s="2192">
        <f>S717*H717</f>
        <v>0.93500000000000005</v>
      </c>
      <c r="AR717" s="2193" t="s">
        <v>856</v>
      </c>
      <c r="AT717" s="2193" t="s">
        <v>3286</v>
      </c>
      <c r="AU717" s="2193" t="s">
        <v>134</v>
      </c>
      <c r="AY717" s="2056" t="s">
        <v>3285</v>
      </c>
      <c r="BE717" s="2194">
        <f>IF(N717="základní",J717,0)</f>
        <v>0</v>
      </c>
      <c r="BF717" s="2194">
        <f>IF(N717="snížená",J717,0)</f>
        <v>0</v>
      </c>
      <c r="BG717" s="2194">
        <f>IF(N717="zákl. přenesená",J717,0)</f>
        <v>0</v>
      </c>
      <c r="BH717" s="2194">
        <f>IF(N717="sníž. přenesená",J717,0)</f>
        <v>0</v>
      </c>
      <c r="BI717" s="2194">
        <f>IF(N717="nulová",J717,0)</f>
        <v>0</v>
      </c>
      <c r="BJ717" s="2056" t="s">
        <v>134</v>
      </c>
      <c r="BK717" s="2194">
        <f>ROUND(I717*H717,2)</f>
        <v>0</v>
      </c>
      <c r="BL717" s="2056" t="s">
        <v>856</v>
      </c>
      <c r="BM717" s="2193" t="s">
        <v>3900</v>
      </c>
    </row>
    <row r="718" spans="2:65" s="2178" customFormat="1" ht="22.9" customHeight="1">
      <c r="B718" s="2179"/>
      <c r="D718" s="2180" t="s">
        <v>3212</v>
      </c>
      <c r="E718" s="2188" t="s">
        <v>2200</v>
      </c>
      <c r="F718" s="2188" t="s">
        <v>3904</v>
      </c>
      <c r="J718" s="2189">
        <f>BK718</f>
        <v>0</v>
      </c>
      <c r="L718" s="2179"/>
      <c r="M718" s="2183"/>
      <c r="P718" s="2184">
        <f>SUM(P719:P725)</f>
        <v>78.923590000000004</v>
      </c>
      <c r="R718" s="2184">
        <f>SUM(R719:R725)</f>
        <v>0</v>
      </c>
      <c r="T718" s="2185">
        <f>SUM(T719:T725)</f>
        <v>0</v>
      </c>
      <c r="AR718" s="2180" t="s">
        <v>133</v>
      </c>
      <c r="AT718" s="2186" t="s">
        <v>3212</v>
      </c>
      <c r="AU718" s="2186" t="s">
        <v>133</v>
      </c>
      <c r="AY718" s="2180" t="s">
        <v>3285</v>
      </c>
      <c r="BK718" s="2187">
        <f>SUM(BK719:BK725)</f>
        <v>0</v>
      </c>
    </row>
    <row r="719" spans="2:65" s="2070" customFormat="1" ht="24.2" customHeight="1">
      <c r="B719" s="2164"/>
      <c r="C719" s="4608">
        <v>156</v>
      </c>
      <c r="D719" s="4608" t="s">
        <v>3286</v>
      </c>
      <c r="E719" s="4609" t="s">
        <v>3906</v>
      </c>
      <c r="F719" s="4610" t="s">
        <v>3907</v>
      </c>
      <c r="G719" s="4611" t="s">
        <v>302</v>
      </c>
      <c r="H719" s="4612">
        <v>426.61399999999998</v>
      </c>
      <c r="I719" s="4613"/>
      <c r="J719" s="4613">
        <f>ROUND(I719*H719,2)</f>
        <v>0</v>
      </c>
      <c r="K719" s="4610" t="s">
        <v>142</v>
      </c>
      <c r="L719" s="2071"/>
      <c r="M719" s="2190" t="s">
        <v>3146</v>
      </c>
      <c r="N719" s="2163" t="s">
        <v>3181</v>
      </c>
      <c r="O719" s="2191">
        <v>0.125</v>
      </c>
      <c r="P719" s="2191">
        <f>O719*H719</f>
        <v>53.326749999999997</v>
      </c>
      <c r="Q719" s="2191">
        <v>0</v>
      </c>
      <c r="R719" s="2191">
        <f>Q719*H719</f>
        <v>0</v>
      </c>
      <c r="S719" s="2191">
        <v>0</v>
      </c>
      <c r="T719" s="2192">
        <f>S719*H719</f>
        <v>0</v>
      </c>
      <c r="AR719" s="2193" t="s">
        <v>856</v>
      </c>
      <c r="AT719" s="2193" t="s">
        <v>3286</v>
      </c>
      <c r="AU719" s="2193" t="s">
        <v>134</v>
      </c>
      <c r="AY719" s="2056" t="s">
        <v>3285</v>
      </c>
      <c r="BE719" s="2194">
        <f>IF(N719="základní",J719,0)</f>
        <v>0</v>
      </c>
      <c r="BF719" s="2194">
        <f>IF(N719="snížená",J719,0)</f>
        <v>0</v>
      </c>
      <c r="BG719" s="2194">
        <f>IF(N719="zákl. přenesená",J719,0)</f>
        <v>0</v>
      </c>
      <c r="BH719" s="2194">
        <f>IF(N719="sníž. přenesená",J719,0)</f>
        <v>0</v>
      </c>
      <c r="BI719" s="2194">
        <f>IF(N719="nulová",J719,0)</f>
        <v>0</v>
      </c>
      <c r="BJ719" s="2056" t="s">
        <v>134</v>
      </c>
      <c r="BK719" s="2194">
        <f>ROUND(I719*H719,2)</f>
        <v>0</v>
      </c>
      <c r="BL719" s="2056" t="s">
        <v>856</v>
      </c>
      <c r="BM719" s="2193" t="s">
        <v>3908</v>
      </c>
    </row>
    <row r="720" spans="2:65" s="2070" customFormat="1" ht="24.2" customHeight="1">
      <c r="B720" s="2164"/>
      <c r="C720" s="4608" t="s">
        <v>3918</v>
      </c>
      <c r="D720" s="4608" t="s">
        <v>3286</v>
      </c>
      <c r="E720" s="4609" t="s">
        <v>3910</v>
      </c>
      <c r="F720" s="4610" t="s">
        <v>3911</v>
      </c>
      <c r="G720" s="4611" t="s">
        <v>302</v>
      </c>
      <c r="H720" s="4612">
        <v>4266.1400000000003</v>
      </c>
      <c r="I720" s="4613"/>
      <c r="J720" s="4613">
        <f>ROUND(I720*H720,2)</f>
        <v>0</v>
      </c>
      <c r="K720" s="4610" t="s">
        <v>142</v>
      </c>
      <c r="L720" s="2071"/>
      <c r="M720" s="2190" t="s">
        <v>3146</v>
      </c>
      <c r="N720" s="2163" t="s">
        <v>3181</v>
      </c>
      <c r="O720" s="2191">
        <v>6.0000000000000001E-3</v>
      </c>
      <c r="P720" s="2191">
        <f>O720*H720</f>
        <v>25.596840000000004</v>
      </c>
      <c r="Q720" s="2191">
        <v>0</v>
      </c>
      <c r="R720" s="2191">
        <f>Q720*H720</f>
        <v>0</v>
      </c>
      <c r="S720" s="2191">
        <v>0</v>
      </c>
      <c r="T720" s="2192">
        <f>S720*H720</f>
        <v>0</v>
      </c>
      <c r="AR720" s="2193" t="s">
        <v>856</v>
      </c>
      <c r="AT720" s="2193" t="s">
        <v>3286</v>
      </c>
      <c r="AU720" s="2193" t="s">
        <v>134</v>
      </c>
      <c r="AY720" s="2056" t="s">
        <v>3285</v>
      </c>
      <c r="BE720" s="2194">
        <f>IF(N720="základní",J720,0)</f>
        <v>0</v>
      </c>
      <c r="BF720" s="2194">
        <f>IF(N720="snížená",J720,0)</f>
        <v>0</v>
      </c>
      <c r="BG720" s="2194">
        <f>IF(N720="zákl. přenesená",J720,0)</f>
        <v>0</v>
      </c>
      <c r="BH720" s="2194">
        <f>IF(N720="sníž. přenesená",J720,0)</f>
        <v>0</v>
      </c>
      <c r="BI720" s="2194">
        <f>IF(N720="nulová",J720,0)</f>
        <v>0</v>
      </c>
      <c r="BJ720" s="2056" t="s">
        <v>134</v>
      </c>
      <c r="BK720" s="2194">
        <f>ROUND(I720*H720,2)</f>
        <v>0</v>
      </c>
      <c r="BL720" s="2056" t="s">
        <v>856</v>
      </c>
      <c r="BM720" s="2193" t="s">
        <v>3912</v>
      </c>
    </row>
    <row r="721" spans="2:65" s="2209" customFormat="1">
      <c r="B721" s="2210"/>
      <c r="D721" s="2197" t="s">
        <v>3303</v>
      </c>
      <c r="F721" s="2212" t="s">
        <v>3913</v>
      </c>
      <c r="H721" s="2213">
        <v>4266.1400000000003</v>
      </c>
      <c r="L721" s="2210"/>
      <c r="M721" s="2214"/>
      <c r="T721" s="2215"/>
      <c r="AT721" s="2211" t="s">
        <v>3303</v>
      </c>
      <c r="AU721" s="2211" t="s">
        <v>134</v>
      </c>
      <c r="AV721" s="2209" t="s">
        <v>134</v>
      </c>
      <c r="AW721" s="2209" t="s">
        <v>3148</v>
      </c>
      <c r="AX721" s="2209" t="s">
        <v>133</v>
      </c>
      <c r="AY721" s="2211" t="s">
        <v>3285</v>
      </c>
    </row>
    <row r="722" spans="2:65" s="2070" customFormat="1" ht="37.9" customHeight="1">
      <c r="B722" s="2164"/>
      <c r="C722" s="5561" t="s">
        <v>3924</v>
      </c>
      <c r="D722" s="4608" t="s">
        <v>3286</v>
      </c>
      <c r="E722" s="4609" t="s">
        <v>3915</v>
      </c>
      <c r="F722" s="4610" t="s">
        <v>3916</v>
      </c>
      <c r="G722" s="4611" t="s">
        <v>302</v>
      </c>
      <c r="H722" s="5568">
        <f>H723</f>
        <v>34.844000000000001</v>
      </c>
      <c r="I722" s="4613"/>
      <c r="J722" s="4613">
        <f>ROUND(I722*H722,2)</f>
        <v>0</v>
      </c>
      <c r="K722" s="4610" t="s">
        <v>142</v>
      </c>
      <c r="L722" s="2071"/>
      <c r="M722" s="2190" t="s">
        <v>3146</v>
      </c>
      <c r="N722" s="2163" t="s">
        <v>3181</v>
      </c>
      <c r="O722" s="2191">
        <v>0</v>
      </c>
      <c r="P722" s="2191">
        <f>O722*H722</f>
        <v>0</v>
      </c>
      <c r="Q722" s="2191">
        <v>0</v>
      </c>
      <c r="R722" s="2191">
        <f>Q722*H722</f>
        <v>0</v>
      </c>
      <c r="S722" s="2191">
        <v>0</v>
      </c>
      <c r="T722" s="2192">
        <f>S722*H722</f>
        <v>0</v>
      </c>
      <c r="AR722" s="2193" t="s">
        <v>856</v>
      </c>
      <c r="AT722" s="2193" t="s">
        <v>3286</v>
      </c>
      <c r="AU722" s="2193" t="s">
        <v>134</v>
      </c>
      <c r="AY722" s="2056" t="s">
        <v>3285</v>
      </c>
      <c r="BE722" s="2194">
        <f>IF(N722="základní",J722,0)</f>
        <v>0</v>
      </c>
      <c r="BF722" s="2194">
        <f>IF(N722="snížená",J722,0)</f>
        <v>0</v>
      </c>
      <c r="BG722" s="2194">
        <f>IF(N722="zákl. přenesená",J722,0)</f>
        <v>0</v>
      </c>
      <c r="BH722" s="2194">
        <f>IF(N722="sníž. přenesená",J722,0)</f>
        <v>0</v>
      </c>
      <c r="BI722" s="2194">
        <f>IF(N722="nulová",J722,0)</f>
        <v>0</v>
      </c>
      <c r="BJ722" s="2056" t="s">
        <v>134</v>
      </c>
      <c r="BK722" s="2194">
        <f>ROUND(I722*H722,2)</f>
        <v>0</v>
      </c>
      <c r="BL722" s="2056" t="s">
        <v>856</v>
      </c>
      <c r="BM722" s="2193" t="s">
        <v>3917</v>
      </c>
    </row>
    <row r="723" spans="2:65" s="2209" customFormat="1">
      <c r="B723" s="2210"/>
      <c r="D723" s="2197" t="s">
        <v>3303</v>
      </c>
      <c r="E723" s="2211" t="s">
        <v>3146</v>
      </c>
      <c r="F723" s="5560">
        <v>34.844000000000001</v>
      </c>
      <c r="G723" s="5574"/>
      <c r="H723" s="5569">
        <f>F723</f>
        <v>34.844000000000001</v>
      </c>
      <c r="L723" s="2210"/>
      <c r="M723" s="2214"/>
      <c r="T723" s="2215"/>
      <c r="AT723" s="2211" t="s">
        <v>3303</v>
      </c>
      <c r="AU723" s="2211" t="s">
        <v>134</v>
      </c>
      <c r="AV723" s="2209" t="s">
        <v>134</v>
      </c>
      <c r="AW723" s="2209" t="s">
        <v>3171</v>
      </c>
      <c r="AX723" s="2209" t="s">
        <v>133</v>
      </c>
      <c r="AY723" s="2211" t="s">
        <v>3285</v>
      </c>
    </row>
    <row r="724" spans="2:65" s="2070" customFormat="1" ht="44.25" customHeight="1">
      <c r="B724" s="2164"/>
      <c r="C724" s="4608" t="s">
        <v>3928</v>
      </c>
      <c r="D724" s="4608" t="s">
        <v>3286</v>
      </c>
      <c r="E724" s="4609" t="s">
        <v>3919</v>
      </c>
      <c r="F724" s="4610" t="s">
        <v>3920</v>
      </c>
      <c r="G724" s="4611" t="s">
        <v>302</v>
      </c>
      <c r="H724" s="4612">
        <v>418</v>
      </c>
      <c r="I724" s="4613"/>
      <c r="J724" s="4613">
        <f>ROUND(I724*H724,2)</f>
        <v>0</v>
      </c>
      <c r="K724" s="4610" t="s">
        <v>142</v>
      </c>
      <c r="L724" s="2071"/>
      <c r="M724" s="2190" t="s">
        <v>3146</v>
      </c>
      <c r="N724" s="2163" t="s">
        <v>3181</v>
      </c>
      <c r="O724" s="2191">
        <v>0</v>
      </c>
      <c r="P724" s="2191">
        <f>O724*H724</f>
        <v>0</v>
      </c>
      <c r="Q724" s="2191">
        <v>0</v>
      </c>
      <c r="R724" s="2191">
        <f>Q724*H724</f>
        <v>0</v>
      </c>
      <c r="S724" s="2191">
        <v>0</v>
      </c>
      <c r="T724" s="2192">
        <f>S724*H724</f>
        <v>0</v>
      </c>
      <c r="AR724" s="2193" t="s">
        <v>856</v>
      </c>
      <c r="AT724" s="2193" t="s">
        <v>3286</v>
      </c>
      <c r="AU724" s="2193" t="s">
        <v>134</v>
      </c>
      <c r="AY724" s="2056" t="s">
        <v>3285</v>
      </c>
      <c r="BE724" s="2194">
        <f>IF(N724="základní",J724,0)</f>
        <v>0</v>
      </c>
      <c r="BF724" s="2194">
        <f>IF(N724="snížená",J724,0)</f>
        <v>0</v>
      </c>
      <c r="BG724" s="2194">
        <f>IF(N724="zákl. přenesená",J724,0)</f>
        <v>0</v>
      </c>
      <c r="BH724" s="2194">
        <f>IF(N724="sníž. přenesená",J724,0)</f>
        <v>0</v>
      </c>
      <c r="BI724" s="2194">
        <f>IF(N724="nulová",J724,0)</f>
        <v>0</v>
      </c>
      <c r="BJ724" s="2056" t="s">
        <v>134</v>
      </c>
      <c r="BK724" s="2194">
        <f>ROUND(I724*H724,2)</f>
        <v>0</v>
      </c>
      <c r="BL724" s="2056" t="s">
        <v>856</v>
      </c>
      <c r="BM724" s="2193" t="s">
        <v>3921</v>
      </c>
    </row>
    <row r="725" spans="2:65" s="2209" customFormat="1">
      <c r="B725" s="2210"/>
      <c r="D725" s="2197" t="s">
        <v>3303</v>
      </c>
      <c r="E725" s="2211" t="s">
        <v>3146</v>
      </c>
      <c r="F725" s="2212" t="s">
        <v>3922</v>
      </c>
      <c r="H725" s="2213">
        <v>418</v>
      </c>
      <c r="L725" s="2210"/>
      <c r="M725" s="2214"/>
      <c r="T725" s="2215"/>
      <c r="AT725" s="2211" t="s">
        <v>3303</v>
      </c>
      <c r="AU725" s="2211" t="s">
        <v>134</v>
      </c>
      <c r="AV725" s="2209" t="s">
        <v>134</v>
      </c>
      <c r="AW725" s="2209" t="s">
        <v>3171</v>
      </c>
      <c r="AX725" s="2209" t="s">
        <v>133</v>
      </c>
      <c r="AY725" s="2211" t="s">
        <v>3285</v>
      </c>
    </row>
    <row r="726" spans="2:65" s="2178" customFormat="1" ht="22.9" customHeight="1">
      <c r="B726" s="2179"/>
      <c r="D726" s="2180" t="s">
        <v>3212</v>
      </c>
      <c r="E726" s="2188" t="s">
        <v>3923</v>
      </c>
      <c r="F726" s="2188" t="s">
        <v>988</v>
      </c>
      <c r="J726" s="2189">
        <f>BK726</f>
        <v>0</v>
      </c>
      <c r="L726" s="2179"/>
      <c r="M726" s="2183"/>
      <c r="P726" s="2184">
        <f>SUM(P727:P732)</f>
        <v>13826.676232000002</v>
      </c>
      <c r="R726" s="2184">
        <f>SUM(R727:R732)</f>
        <v>0</v>
      </c>
      <c r="T726" s="2185">
        <f>SUM(T727:T732)</f>
        <v>0</v>
      </c>
      <c r="AR726" s="2180" t="s">
        <v>133</v>
      </c>
      <c r="AT726" s="2186" t="s">
        <v>3212</v>
      </c>
      <c r="AU726" s="2186" t="s">
        <v>133</v>
      </c>
      <c r="AY726" s="2180" t="s">
        <v>3285</v>
      </c>
      <c r="BK726" s="2187">
        <f>SUM(BK727:BK732)</f>
        <v>0</v>
      </c>
    </row>
    <row r="727" spans="2:65" s="2070" customFormat="1" ht="24.2" customHeight="1">
      <c r="B727" s="2164"/>
      <c r="C727" s="5561" t="s">
        <v>3931</v>
      </c>
      <c r="D727" s="4608" t="s">
        <v>3286</v>
      </c>
      <c r="E727" s="4609" t="s">
        <v>3925</v>
      </c>
      <c r="F727" s="4610" t="s">
        <v>3926</v>
      </c>
      <c r="G727" s="4611" t="s">
        <v>302</v>
      </c>
      <c r="H727" s="5568">
        <v>592.75300000000004</v>
      </c>
      <c r="I727" s="4613"/>
      <c r="J727" s="4613">
        <f>ROUND(I727*H727,2)</f>
        <v>0</v>
      </c>
      <c r="K727" s="4610" t="s">
        <v>142</v>
      </c>
      <c r="L727" s="2071"/>
      <c r="M727" s="2190" t="s">
        <v>3146</v>
      </c>
      <c r="N727" s="2163" t="s">
        <v>3181</v>
      </c>
      <c r="O727" s="2191">
        <v>0.624</v>
      </c>
      <c r="P727" s="2191">
        <f>O727*H727</f>
        <v>369.87787200000002</v>
      </c>
      <c r="Q727" s="2191">
        <v>0</v>
      </c>
      <c r="R727" s="2191">
        <f>Q727*H727</f>
        <v>0</v>
      </c>
      <c r="S727" s="2191">
        <v>0</v>
      </c>
      <c r="T727" s="2192">
        <f>S727*H727</f>
        <v>0</v>
      </c>
      <c r="AR727" s="2193" t="s">
        <v>856</v>
      </c>
      <c r="AT727" s="2193" t="s">
        <v>3286</v>
      </c>
      <c r="AU727" s="2193" t="s">
        <v>134</v>
      </c>
      <c r="AY727" s="2056" t="s">
        <v>3285</v>
      </c>
      <c r="BE727" s="2194">
        <f>IF(N727="základní",J727,0)</f>
        <v>0</v>
      </c>
      <c r="BF727" s="2194">
        <f>IF(N727="snížená",J727,0)</f>
        <v>0</v>
      </c>
      <c r="BG727" s="2194">
        <f>IF(N727="zákl. přenesená",J727,0)</f>
        <v>0</v>
      </c>
      <c r="BH727" s="2194">
        <f>IF(N727="sníž. přenesená",J727,0)</f>
        <v>0</v>
      </c>
      <c r="BI727" s="2194">
        <f>IF(N727="nulová",J727,0)</f>
        <v>0</v>
      </c>
      <c r="BJ727" s="2056" t="s">
        <v>134</v>
      </c>
      <c r="BK727" s="2194">
        <f>ROUND(I727*H727,2)</f>
        <v>0</v>
      </c>
      <c r="BL727" s="2056" t="s">
        <v>856</v>
      </c>
      <c r="BM727" s="2193" t="s">
        <v>3927</v>
      </c>
    </row>
    <row r="728" spans="2:65" s="2209" customFormat="1">
      <c r="B728" s="2210"/>
      <c r="D728" s="2197" t="s">
        <v>3303</v>
      </c>
      <c r="E728" s="2211" t="s">
        <v>3146</v>
      </c>
      <c r="F728" s="5560">
        <v>625.07799999999997</v>
      </c>
      <c r="H728" s="5569">
        <v>625.07799999999997</v>
      </c>
      <c r="L728" s="2210"/>
      <c r="M728" s="2214"/>
      <c r="T728" s="2215"/>
      <c r="AT728" s="2211" t="s">
        <v>3303</v>
      </c>
      <c r="AU728" s="2211" t="s">
        <v>134</v>
      </c>
      <c r="AV728" s="2209" t="s">
        <v>134</v>
      </c>
      <c r="AW728" s="2209" t="s">
        <v>3171</v>
      </c>
      <c r="AX728" s="2209" t="s">
        <v>133</v>
      </c>
      <c r="AY728" s="2211" t="s">
        <v>3285</v>
      </c>
    </row>
    <row r="729" spans="2:65" s="2070" customFormat="1" ht="21.75" customHeight="1">
      <c r="B729" s="2164"/>
      <c r="C729" s="5561" t="s">
        <v>3935</v>
      </c>
      <c r="D729" s="4608" t="s">
        <v>3286</v>
      </c>
      <c r="E729" s="4609" t="s">
        <v>3929</v>
      </c>
      <c r="F729" s="4610" t="s">
        <v>3930</v>
      </c>
      <c r="G729" s="4611" t="s">
        <v>302</v>
      </c>
      <c r="H729" s="5568">
        <f>H730</f>
        <v>3797.0650000000005</v>
      </c>
      <c r="I729" s="4613"/>
      <c r="J729" s="4613">
        <f>ROUND(I729*H729,2)</f>
        <v>0</v>
      </c>
      <c r="K729" s="4610" t="s">
        <v>142</v>
      </c>
      <c r="L729" s="2071"/>
      <c r="M729" s="2190" t="s">
        <v>3146</v>
      </c>
      <c r="N729" s="2163" t="s">
        <v>3181</v>
      </c>
      <c r="O729" s="2191">
        <v>0.46500000000000002</v>
      </c>
      <c r="P729" s="2191">
        <f>O729*H729</f>
        <v>1765.6352250000002</v>
      </c>
      <c r="Q729" s="2191">
        <v>0</v>
      </c>
      <c r="R729" s="2191">
        <f>Q729*H729</f>
        <v>0</v>
      </c>
      <c r="S729" s="2191">
        <v>0</v>
      </c>
      <c r="T729" s="2192">
        <f>S729*H729</f>
        <v>0</v>
      </c>
      <c r="AR729" s="2193" t="s">
        <v>856</v>
      </c>
      <c r="AT729" s="2193" t="s">
        <v>3286</v>
      </c>
      <c r="AU729" s="2193" t="s">
        <v>134</v>
      </c>
      <c r="AY729" s="2056" t="s">
        <v>3285</v>
      </c>
      <c r="BE729" s="2194">
        <f>IF(N729="základní",J729,0)</f>
        <v>0</v>
      </c>
      <c r="BF729" s="2194">
        <f>IF(N729="snížená",J729,0)</f>
        <v>0</v>
      </c>
      <c r="BG729" s="2194">
        <f>IF(N729="zákl. přenesená",J729,0)</f>
        <v>0</v>
      </c>
      <c r="BH729" s="2194">
        <f>IF(N729="sníž. přenesená",J729,0)</f>
        <v>0</v>
      </c>
      <c r="BI729" s="2194">
        <f>IF(N729="nulová",J729,0)</f>
        <v>0</v>
      </c>
      <c r="BJ729" s="2056" t="s">
        <v>134</v>
      </c>
      <c r="BK729" s="2194">
        <f>ROUND(I729*H729,2)</f>
        <v>0</v>
      </c>
      <c r="BL729" s="2056" t="s">
        <v>856</v>
      </c>
      <c r="BM729" s="2193" t="s">
        <v>10833</v>
      </c>
    </row>
    <row r="730" spans="2:65" s="2209" customFormat="1">
      <c r="B730" s="2210"/>
      <c r="D730" s="2197" t="s">
        <v>3303</v>
      </c>
      <c r="F730" s="5560" t="s">
        <v>11717</v>
      </c>
      <c r="H730" s="5569">
        <f>(8219.208-625.078)*0.5</f>
        <v>3797.0650000000005</v>
      </c>
      <c r="L730" s="2210"/>
      <c r="M730" s="2214"/>
      <c r="T730" s="2215"/>
      <c r="AT730" s="2211" t="s">
        <v>3303</v>
      </c>
      <c r="AU730" s="2211" t="s">
        <v>134</v>
      </c>
      <c r="AV730" s="2209" t="s">
        <v>134</v>
      </c>
      <c r="AW730" s="2209" t="s">
        <v>3148</v>
      </c>
      <c r="AX730" s="2209" t="s">
        <v>133</v>
      </c>
      <c r="AY730" s="2211" t="s">
        <v>3285</v>
      </c>
    </row>
    <row r="731" spans="2:65" s="2070" customFormat="1" ht="24.2" customHeight="1">
      <c r="B731" s="2164"/>
      <c r="C731" s="5561" t="s">
        <v>3936</v>
      </c>
      <c r="D731" s="4608" t="s">
        <v>3286</v>
      </c>
      <c r="E731" s="4609" t="s">
        <v>4336</v>
      </c>
      <c r="F731" s="4610" t="s">
        <v>4337</v>
      </c>
      <c r="G731" s="4611" t="s">
        <v>302</v>
      </c>
      <c r="H731" s="5568">
        <f>H732</f>
        <v>3797.0650000000005</v>
      </c>
      <c r="I731" s="4613"/>
      <c r="J731" s="4613">
        <f>ROUND(I731*H731,2)</f>
        <v>0</v>
      </c>
      <c r="K731" s="4610" t="s">
        <v>142</v>
      </c>
      <c r="L731" s="2071"/>
      <c r="M731" s="2190" t="s">
        <v>3146</v>
      </c>
      <c r="N731" s="2163" t="s">
        <v>3181</v>
      </c>
      <c r="O731" s="2191">
        <v>3.0790000000000002</v>
      </c>
      <c r="P731" s="2191">
        <f>O731*H731</f>
        <v>11691.163135000003</v>
      </c>
      <c r="Q731" s="2191">
        <v>0</v>
      </c>
      <c r="R731" s="2191">
        <f>Q731*H731</f>
        <v>0</v>
      </c>
      <c r="S731" s="2191">
        <v>0</v>
      </c>
      <c r="T731" s="2192">
        <f>S731*H731</f>
        <v>0</v>
      </c>
      <c r="AR731" s="2193" t="s">
        <v>856</v>
      </c>
      <c r="AT731" s="2193" t="s">
        <v>3286</v>
      </c>
      <c r="AU731" s="2193" t="s">
        <v>134</v>
      </c>
      <c r="AY731" s="2056" t="s">
        <v>3285</v>
      </c>
      <c r="BE731" s="2194">
        <f>IF(N731="základní",J731,0)</f>
        <v>0</v>
      </c>
      <c r="BF731" s="2194">
        <f>IF(N731="snížená",J731,0)</f>
        <v>0</v>
      </c>
      <c r="BG731" s="2194">
        <f>IF(N731="zákl. přenesená",J731,0)</f>
        <v>0</v>
      </c>
      <c r="BH731" s="2194">
        <f>IF(N731="sníž. přenesená",J731,0)</f>
        <v>0</v>
      </c>
      <c r="BI731" s="2194">
        <f>IF(N731="nulová",J731,0)</f>
        <v>0</v>
      </c>
      <c r="BJ731" s="2056" t="s">
        <v>134</v>
      </c>
      <c r="BK731" s="2194">
        <f>ROUND(I731*H731,2)</f>
        <v>0</v>
      </c>
      <c r="BL731" s="2056" t="s">
        <v>856</v>
      </c>
      <c r="BM731" s="2193" t="s">
        <v>3932</v>
      </c>
    </row>
    <row r="732" spans="2:65" s="2209" customFormat="1">
      <c r="B732" s="2210"/>
      <c r="D732" s="2197" t="s">
        <v>3303</v>
      </c>
      <c r="F732" s="5560" t="s">
        <v>11717</v>
      </c>
      <c r="H732" s="5569">
        <f>(8219.208-625.078)*0.5</f>
        <v>3797.0650000000005</v>
      </c>
      <c r="L732" s="2210"/>
      <c r="M732" s="2214"/>
      <c r="T732" s="2215"/>
      <c r="AT732" s="2211" t="s">
        <v>3303</v>
      </c>
      <c r="AU732" s="2211" t="s">
        <v>134</v>
      </c>
      <c r="AV732" s="2209" t="s">
        <v>134</v>
      </c>
      <c r="AW732" s="2209" t="s">
        <v>3148</v>
      </c>
      <c r="AX732" s="2209" t="s">
        <v>133</v>
      </c>
      <c r="AY732" s="2211" t="s">
        <v>3285</v>
      </c>
    </row>
    <row r="733" spans="2:65" s="2178" customFormat="1" ht="25.9" customHeight="1">
      <c r="B733" s="2179"/>
      <c r="D733" s="2180" t="s">
        <v>3212</v>
      </c>
      <c r="E733" s="2181" t="s">
        <v>995</v>
      </c>
      <c r="F733" s="2181" t="s">
        <v>996</v>
      </c>
      <c r="J733" s="2182">
        <f>BK733</f>
        <v>0</v>
      </c>
      <c r="L733" s="2179"/>
      <c r="M733" s="2183"/>
      <c r="P733" s="2184">
        <f>P734+P767+P859+P950+P1019+P1021+P1032+P1054+P1069+P1088</f>
        <v>9942.4597069999982</v>
      </c>
      <c r="R733" s="2184">
        <f>R734+R767+R859+R950+R1019+R1021+R1032+R1054+R1069+R1088</f>
        <v>298.85813409000002</v>
      </c>
      <c r="T733" s="2185">
        <f>T734+T767+T859+T950+T1019+T1021+T1032+T1054+T1069+T1088</f>
        <v>0</v>
      </c>
      <c r="AR733" s="2180" t="s">
        <v>134</v>
      </c>
      <c r="AT733" s="2186" t="s">
        <v>3212</v>
      </c>
      <c r="AU733" s="2186" t="s">
        <v>3213</v>
      </c>
      <c r="AY733" s="2180" t="s">
        <v>3285</v>
      </c>
      <c r="BK733" s="2187">
        <f>BK734+BK767+BK859+BK950+BK1019+BK1021+BK1032+BK1054+BK1069+BK1088</f>
        <v>0</v>
      </c>
    </row>
    <row r="734" spans="2:65" s="2178" customFormat="1" ht="22.9" customHeight="1">
      <c r="B734" s="2179"/>
      <c r="D734" s="2180" t="s">
        <v>3212</v>
      </c>
      <c r="E734" s="2188" t="s">
        <v>1873</v>
      </c>
      <c r="F734" s="2188" t="s">
        <v>1874</v>
      </c>
      <c r="J734" s="2189">
        <f>BK734</f>
        <v>0</v>
      </c>
      <c r="L734" s="2179"/>
      <c r="M734" s="2183"/>
      <c r="P734" s="2184">
        <f>SUM(P735:P766)</f>
        <v>1545.4113080000002</v>
      </c>
      <c r="R734" s="2184">
        <f>SUM(R735:R766)</f>
        <v>9.5503625599999999</v>
      </c>
      <c r="T734" s="2185">
        <f>SUM(T735:T766)</f>
        <v>0</v>
      </c>
      <c r="AR734" s="2180" t="s">
        <v>134</v>
      </c>
      <c r="AT734" s="2186" t="s">
        <v>3212</v>
      </c>
      <c r="AU734" s="2186" t="s">
        <v>133</v>
      </c>
      <c r="AY734" s="2180" t="s">
        <v>3285</v>
      </c>
      <c r="BK734" s="2187">
        <f>SUM(BK735:BK766)</f>
        <v>0</v>
      </c>
    </row>
    <row r="735" spans="2:65" s="2070" customFormat="1" ht="24.2" customHeight="1">
      <c r="B735" s="2164"/>
      <c r="C735" s="4608" t="s">
        <v>3937</v>
      </c>
      <c r="D735" s="4608" t="s">
        <v>3286</v>
      </c>
      <c r="E735" s="4609" t="s">
        <v>3939</v>
      </c>
      <c r="F735" s="4610" t="s">
        <v>3940</v>
      </c>
      <c r="G735" s="4611" t="s">
        <v>611</v>
      </c>
      <c r="H735" s="4612">
        <v>1148.0519999999999</v>
      </c>
      <c r="I735" s="4613"/>
      <c r="J735" s="4613">
        <f>ROUND(I735*H735,2)</f>
        <v>0</v>
      </c>
      <c r="K735" s="4610" t="s">
        <v>142</v>
      </c>
      <c r="L735" s="2071"/>
      <c r="M735" s="2190" t="s">
        <v>3146</v>
      </c>
      <c r="N735" s="2163" t="s">
        <v>3181</v>
      </c>
      <c r="O735" s="2191">
        <v>0.13500000000000001</v>
      </c>
      <c r="P735" s="2191">
        <f>O735*H735</f>
        <v>154.98702</v>
      </c>
      <c r="Q735" s="2191">
        <v>1.4999999999999999E-4</v>
      </c>
      <c r="R735" s="2191">
        <f>Q735*H735</f>
        <v>0.17220779999999997</v>
      </c>
      <c r="S735" s="2191">
        <v>0</v>
      </c>
      <c r="T735" s="2192">
        <f>S735*H735</f>
        <v>0</v>
      </c>
      <c r="AR735" s="2193" t="s">
        <v>2894</v>
      </c>
      <c r="AT735" s="2193" t="s">
        <v>3286</v>
      </c>
      <c r="AU735" s="2193" t="s">
        <v>134</v>
      </c>
      <c r="AY735" s="2056" t="s">
        <v>3285</v>
      </c>
      <c r="BE735" s="2194">
        <f>IF(N735="základní",J735,0)</f>
        <v>0</v>
      </c>
      <c r="BF735" s="2194">
        <f>IF(N735="snížená",J735,0)</f>
        <v>0</v>
      </c>
      <c r="BG735" s="2194">
        <f>IF(N735="zákl. přenesená",J735,0)</f>
        <v>0</v>
      </c>
      <c r="BH735" s="2194">
        <f>IF(N735="sníž. přenesená",J735,0)</f>
        <v>0</v>
      </c>
      <c r="BI735" s="2194">
        <f>IF(N735="nulová",J735,0)</f>
        <v>0</v>
      </c>
      <c r="BJ735" s="2056" t="s">
        <v>134</v>
      </c>
      <c r="BK735" s="2194">
        <f>ROUND(I735*H735,2)</f>
        <v>0</v>
      </c>
      <c r="BL735" s="2056" t="s">
        <v>2894</v>
      </c>
      <c r="BM735" s="2193" t="s">
        <v>3941</v>
      </c>
    </row>
    <row r="736" spans="2:65" s="2209" customFormat="1">
      <c r="B736" s="2210"/>
      <c r="D736" s="2197" t="s">
        <v>3303</v>
      </c>
      <c r="E736" s="2211" t="s">
        <v>3146</v>
      </c>
      <c r="F736" s="2212" t="s">
        <v>3942</v>
      </c>
      <c r="H736" s="2213">
        <v>1104.49</v>
      </c>
      <c r="L736" s="2210"/>
      <c r="M736" s="2214"/>
      <c r="T736" s="2215"/>
      <c r="AT736" s="2211" t="s">
        <v>3303</v>
      </c>
      <c r="AU736" s="2211" t="s">
        <v>134</v>
      </c>
      <c r="AV736" s="2209" t="s">
        <v>134</v>
      </c>
      <c r="AW736" s="2209" t="s">
        <v>3171</v>
      </c>
      <c r="AX736" s="2209" t="s">
        <v>3213</v>
      </c>
      <c r="AY736" s="2211" t="s">
        <v>3285</v>
      </c>
    </row>
    <row r="737" spans="2:65" s="2209" customFormat="1">
      <c r="B737" s="2210"/>
      <c r="D737" s="2197" t="s">
        <v>3303</v>
      </c>
      <c r="E737" s="2211" t="s">
        <v>3146</v>
      </c>
      <c r="F737" s="2212" t="s">
        <v>3943</v>
      </c>
      <c r="H737" s="2213">
        <v>23.161999999999999</v>
      </c>
      <c r="L737" s="2210"/>
      <c r="M737" s="2214"/>
      <c r="T737" s="2215"/>
      <c r="AT737" s="2211" t="s">
        <v>3303</v>
      </c>
      <c r="AU737" s="2211" t="s">
        <v>134</v>
      </c>
      <c r="AV737" s="2209" t="s">
        <v>134</v>
      </c>
      <c r="AW737" s="2209" t="s">
        <v>3171</v>
      </c>
      <c r="AX737" s="2209" t="s">
        <v>3213</v>
      </c>
      <c r="AY737" s="2211" t="s">
        <v>3285</v>
      </c>
    </row>
    <row r="738" spans="2:65" s="2209" customFormat="1">
      <c r="B738" s="2210"/>
      <c r="D738" s="2197" t="s">
        <v>3303</v>
      </c>
      <c r="E738" s="2211" t="s">
        <v>3146</v>
      </c>
      <c r="F738" s="2212" t="s">
        <v>3944</v>
      </c>
      <c r="H738" s="2213">
        <v>20.399999999999999</v>
      </c>
      <c r="L738" s="2210"/>
      <c r="M738" s="2214"/>
      <c r="T738" s="2215"/>
      <c r="AT738" s="2211" t="s">
        <v>3303</v>
      </c>
      <c r="AU738" s="2211" t="s">
        <v>134</v>
      </c>
      <c r="AV738" s="2209" t="s">
        <v>134</v>
      </c>
      <c r="AW738" s="2209" t="s">
        <v>3171</v>
      </c>
      <c r="AX738" s="2209" t="s">
        <v>3213</v>
      </c>
      <c r="AY738" s="2211" t="s">
        <v>3285</v>
      </c>
    </row>
    <row r="739" spans="2:65" s="2216" customFormat="1">
      <c r="B739" s="2217"/>
      <c r="D739" s="2197" t="s">
        <v>3303</v>
      </c>
      <c r="E739" s="2218" t="s">
        <v>3146</v>
      </c>
      <c r="F739" s="2219" t="s">
        <v>3306</v>
      </c>
      <c r="H739" s="2220">
        <v>1148.0519999999999</v>
      </c>
      <c r="L739" s="2217"/>
      <c r="M739" s="2221"/>
      <c r="T739" s="2222"/>
      <c r="AT739" s="2218" t="s">
        <v>3303</v>
      </c>
      <c r="AU739" s="2218" t="s">
        <v>134</v>
      </c>
      <c r="AV739" s="2216" t="s">
        <v>856</v>
      </c>
      <c r="AW739" s="2216" t="s">
        <v>3171</v>
      </c>
      <c r="AX739" s="2216" t="s">
        <v>133</v>
      </c>
      <c r="AY739" s="2218" t="s">
        <v>3285</v>
      </c>
    </row>
    <row r="740" spans="2:65" s="2070" customFormat="1" ht="16.5" customHeight="1">
      <c r="B740" s="2164"/>
      <c r="C740" s="4614" t="s">
        <v>3938</v>
      </c>
      <c r="D740" s="4614" t="s">
        <v>135</v>
      </c>
      <c r="E740" s="4615" t="s">
        <v>3946</v>
      </c>
      <c r="F740" s="4616" t="s">
        <v>3947</v>
      </c>
      <c r="G740" s="4617" t="s">
        <v>611</v>
      </c>
      <c r="H740" s="4618">
        <v>1338.0550000000001</v>
      </c>
      <c r="I740" s="4619"/>
      <c r="J740" s="4619">
        <f>ROUND(I740*H740,2)</f>
        <v>0</v>
      </c>
      <c r="K740" s="4616" t="s">
        <v>142</v>
      </c>
      <c r="L740" s="2223"/>
      <c r="M740" s="2224" t="s">
        <v>3146</v>
      </c>
      <c r="N740" s="2225" t="s">
        <v>3181</v>
      </c>
      <c r="O740" s="2191">
        <v>0</v>
      </c>
      <c r="P740" s="2191">
        <f>O740*H740</f>
        <v>0</v>
      </c>
      <c r="Q740" s="2191">
        <v>1E-3</v>
      </c>
      <c r="R740" s="2191">
        <f>Q740*H740</f>
        <v>1.338055</v>
      </c>
      <c r="S740" s="2191">
        <v>0</v>
      </c>
      <c r="T740" s="2192">
        <f>S740*H740</f>
        <v>0</v>
      </c>
      <c r="AR740" s="2193" t="s">
        <v>3389</v>
      </c>
      <c r="AT740" s="2193" t="s">
        <v>135</v>
      </c>
      <c r="AU740" s="2193" t="s">
        <v>134</v>
      </c>
      <c r="AY740" s="2056" t="s">
        <v>3285</v>
      </c>
      <c r="BE740" s="2194">
        <f>IF(N740="základní",J740,0)</f>
        <v>0</v>
      </c>
      <c r="BF740" s="2194">
        <f>IF(N740="snížená",J740,0)</f>
        <v>0</v>
      </c>
      <c r="BG740" s="2194">
        <f>IF(N740="zákl. přenesená",J740,0)</f>
        <v>0</v>
      </c>
      <c r="BH740" s="2194">
        <f>IF(N740="sníž. přenesená",J740,0)</f>
        <v>0</v>
      </c>
      <c r="BI740" s="2194">
        <f>IF(N740="nulová",J740,0)</f>
        <v>0</v>
      </c>
      <c r="BJ740" s="2056" t="s">
        <v>134</v>
      </c>
      <c r="BK740" s="2194">
        <f>ROUND(I740*H740,2)</f>
        <v>0</v>
      </c>
      <c r="BL740" s="2056" t="s">
        <v>2894</v>
      </c>
      <c r="BM740" s="2193" t="s">
        <v>3948</v>
      </c>
    </row>
    <row r="741" spans="2:65" s="2209" customFormat="1">
      <c r="B741" s="2210"/>
      <c r="D741" s="2197" t="s">
        <v>3303</v>
      </c>
      <c r="F741" s="2212" t="s">
        <v>3949</v>
      </c>
      <c r="H741" s="2213">
        <v>1338.0550000000001</v>
      </c>
      <c r="L741" s="2210"/>
      <c r="M741" s="2214"/>
      <c r="T741" s="2215"/>
      <c r="AT741" s="2211" t="s">
        <v>3303</v>
      </c>
      <c r="AU741" s="2211" t="s">
        <v>134</v>
      </c>
      <c r="AV741" s="2209" t="s">
        <v>134</v>
      </c>
      <c r="AW741" s="2209" t="s">
        <v>3148</v>
      </c>
      <c r="AX741" s="2209" t="s">
        <v>133</v>
      </c>
      <c r="AY741" s="2211" t="s">
        <v>3285</v>
      </c>
    </row>
    <row r="742" spans="2:65" s="2070" customFormat="1" ht="24.2" customHeight="1">
      <c r="B742" s="2164"/>
      <c r="C742" s="4608" t="s">
        <v>3945</v>
      </c>
      <c r="D742" s="4608" t="s">
        <v>3286</v>
      </c>
      <c r="E742" s="4609" t="s">
        <v>3951</v>
      </c>
      <c r="F742" s="4610" t="s">
        <v>3952</v>
      </c>
      <c r="G742" s="4611" t="s">
        <v>611</v>
      </c>
      <c r="H742" s="4612">
        <v>841.68600000000004</v>
      </c>
      <c r="I742" s="4613"/>
      <c r="J742" s="4613">
        <f>ROUND(I742*H742,2)</f>
        <v>0</v>
      </c>
      <c r="K742" s="4610" t="s">
        <v>142</v>
      </c>
      <c r="L742" s="2071"/>
      <c r="M742" s="2190" t="s">
        <v>3146</v>
      </c>
      <c r="N742" s="2163" t="s">
        <v>3181</v>
      </c>
      <c r="O742" s="2191">
        <v>0.152</v>
      </c>
      <c r="P742" s="2191">
        <f>O742*H742</f>
        <v>127.936272</v>
      </c>
      <c r="Q742" s="2191">
        <v>1.4999999999999999E-4</v>
      </c>
      <c r="R742" s="2191">
        <f>Q742*H742</f>
        <v>0.1262529</v>
      </c>
      <c r="S742" s="2191">
        <v>0</v>
      </c>
      <c r="T742" s="2192">
        <f>S742*H742</f>
        <v>0</v>
      </c>
      <c r="AR742" s="2193" t="s">
        <v>2894</v>
      </c>
      <c r="AT742" s="2193" t="s">
        <v>3286</v>
      </c>
      <c r="AU742" s="2193" t="s">
        <v>134</v>
      </c>
      <c r="AY742" s="2056" t="s">
        <v>3285</v>
      </c>
      <c r="BE742" s="2194">
        <f>IF(N742="základní",J742,0)</f>
        <v>0</v>
      </c>
      <c r="BF742" s="2194">
        <f>IF(N742="snížená",J742,0)</f>
        <v>0</v>
      </c>
      <c r="BG742" s="2194">
        <f>IF(N742="zákl. přenesená",J742,0)</f>
        <v>0</v>
      </c>
      <c r="BH742" s="2194">
        <f>IF(N742="sníž. přenesená",J742,0)</f>
        <v>0</v>
      </c>
      <c r="BI742" s="2194">
        <f>IF(N742="nulová",J742,0)</f>
        <v>0</v>
      </c>
      <c r="BJ742" s="2056" t="s">
        <v>134</v>
      </c>
      <c r="BK742" s="2194">
        <f>ROUND(I742*H742,2)</f>
        <v>0</v>
      </c>
      <c r="BL742" s="2056" t="s">
        <v>2894</v>
      </c>
      <c r="BM742" s="2193" t="s">
        <v>3953</v>
      </c>
    </row>
    <row r="743" spans="2:65" s="2209" customFormat="1">
      <c r="B743" s="2210"/>
      <c r="D743" s="2197" t="s">
        <v>3303</v>
      </c>
      <c r="E743" s="2211" t="s">
        <v>3146</v>
      </c>
      <c r="F743" s="2212" t="s">
        <v>3723</v>
      </c>
      <c r="H743" s="2213">
        <v>642.54600000000005</v>
      </c>
      <c r="L743" s="2210"/>
      <c r="M743" s="2214"/>
      <c r="T743" s="2215"/>
      <c r="AT743" s="2211" t="s">
        <v>3303</v>
      </c>
      <c r="AU743" s="2211" t="s">
        <v>134</v>
      </c>
      <c r="AV743" s="2209" t="s">
        <v>134</v>
      </c>
      <c r="AW743" s="2209" t="s">
        <v>3171</v>
      </c>
      <c r="AX743" s="2209" t="s">
        <v>3213</v>
      </c>
      <c r="AY743" s="2211" t="s">
        <v>3285</v>
      </c>
    </row>
    <row r="744" spans="2:65" s="2209" customFormat="1">
      <c r="B744" s="2210"/>
      <c r="D744" s="2197" t="s">
        <v>3303</v>
      </c>
      <c r="E744" s="2211" t="s">
        <v>3146</v>
      </c>
      <c r="F744" s="2212" t="s">
        <v>3954</v>
      </c>
      <c r="H744" s="2213">
        <v>170.56800000000001</v>
      </c>
      <c r="L744" s="2210"/>
      <c r="M744" s="2214"/>
      <c r="T744" s="2215"/>
      <c r="AT744" s="2211" t="s">
        <v>3303</v>
      </c>
      <c r="AU744" s="2211" t="s">
        <v>134</v>
      </c>
      <c r="AV744" s="2209" t="s">
        <v>134</v>
      </c>
      <c r="AW744" s="2209" t="s">
        <v>3171</v>
      </c>
      <c r="AX744" s="2209" t="s">
        <v>3213</v>
      </c>
      <c r="AY744" s="2211" t="s">
        <v>3285</v>
      </c>
    </row>
    <row r="745" spans="2:65" s="2209" customFormat="1">
      <c r="B745" s="2210"/>
      <c r="D745" s="2197" t="s">
        <v>3303</v>
      </c>
      <c r="E745" s="2211" t="s">
        <v>3146</v>
      </c>
      <c r="F745" s="2212" t="s">
        <v>3955</v>
      </c>
      <c r="H745" s="2213">
        <v>28.571999999999999</v>
      </c>
      <c r="L745" s="2210"/>
      <c r="M745" s="2214"/>
      <c r="T745" s="2215"/>
      <c r="AT745" s="2211" t="s">
        <v>3303</v>
      </c>
      <c r="AU745" s="2211" t="s">
        <v>134</v>
      </c>
      <c r="AV745" s="2209" t="s">
        <v>134</v>
      </c>
      <c r="AW745" s="2209" t="s">
        <v>3171</v>
      </c>
      <c r="AX745" s="2209" t="s">
        <v>3213</v>
      </c>
      <c r="AY745" s="2211" t="s">
        <v>3285</v>
      </c>
    </row>
    <row r="746" spans="2:65" s="2216" customFormat="1">
      <c r="B746" s="2217"/>
      <c r="D746" s="2197" t="s">
        <v>3303</v>
      </c>
      <c r="E746" s="2218" t="s">
        <v>3146</v>
      </c>
      <c r="F746" s="2219" t="s">
        <v>3306</v>
      </c>
      <c r="H746" s="2220">
        <v>841.68600000000004</v>
      </c>
      <c r="L746" s="2217"/>
      <c r="M746" s="2221"/>
      <c r="T746" s="2222"/>
      <c r="AT746" s="2218" t="s">
        <v>3303</v>
      </c>
      <c r="AU746" s="2218" t="s">
        <v>134</v>
      </c>
      <c r="AV746" s="2216" t="s">
        <v>856</v>
      </c>
      <c r="AW746" s="2216" t="s">
        <v>3171</v>
      </c>
      <c r="AX746" s="2216" t="s">
        <v>133</v>
      </c>
      <c r="AY746" s="2218" t="s">
        <v>3285</v>
      </c>
    </row>
    <row r="747" spans="2:65" s="2070" customFormat="1" ht="16.5" customHeight="1">
      <c r="B747" s="2164"/>
      <c r="C747" s="4614" t="s">
        <v>3950</v>
      </c>
      <c r="D747" s="4614" t="s">
        <v>135</v>
      </c>
      <c r="E747" s="4615" t="s">
        <v>3946</v>
      </c>
      <c r="F747" s="4616" t="s">
        <v>3947</v>
      </c>
      <c r="G747" s="4617" t="s">
        <v>611</v>
      </c>
      <c r="H747" s="4618">
        <v>1027.6990000000001</v>
      </c>
      <c r="I747" s="4619"/>
      <c r="J747" s="4619">
        <f>ROUND(I747*H747,2)</f>
        <v>0</v>
      </c>
      <c r="K747" s="4616" t="s">
        <v>142</v>
      </c>
      <c r="L747" s="2223"/>
      <c r="M747" s="2224" t="s">
        <v>3146</v>
      </c>
      <c r="N747" s="2225" t="s">
        <v>3181</v>
      </c>
      <c r="O747" s="2191">
        <v>0</v>
      </c>
      <c r="P747" s="2191">
        <f>O747*H747</f>
        <v>0</v>
      </c>
      <c r="Q747" s="2191">
        <v>1E-3</v>
      </c>
      <c r="R747" s="2191">
        <f>Q747*H747</f>
        <v>1.0276990000000001</v>
      </c>
      <c r="S747" s="2191">
        <v>0</v>
      </c>
      <c r="T747" s="2192">
        <f>S747*H747</f>
        <v>0</v>
      </c>
      <c r="AR747" s="2193" t="s">
        <v>3389</v>
      </c>
      <c r="AT747" s="2193" t="s">
        <v>135</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2894</v>
      </c>
      <c r="BM747" s="2193" t="s">
        <v>3957</v>
      </c>
    </row>
    <row r="748" spans="2:65" s="2209" customFormat="1">
      <c r="B748" s="2210"/>
      <c r="D748" s="2197" t="s">
        <v>3303</v>
      </c>
      <c r="F748" s="2212" t="s">
        <v>3958</v>
      </c>
      <c r="H748" s="2213">
        <v>1027.6990000000001</v>
      </c>
      <c r="L748" s="2210"/>
      <c r="M748" s="2214"/>
      <c r="T748" s="2215"/>
      <c r="AT748" s="2211" t="s">
        <v>3303</v>
      </c>
      <c r="AU748" s="2211" t="s">
        <v>134</v>
      </c>
      <c r="AV748" s="2209" t="s">
        <v>134</v>
      </c>
      <c r="AW748" s="2209" t="s">
        <v>3148</v>
      </c>
      <c r="AX748" s="2209" t="s">
        <v>133</v>
      </c>
      <c r="AY748" s="2211" t="s">
        <v>3285</v>
      </c>
    </row>
    <row r="749" spans="2:65" s="2070" customFormat="1" ht="24.2" customHeight="1">
      <c r="B749" s="2164"/>
      <c r="C749" s="4608" t="s">
        <v>3956</v>
      </c>
      <c r="D749" s="4608" t="s">
        <v>3286</v>
      </c>
      <c r="E749" s="4609" t="s">
        <v>3960</v>
      </c>
      <c r="F749" s="4610" t="s">
        <v>2818</v>
      </c>
      <c r="G749" s="4611" t="s">
        <v>611</v>
      </c>
      <c r="H749" s="4612">
        <v>554.04899999999998</v>
      </c>
      <c r="I749" s="4613"/>
      <c r="J749" s="4613">
        <f>ROUND(I749*H749,2)</f>
        <v>0</v>
      </c>
      <c r="K749" s="4610" t="s">
        <v>142</v>
      </c>
      <c r="L749" s="2071"/>
      <c r="M749" s="2190" t="s">
        <v>3146</v>
      </c>
      <c r="N749" s="2163" t="s">
        <v>3181</v>
      </c>
      <c r="O749" s="2191">
        <v>0.122</v>
      </c>
      <c r="P749" s="2191">
        <f>O749*H749</f>
        <v>67.593977999999993</v>
      </c>
      <c r="Q749" s="2191">
        <v>8.0000000000000004E-4</v>
      </c>
      <c r="R749" s="2191">
        <f>Q749*H749</f>
        <v>0.4432392</v>
      </c>
      <c r="S749" s="2191">
        <v>0</v>
      </c>
      <c r="T749" s="2192">
        <f>S749*H749</f>
        <v>0</v>
      </c>
      <c r="AR749" s="2193" t="s">
        <v>2894</v>
      </c>
      <c r="AT749" s="2193" t="s">
        <v>3286</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3961</v>
      </c>
    </row>
    <row r="750" spans="2:65" s="2070" customFormat="1" ht="24.2" customHeight="1">
      <c r="B750" s="2164"/>
      <c r="C750" s="4608" t="s">
        <v>3959</v>
      </c>
      <c r="D750" s="4608" t="s">
        <v>3286</v>
      </c>
      <c r="E750" s="4609" t="s">
        <v>3963</v>
      </c>
      <c r="F750" s="4610" t="s">
        <v>3964</v>
      </c>
      <c r="G750" s="4611" t="s">
        <v>611</v>
      </c>
      <c r="H750" s="4612">
        <v>1148.0519999999999</v>
      </c>
      <c r="I750" s="4613"/>
      <c r="J750" s="4613">
        <f>ROUND(I750*H750,2)</f>
        <v>0</v>
      </c>
      <c r="K750" s="4610" t="s">
        <v>142</v>
      </c>
      <c r="L750" s="2071"/>
      <c r="M750" s="2190" t="s">
        <v>3146</v>
      </c>
      <c r="N750" s="2163" t="s">
        <v>3181</v>
      </c>
      <c r="O750" s="2191">
        <v>0.28999999999999998</v>
      </c>
      <c r="P750" s="2191">
        <f>O750*H750</f>
        <v>332.93507999999997</v>
      </c>
      <c r="Q750" s="2191">
        <v>3.0000000000000001E-5</v>
      </c>
      <c r="R750" s="2191">
        <f>Q750*H750</f>
        <v>3.4441559999999996E-2</v>
      </c>
      <c r="S750" s="2191">
        <v>0</v>
      </c>
      <c r="T750" s="2192">
        <f>S750*H750</f>
        <v>0</v>
      </c>
      <c r="AR750" s="2193" t="s">
        <v>2894</v>
      </c>
      <c r="AT750" s="2193" t="s">
        <v>3286</v>
      </c>
      <c r="AU750" s="2193" t="s">
        <v>134</v>
      </c>
      <c r="AY750" s="2056" t="s">
        <v>3285</v>
      </c>
      <c r="BE750" s="2194">
        <f>IF(N750="základní",J750,0)</f>
        <v>0</v>
      </c>
      <c r="BF750" s="2194">
        <f>IF(N750="snížená",J750,0)</f>
        <v>0</v>
      </c>
      <c r="BG750" s="2194">
        <f>IF(N750="zákl. přenesená",J750,0)</f>
        <v>0</v>
      </c>
      <c r="BH750" s="2194">
        <f>IF(N750="sníž. přenesená",J750,0)</f>
        <v>0</v>
      </c>
      <c r="BI750" s="2194">
        <f>IF(N750="nulová",J750,0)</f>
        <v>0</v>
      </c>
      <c r="BJ750" s="2056" t="s">
        <v>134</v>
      </c>
      <c r="BK750" s="2194">
        <f>ROUND(I750*H750,2)</f>
        <v>0</v>
      </c>
      <c r="BL750" s="2056" t="s">
        <v>2894</v>
      </c>
      <c r="BM750" s="2193" t="s">
        <v>3965</v>
      </c>
    </row>
    <row r="751" spans="2:65" s="2070" customFormat="1" ht="21.75" customHeight="1">
      <c r="B751" s="2164"/>
      <c r="C751" s="4614" t="s">
        <v>3962</v>
      </c>
      <c r="D751" s="4614" t="s">
        <v>135</v>
      </c>
      <c r="E751" s="4615" t="s">
        <v>3967</v>
      </c>
      <c r="F751" s="4616" t="s">
        <v>3968</v>
      </c>
      <c r="G751" s="4617" t="s">
        <v>611</v>
      </c>
      <c r="H751" s="4618">
        <v>1338.0550000000001</v>
      </c>
      <c r="I751" s="4619"/>
      <c r="J751" s="4619">
        <f>ROUND(I751*H751,2)</f>
        <v>0</v>
      </c>
      <c r="K751" s="4616" t="s">
        <v>142</v>
      </c>
      <c r="L751" s="2223"/>
      <c r="M751" s="2224" t="s">
        <v>3146</v>
      </c>
      <c r="N751" s="2225" t="s">
        <v>3181</v>
      </c>
      <c r="O751" s="2191">
        <v>0</v>
      </c>
      <c r="P751" s="2191">
        <f>O751*H751</f>
        <v>0</v>
      </c>
      <c r="Q751" s="2191">
        <v>2.0999999999999999E-3</v>
      </c>
      <c r="R751" s="2191">
        <f>Q751*H751</f>
        <v>2.8099154999999998</v>
      </c>
      <c r="S751" s="2191">
        <v>0</v>
      </c>
      <c r="T751" s="2192">
        <f>S751*H751</f>
        <v>0</v>
      </c>
      <c r="AR751" s="2193" t="s">
        <v>3389</v>
      </c>
      <c r="AT751" s="2193" t="s">
        <v>135</v>
      </c>
      <c r="AU751" s="2193" t="s">
        <v>134</v>
      </c>
      <c r="AY751" s="2056" t="s">
        <v>3285</v>
      </c>
      <c r="BE751" s="2194">
        <f>IF(N751="základní",J751,0)</f>
        <v>0</v>
      </c>
      <c r="BF751" s="2194">
        <f>IF(N751="snížená",J751,0)</f>
        <v>0</v>
      </c>
      <c r="BG751" s="2194">
        <f>IF(N751="zákl. přenesená",J751,0)</f>
        <v>0</v>
      </c>
      <c r="BH751" s="2194">
        <f>IF(N751="sníž. přenesená",J751,0)</f>
        <v>0</v>
      </c>
      <c r="BI751" s="2194">
        <f>IF(N751="nulová",J751,0)</f>
        <v>0</v>
      </c>
      <c r="BJ751" s="2056" t="s">
        <v>134</v>
      </c>
      <c r="BK751" s="2194">
        <f>ROUND(I751*H751,2)</f>
        <v>0</v>
      </c>
      <c r="BL751" s="2056" t="s">
        <v>2894</v>
      </c>
      <c r="BM751" s="2193" t="s">
        <v>3969</v>
      </c>
    </row>
    <row r="752" spans="2:65" s="2209" customFormat="1">
      <c r="B752" s="2210"/>
      <c r="D752" s="2197" t="s">
        <v>3303</v>
      </c>
      <c r="F752" s="2212" t="s">
        <v>3949</v>
      </c>
      <c r="H752" s="2213">
        <v>1338.0550000000001</v>
      </c>
      <c r="L752" s="2210"/>
      <c r="M752" s="2214"/>
      <c r="T752" s="2215"/>
      <c r="AT752" s="2211" t="s">
        <v>3303</v>
      </c>
      <c r="AU752" s="2211" t="s">
        <v>134</v>
      </c>
      <c r="AV752" s="2209" t="s">
        <v>134</v>
      </c>
      <c r="AW752" s="2209" t="s">
        <v>3148</v>
      </c>
      <c r="AX752" s="2209" t="s">
        <v>133</v>
      </c>
      <c r="AY752" s="2211" t="s">
        <v>3285</v>
      </c>
    </row>
    <row r="753" spans="2:65" s="2070" customFormat="1" ht="24.2" customHeight="1">
      <c r="B753" s="2164"/>
      <c r="C753" s="4608" t="s">
        <v>3966</v>
      </c>
      <c r="D753" s="4608" t="s">
        <v>3286</v>
      </c>
      <c r="E753" s="4609" t="s">
        <v>3971</v>
      </c>
      <c r="F753" s="4610" t="s">
        <v>3972</v>
      </c>
      <c r="G753" s="4611" t="s">
        <v>611</v>
      </c>
      <c r="H753" s="4612">
        <v>841.68600000000004</v>
      </c>
      <c r="I753" s="4613"/>
      <c r="J753" s="4613">
        <f>ROUND(I753*H753,2)</f>
        <v>0</v>
      </c>
      <c r="K753" s="4610" t="s">
        <v>142</v>
      </c>
      <c r="L753" s="2071"/>
      <c r="M753" s="2190" t="s">
        <v>3146</v>
      </c>
      <c r="N753" s="2163" t="s">
        <v>3181</v>
      </c>
      <c r="O753" s="2191">
        <v>0.35599999999999998</v>
      </c>
      <c r="P753" s="2191">
        <f>O753*H753</f>
        <v>299.64021600000001</v>
      </c>
      <c r="Q753" s="2191">
        <v>5.0000000000000002E-5</v>
      </c>
      <c r="R753" s="2191">
        <f>Q753*H753</f>
        <v>4.2084300000000005E-2</v>
      </c>
      <c r="S753" s="2191">
        <v>0</v>
      </c>
      <c r="T753" s="2192">
        <f>S753*H753</f>
        <v>0</v>
      </c>
      <c r="AR753" s="2193" t="s">
        <v>2894</v>
      </c>
      <c r="AT753" s="2193" t="s">
        <v>3286</v>
      </c>
      <c r="AU753" s="2193" t="s">
        <v>134</v>
      </c>
      <c r="AY753" s="2056" t="s">
        <v>3285</v>
      </c>
      <c r="BE753" s="2194">
        <f>IF(N753="základní",J753,0)</f>
        <v>0</v>
      </c>
      <c r="BF753" s="2194">
        <f>IF(N753="snížená",J753,0)</f>
        <v>0</v>
      </c>
      <c r="BG753" s="2194">
        <f>IF(N753="zákl. přenesená",J753,0)</f>
        <v>0</v>
      </c>
      <c r="BH753" s="2194">
        <f>IF(N753="sníž. přenesená",J753,0)</f>
        <v>0</v>
      </c>
      <c r="BI753" s="2194">
        <f>IF(N753="nulová",J753,0)</f>
        <v>0</v>
      </c>
      <c r="BJ753" s="2056" t="s">
        <v>134</v>
      </c>
      <c r="BK753" s="2194">
        <f>ROUND(I753*H753,2)</f>
        <v>0</v>
      </c>
      <c r="BL753" s="2056" t="s">
        <v>2894</v>
      </c>
      <c r="BM753" s="2193" t="s">
        <v>3973</v>
      </c>
    </row>
    <row r="754" spans="2:65" s="2070" customFormat="1" ht="21.75" customHeight="1">
      <c r="B754" s="2164"/>
      <c r="C754" s="4614" t="s">
        <v>3970</v>
      </c>
      <c r="D754" s="4614" t="s">
        <v>135</v>
      </c>
      <c r="E754" s="4615" t="s">
        <v>3967</v>
      </c>
      <c r="F754" s="4616" t="s">
        <v>3968</v>
      </c>
      <c r="G754" s="4617" t="s">
        <v>611</v>
      </c>
      <c r="H754" s="4618">
        <v>1027.6990000000001</v>
      </c>
      <c r="I754" s="4619"/>
      <c r="J754" s="4619">
        <f>ROUND(I754*H754,2)</f>
        <v>0</v>
      </c>
      <c r="K754" s="4616" t="s">
        <v>142</v>
      </c>
      <c r="L754" s="2223"/>
      <c r="M754" s="2224" t="s">
        <v>3146</v>
      </c>
      <c r="N754" s="2225" t="s">
        <v>3181</v>
      </c>
      <c r="O754" s="2191">
        <v>0</v>
      </c>
      <c r="P754" s="2191">
        <f>O754*H754</f>
        <v>0</v>
      </c>
      <c r="Q754" s="2191">
        <v>2.0999999999999999E-3</v>
      </c>
      <c r="R754" s="2191">
        <f>Q754*H754</f>
        <v>2.1581679</v>
      </c>
      <c r="S754" s="2191">
        <v>0</v>
      </c>
      <c r="T754" s="2192">
        <f>S754*H754</f>
        <v>0</v>
      </c>
      <c r="AR754" s="2193" t="s">
        <v>3389</v>
      </c>
      <c r="AT754" s="2193" t="s">
        <v>135</v>
      </c>
      <c r="AU754" s="2193" t="s">
        <v>134</v>
      </c>
      <c r="AY754" s="2056" t="s">
        <v>3285</v>
      </c>
      <c r="BE754" s="2194">
        <f>IF(N754="základní",J754,0)</f>
        <v>0</v>
      </c>
      <c r="BF754" s="2194">
        <f>IF(N754="snížená",J754,0)</f>
        <v>0</v>
      </c>
      <c r="BG754" s="2194">
        <f>IF(N754="zákl. přenesená",J754,0)</f>
        <v>0</v>
      </c>
      <c r="BH754" s="2194">
        <f>IF(N754="sníž. přenesená",J754,0)</f>
        <v>0</v>
      </c>
      <c r="BI754" s="2194">
        <f>IF(N754="nulová",J754,0)</f>
        <v>0</v>
      </c>
      <c r="BJ754" s="2056" t="s">
        <v>134</v>
      </c>
      <c r="BK754" s="2194">
        <f>ROUND(I754*H754,2)</f>
        <v>0</v>
      </c>
      <c r="BL754" s="2056" t="s">
        <v>2894</v>
      </c>
      <c r="BM754" s="2193" t="s">
        <v>3975</v>
      </c>
    </row>
    <row r="755" spans="2:65" s="2209" customFormat="1">
      <c r="B755" s="2210"/>
      <c r="D755" s="2197" t="s">
        <v>3303</v>
      </c>
      <c r="F755" s="2212" t="s">
        <v>3958</v>
      </c>
      <c r="H755" s="2213">
        <v>1027.6990000000001</v>
      </c>
      <c r="L755" s="2210"/>
      <c r="M755" s="2214"/>
      <c r="T755" s="2215"/>
      <c r="AT755" s="2211" t="s">
        <v>3303</v>
      </c>
      <c r="AU755" s="2211" t="s">
        <v>134</v>
      </c>
      <c r="AV755" s="2209" t="s">
        <v>134</v>
      </c>
      <c r="AW755" s="2209" t="s">
        <v>3148</v>
      </c>
      <c r="AX755" s="2209" t="s">
        <v>133</v>
      </c>
      <c r="AY755" s="2211" t="s">
        <v>3285</v>
      </c>
    </row>
    <row r="756" spans="2:65" s="2070" customFormat="1" ht="24.2" customHeight="1">
      <c r="B756" s="2164"/>
      <c r="C756" s="4608" t="s">
        <v>3974</v>
      </c>
      <c r="D756" s="4608" t="s">
        <v>3286</v>
      </c>
      <c r="E756" s="4609" t="s">
        <v>3977</v>
      </c>
      <c r="F756" s="4610" t="s">
        <v>3978</v>
      </c>
      <c r="G756" s="4611" t="s">
        <v>611</v>
      </c>
      <c r="H756" s="4612">
        <v>1148.0519999999999</v>
      </c>
      <c r="I756" s="4613"/>
      <c r="J756" s="4613">
        <f>ROUND(I756*H756,2)</f>
        <v>0</v>
      </c>
      <c r="K756" s="4610" t="s">
        <v>142</v>
      </c>
      <c r="L756" s="2071"/>
      <c r="M756" s="2190" t="s">
        <v>3146</v>
      </c>
      <c r="N756" s="2163" t="s">
        <v>3181</v>
      </c>
      <c r="O756" s="2191">
        <v>0.09</v>
      </c>
      <c r="P756" s="2191">
        <f>O756*H756</f>
        <v>103.32467999999999</v>
      </c>
      <c r="Q756" s="2191">
        <v>0</v>
      </c>
      <c r="R756" s="2191">
        <f>Q756*H756</f>
        <v>0</v>
      </c>
      <c r="S756" s="2191">
        <v>0</v>
      </c>
      <c r="T756" s="2192">
        <f>S756*H756</f>
        <v>0</v>
      </c>
      <c r="AR756" s="2193" t="s">
        <v>2894</v>
      </c>
      <c r="AT756" s="2193" t="s">
        <v>3286</v>
      </c>
      <c r="AU756" s="2193" t="s">
        <v>134</v>
      </c>
      <c r="AY756" s="2056" t="s">
        <v>3285</v>
      </c>
      <c r="BE756" s="2194">
        <f>IF(N756="základní",J756,0)</f>
        <v>0</v>
      </c>
      <c r="BF756" s="2194">
        <f>IF(N756="snížená",J756,0)</f>
        <v>0</v>
      </c>
      <c r="BG756" s="2194">
        <f>IF(N756="zákl. přenesená",J756,0)</f>
        <v>0</v>
      </c>
      <c r="BH756" s="2194">
        <f>IF(N756="sníž. přenesená",J756,0)</f>
        <v>0</v>
      </c>
      <c r="BI756" s="2194">
        <f>IF(N756="nulová",J756,0)</f>
        <v>0</v>
      </c>
      <c r="BJ756" s="2056" t="s">
        <v>134</v>
      </c>
      <c r="BK756" s="2194">
        <f>ROUND(I756*H756,2)</f>
        <v>0</v>
      </c>
      <c r="BL756" s="2056" t="s">
        <v>2894</v>
      </c>
      <c r="BM756" s="2193" t="s">
        <v>3979</v>
      </c>
    </row>
    <row r="757" spans="2:65" s="2070" customFormat="1" ht="24.2" customHeight="1">
      <c r="B757" s="2164"/>
      <c r="C757" s="4614" t="s">
        <v>3976</v>
      </c>
      <c r="D757" s="4614" t="s">
        <v>135</v>
      </c>
      <c r="E757" s="4615" t="s">
        <v>3981</v>
      </c>
      <c r="F757" s="4616" t="s">
        <v>3982</v>
      </c>
      <c r="G757" s="4617" t="s">
        <v>611</v>
      </c>
      <c r="H757" s="4618">
        <v>2640.52</v>
      </c>
      <c r="I757" s="4619"/>
      <c r="J757" s="4619">
        <f>ROUND(I757*H757,2)</f>
        <v>0</v>
      </c>
      <c r="K757" s="4616" t="s">
        <v>142</v>
      </c>
      <c r="L757" s="2223"/>
      <c r="M757" s="2224" t="s">
        <v>3146</v>
      </c>
      <c r="N757" s="2225" t="s">
        <v>3181</v>
      </c>
      <c r="O757" s="2191">
        <v>0</v>
      </c>
      <c r="P757" s="2191">
        <f>O757*H757</f>
        <v>0</v>
      </c>
      <c r="Q757" s="2191">
        <v>2.9999999999999997E-4</v>
      </c>
      <c r="R757" s="2191">
        <f>Q757*H757</f>
        <v>0.79215599999999997</v>
      </c>
      <c r="S757" s="2191">
        <v>0</v>
      </c>
      <c r="T757" s="2192">
        <f>S757*H757</f>
        <v>0</v>
      </c>
      <c r="AR757" s="2193" t="s">
        <v>3389</v>
      </c>
      <c r="AT757" s="2193" t="s">
        <v>135</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3983</v>
      </c>
    </row>
    <row r="758" spans="2:65" s="2209" customFormat="1">
      <c r="B758" s="2210"/>
      <c r="D758" s="2197" t="s">
        <v>3303</v>
      </c>
      <c r="E758" s="2211" t="s">
        <v>3146</v>
      </c>
      <c r="F758" s="2212" t="s">
        <v>3984</v>
      </c>
      <c r="H758" s="2213">
        <v>2296.1039999999998</v>
      </c>
      <c r="L758" s="2210"/>
      <c r="M758" s="2214"/>
      <c r="T758" s="2215"/>
      <c r="AT758" s="2211" t="s">
        <v>3303</v>
      </c>
      <c r="AU758" s="2211" t="s">
        <v>134</v>
      </c>
      <c r="AV758" s="2209" t="s">
        <v>134</v>
      </c>
      <c r="AW758" s="2209" t="s">
        <v>3171</v>
      </c>
      <c r="AX758" s="2209" t="s">
        <v>133</v>
      </c>
      <c r="AY758" s="2211" t="s">
        <v>3285</v>
      </c>
    </row>
    <row r="759" spans="2:65" s="2209" customFormat="1">
      <c r="B759" s="2210"/>
      <c r="D759" s="2197" t="s">
        <v>3303</v>
      </c>
      <c r="F759" s="2212" t="s">
        <v>3985</v>
      </c>
      <c r="H759" s="2213">
        <v>2640.52</v>
      </c>
      <c r="L759" s="2210"/>
      <c r="M759" s="2214"/>
      <c r="T759" s="2215"/>
      <c r="AT759" s="2211" t="s">
        <v>3303</v>
      </c>
      <c r="AU759" s="2211" t="s">
        <v>134</v>
      </c>
      <c r="AV759" s="2209" t="s">
        <v>134</v>
      </c>
      <c r="AW759" s="2209" t="s">
        <v>3148</v>
      </c>
      <c r="AX759" s="2209" t="s">
        <v>133</v>
      </c>
      <c r="AY759" s="2211" t="s">
        <v>3285</v>
      </c>
    </row>
    <row r="760" spans="2:65" s="2070" customFormat="1" ht="24.2" customHeight="1">
      <c r="B760" s="2164"/>
      <c r="C760" s="4608" t="s">
        <v>3980</v>
      </c>
      <c r="D760" s="4608" t="s">
        <v>3286</v>
      </c>
      <c r="E760" s="4609" t="s">
        <v>3987</v>
      </c>
      <c r="F760" s="4610" t="s">
        <v>3988</v>
      </c>
      <c r="G760" s="4611" t="s">
        <v>611</v>
      </c>
      <c r="H760" s="4612">
        <v>1148.0519999999999</v>
      </c>
      <c r="I760" s="4613"/>
      <c r="J760" s="4613">
        <f>ROUND(I760*H760,2)</f>
        <v>0</v>
      </c>
      <c r="K760" s="4610" t="s">
        <v>142</v>
      </c>
      <c r="L760" s="2071"/>
      <c r="M760" s="2190" t="s">
        <v>3146</v>
      </c>
      <c r="N760" s="2163" t="s">
        <v>3181</v>
      </c>
      <c r="O760" s="2191">
        <v>0.11</v>
      </c>
      <c r="P760" s="2191">
        <f>O760*H760</f>
        <v>126.28571999999998</v>
      </c>
      <c r="Q760" s="2191">
        <v>0</v>
      </c>
      <c r="R760" s="2191">
        <f>Q760*H760</f>
        <v>0</v>
      </c>
      <c r="S760" s="2191">
        <v>0</v>
      </c>
      <c r="T760" s="2192">
        <f>S760*H760</f>
        <v>0</v>
      </c>
      <c r="AR760" s="2193" t="s">
        <v>2894</v>
      </c>
      <c r="AT760" s="2193" t="s">
        <v>3286</v>
      </c>
      <c r="AU760" s="2193" t="s">
        <v>134</v>
      </c>
      <c r="AY760" s="2056" t="s">
        <v>3285</v>
      </c>
      <c r="BE760" s="2194">
        <f>IF(N760="základní",J760,0)</f>
        <v>0</v>
      </c>
      <c r="BF760" s="2194">
        <f>IF(N760="snížená",J760,0)</f>
        <v>0</v>
      </c>
      <c r="BG760" s="2194">
        <f>IF(N760="zákl. přenesená",J760,0)</f>
        <v>0</v>
      </c>
      <c r="BH760" s="2194">
        <f>IF(N760="sníž. přenesená",J760,0)</f>
        <v>0</v>
      </c>
      <c r="BI760" s="2194">
        <f>IF(N760="nulová",J760,0)</f>
        <v>0</v>
      </c>
      <c r="BJ760" s="2056" t="s">
        <v>134</v>
      </c>
      <c r="BK760" s="2194">
        <f>ROUND(I760*H760,2)</f>
        <v>0</v>
      </c>
      <c r="BL760" s="2056" t="s">
        <v>2894</v>
      </c>
      <c r="BM760" s="2193" t="s">
        <v>3989</v>
      </c>
    </row>
    <row r="761" spans="2:65" s="2070" customFormat="1" ht="24.2" customHeight="1">
      <c r="B761" s="2164"/>
      <c r="C761" s="4608" t="s">
        <v>3986</v>
      </c>
      <c r="D761" s="4608" t="s">
        <v>3286</v>
      </c>
      <c r="E761" s="4609" t="s">
        <v>3991</v>
      </c>
      <c r="F761" s="4610" t="s">
        <v>3992</v>
      </c>
      <c r="G761" s="4611" t="s">
        <v>611</v>
      </c>
      <c r="H761" s="4612">
        <v>841.86599999999999</v>
      </c>
      <c r="I761" s="4613"/>
      <c r="J761" s="4613">
        <f>ROUND(I761*H761,2)</f>
        <v>0</v>
      </c>
      <c r="K761" s="4610" t="s">
        <v>142</v>
      </c>
      <c r="L761" s="2071"/>
      <c r="M761" s="2190" t="s">
        <v>3146</v>
      </c>
      <c r="N761" s="2163" t="s">
        <v>3181</v>
      </c>
      <c r="O761" s="2191">
        <v>0.16600000000000001</v>
      </c>
      <c r="P761" s="2191">
        <f>O761*H761</f>
        <v>139.74975599999999</v>
      </c>
      <c r="Q761" s="2191">
        <v>0</v>
      </c>
      <c r="R761" s="2191">
        <f>Q761*H761</f>
        <v>0</v>
      </c>
      <c r="S761" s="2191">
        <v>0</v>
      </c>
      <c r="T761" s="2192">
        <f>S761*H761</f>
        <v>0</v>
      </c>
      <c r="AR761" s="2193" t="s">
        <v>2894</v>
      </c>
      <c r="AT761" s="2193" t="s">
        <v>3286</v>
      </c>
      <c r="AU761" s="2193" t="s">
        <v>134</v>
      </c>
      <c r="AY761" s="2056" t="s">
        <v>3285</v>
      </c>
      <c r="BE761" s="2194">
        <f>IF(N761="základní",J761,0)</f>
        <v>0</v>
      </c>
      <c r="BF761" s="2194">
        <f>IF(N761="snížená",J761,0)</f>
        <v>0</v>
      </c>
      <c r="BG761" s="2194">
        <f>IF(N761="zákl. přenesená",J761,0)</f>
        <v>0</v>
      </c>
      <c r="BH761" s="2194">
        <f>IF(N761="sníž. přenesená",J761,0)</f>
        <v>0</v>
      </c>
      <c r="BI761" s="2194">
        <f>IF(N761="nulová",J761,0)</f>
        <v>0</v>
      </c>
      <c r="BJ761" s="2056" t="s">
        <v>134</v>
      </c>
      <c r="BK761" s="2194">
        <f>ROUND(I761*H761,2)</f>
        <v>0</v>
      </c>
      <c r="BL761" s="2056" t="s">
        <v>2894</v>
      </c>
      <c r="BM761" s="2193" t="s">
        <v>3993</v>
      </c>
    </row>
    <row r="762" spans="2:65" s="2070" customFormat="1" ht="24.2" customHeight="1">
      <c r="B762" s="2164"/>
      <c r="C762" s="4614" t="s">
        <v>3990</v>
      </c>
      <c r="D762" s="4614" t="s">
        <v>135</v>
      </c>
      <c r="E762" s="4615" t="s">
        <v>3981</v>
      </c>
      <c r="F762" s="4616" t="s">
        <v>3982</v>
      </c>
      <c r="G762" s="4617" t="s">
        <v>611</v>
      </c>
      <c r="H762" s="4618">
        <v>2020.4780000000001</v>
      </c>
      <c r="I762" s="4619"/>
      <c r="J762" s="4619">
        <f>ROUND(I762*H762,2)</f>
        <v>0</v>
      </c>
      <c r="K762" s="4616" t="s">
        <v>142</v>
      </c>
      <c r="L762" s="2223"/>
      <c r="M762" s="2224" t="s">
        <v>3146</v>
      </c>
      <c r="N762" s="2225" t="s">
        <v>3181</v>
      </c>
      <c r="O762" s="2191">
        <v>0</v>
      </c>
      <c r="P762" s="2191">
        <f>O762*H762</f>
        <v>0</v>
      </c>
      <c r="Q762" s="2191">
        <v>2.9999999999999997E-4</v>
      </c>
      <c r="R762" s="2191">
        <f>Q762*H762</f>
        <v>0.6061434</v>
      </c>
      <c r="S762" s="2191">
        <v>0</v>
      </c>
      <c r="T762" s="2192">
        <f>S762*H762</f>
        <v>0</v>
      </c>
      <c r="AR762" s="2193" t="s">
        <v>3389</v>
      </c>
      <c r="AT762" s="2193" t="s">
        <v>135</v>
      </c>
      <c r="AU762" s="2193" t="s">
        <v>134</v>
      </c>
      <c r="AY762" s="2056" t="s">
        <v>3285</v>
      </c>
      <c r="BE762" s="2194">
        <f>IF(N762="základní",J762,0)</f>
        <v>0</v>
      </c>
      <c r="BF762" s="2194">
        <f>IF(N762="snížená",J762,0)</f>
        <v>0</v>
      </c>
      <c r="BG762" s="2194">
        <f>IF(N762="zákl. přenesená",J762,0)</f>
        <v>0</v>
      </c>
      <c r="BH762" s="2194">
        <f>IF(N762="sníž. přenesená",J762,0)</f>
        <v>0</v>
      </c>
      <c r="BI762" s="2194">
        <f>IF(N762="nulová",J762,0)</f>
        <v>0</v>
      </c>
      <c r="BJ762" s="2056" t="s">
        <v>134</v>
      </c>
      <c r="BK762" s="2194">
        <f>ROUND(I762*H762,2)</f>
        <v>0</v>
      </c>
      <c r="BL762" s="2056" t="s">
        <v>2894</v>
      </c>
      <c r="BM762" s="2193" t="s">
        <v>3995</v>
      </c>
    </row>
    <row r="763" spans="2:65" s="2209" customFormat="1">
      <c r="B763" s="2210"/>
      <c r="D763" s="2197" t="s">
        <v>3303</v>
      </c>
      <c r="E763" s="2211" t="s">
        <v>3146</v>
      </c>
      <c r="F763" s="2212" t="s">
        <v>3996</v>
      </c>
      <c r="H763" s="2213">
        <v>2020.4780000000001</v>
      </c>
      <c r="L763" s="2210"/>
      <c r="M763" s="2214"/>
      <c r="T763" s="2215"/>
      <c r="AT763" s="2211" t="s">
        <v>3303</v>
      </c>
      <c r="AU763" s="2211" t="s">
        <v>134</v>
      </c>
      <c r="AV763" s="2209" t="s">
        <v>134</v>
      </c>
      <c r="AW763" s="2209" t="s">
        <v>3171</v>
      </c>
      <c r="AX763" s="2209" t="s">
        <v>133</v>
      </c>
      <c r="AY763" s="2211" t="s">
        <v>3285</v>
      </c>
    </row>
    <row r="764" spans="2:65" s="2070" customFormat="1" ht="24.2" customHeight="1">
      <c r="B764" s="2164"/>
      <c r="C764" s="4608" t="s">
        <v>3994</v>
      </c>
      <c r="D764" s="4608" t="s">
        <v>3286</v>
      </c>
      <c r="E764" s="4609" t="s">
        <v>3998</v>
      </c>
      <c r="F764" s="4610" t="s">
        <v>3999</v>
      </c>
      <c r="G764" s="4611" t="s">
        <v>611</v>
      </c>
      <c r="H764" s="4612">
        <v>841.86599999999999</v>
      </c>
      <c r="I764" s="4613"/>
      <c r="J764" s="4613">
        <f>ROUND(I764*H764,2)</f>
        <v>0</v>
      </c>
      <c r="K764" s="4610" t="s">
        <v>142</v>
      </c>
      <c r="L764" s="2071"/>
      <c r="M764" s="2190" t="s">
        <v>3146</v>
      </c>
      <c r="N764" s="2163" t="s">
        <v>3181</v>
      </c>
      <c r="O764" s="2191">
        <v>0.19600000000000001</v>
      </c>
      <c r="P764" s="2191">
        <f>O764*H764</f>
        <v>165.00573600000001</v>
      </c>
      <c r="Q764" s="2191">
        <v>0</v>
      </c>
      <c r="R764" s="2191">
        <f>Q764*H764</f>
        <v>0</v>
      </c>
      <c r="S764" s="2191">
        <v>0</v>
      </c>
      <c r="T764" s="2192">
        <f>S764*H764</f>
        <v>0</v>
      </c>
      <c r="AR764" s="2193" t="s">
        <v>2894</v>
      </c>
      <c r="AT764" s="2193" t="s">
        <v>3286</v>
      </c>
      <c r="AU764" s="2193" t="s">
        <v>134</v>
      </c>
      <c r="AY764" s="2056" t="s">
        <v>3285</v>
      </c>
      <c r="BE764" s="2194">
        <f>IF(N764="základní",J764,0)</f>
        <v>0</v>
      </c>
      <c r="BF764" s="2194">
        <f>IF(N764="snížená",J764,0)</f>
        <v>0</v>
      </c>
      <c r="BG764" s="2194">
        <f>IF(N764="zákl. přenesená",J764,0)</f>
        <v>0</v>
      </c>
      <c r="BH764" s="2194">
        <f>IF(N764="sníž. přenesená",J764,0)</f>
        <v>0</v>
      </c>
      <c r="BI764" s="2194">
        <f>IF(N764="nulová",J764,0)</f>
        <v>0</v>
      </c>
      <c r="BJ764" s="2056" t="s">
        <v>134</v>
      </c>
      <c r="BK764" s="2194">
        <f>ROUND(I764*H764,2)</f>
        <v>0</v>
      </c>
      <c r="BL764" s="2056" t="s">
        <v>2894</v>
      </c>
      <c r="BM764" s="2193" t="s">
        <v>4000</v>
      </c>
    </row>
    <row r="765" spans="2:65" s="2070" customFormat="1" ht="24.2" customHeight="1">
      <c r="B765" s="2164"/>
      <c r="C765" s="4608" t="s">
        <v>3997</v>
      </c>
      <c r="D765" s="4608" t="s">
        <v>3286</v>
      </c>
      <c r="E765" s="4609" t="s">
        <v>4002</v>
      </c>
      <c r="F765" s="4610" t="s">
        <v>4003</v>
      </c>
      <c r="G765" s="4611" t="s">
        <v>302</v>
      </c>
      <c r="H765" s="4612">
        <v>9.5500000000000007</v>
      </c>
      <c r="I765" s="4613"/>
      <c r="J765" s="4613">
        <f>ROUND(I765*H765,2)</f>
        <v>0</v>
      </c>
      <c r="K765" s="4610" t="s">
        <v>142</v>
      </c>
      <c r="L765" s="2071"/>
      <c r="M765" s="2190" t="s">
        <v>3146</v>
      </c>
      <c r="N765" s="2163" t="s">
        <v>3181</v>
      </c>
      <c r="O765" s="2191">
        <v>1.5669999999999999</v>
      </c>
      <c r="P765" s="2191">
        <f>O765*H765</f>
        <v>14.96485</v>
      </c>
      <c r="Q765" s="2191">
        <v>0</v>
      </c>
      <c r="R765" s="2191">
        <f>Q765*H765</f>
        <v>0</v>
      </c>
      <c r="S765" s="2191">
        <v>0</v>
      </c>
      <c r="T765" s="2192">
        <f>S765*H765</f>
        <v>0</v>
      </c>
      <c r="AR765" s="2193" t="s">
        <v>2894</v>
      </c>
      <c r="AT765" s="2193" t="s">
        <v>3286</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4004</v>
      </c>
    </row>
    <row r="766" spans="2:65" s="2070" customFormat="1" ht="24.2" customHeight="1">
      <c r="B766" s="2164"/>
      <c r="C766" s="4608" t="s">
        <v>4001</v>
      </c>
      <c r="D766" s="4608" t="s">
        <v>3286</v>
      </c>
      <c r="E766" s="4609" t="s">
        <v>4006</v>
      </c>
      <c r="F766" s="4610" t="s">
        <v>4007</v>
      </c>
      <c r="G766" s="4611" t="s">
        <v>302</v>
      </c>
      <c r="H766" s="4612">
        <v>9.5500000000000007</v>
      </c>
      <c r="I766" s="4613"/>
      <c r="J766" s="4613">
        <f>ROUND(I766*H766,2)</f>
        <v>0</v>
      </c>
      <c r="K766" s="4610" t="s">
        <v>142</v>
      </c>
      <c r="L766" s="2071"/>
      <c r="M766" s="2190" t="s">
        <v>3146</v>
      </c>
      <c r="N766" s="2163" t="s">
        <v>3181</v>
      </c>
      <c r="O766" s="2191">
        <v>1.36</v>
      </c>
      <c r="P766" s="2191">
        <f>O766*H766</f>
        <v>12.988000000000001</v>
      </c>
      <c r="Q766" s="2191">
        <v>0</v>
      </c>
      <c r="R766" s="2191">
        <f>Q766*H766</f>
        <v>0</v>
      </c>
      <c r="S766" s="2191">
        <v>0</v>
      </c>
      <c r="T766" s="2192">
        <f>S766*H766</f>
        <v>0</v>
      </c>
      <c r="AR766" s="2193" t="s">
        <v>2894</v>
      </c>
      <c r="AT766" s="2193" t="s">
        <v>3286</v>
      </c>
      <c r="AU766" s="2193" t="s">
        <v>134</v>
      </c>
      <c r="AY766" s="2056" t="s">
        <v>3285</v>
      </c>
      <c r="BE766" s="2194">
        <f>IF(N766="základní",J766,0)</f>
        <v>0</v>
      </c>
      <c r="BF766" s="2194">
        <f>IF(N766="snížená",J766,0)</f>
        <v>0</v>
      </c>
      <c r="BG766" s="2194">
        <f>IF(N766="zákl. přenesená",J766,0)</f>
        <v>0</v>
      </c>
      <c r="BH766" s="2194">
        <f>IF(N766="sníž. přenesená",J766,0)</f>
        <v>0</v>
      </c>
      <c r="BI766" s="2194">
        <f>IF(N766="nulová",J766,0)</f>
        <v>0</v>
      </c>
      <c r="BJ766" s="2056" t="s">
        <v>134</v>
      </c>
      <c r="BK766" s="2194">
        <f>ROUND(I766*H766,2)</f>
        <v>0</v>
      </c>
      <c r="BL766" s="2056" t="s">
        <v>2894</v>
      </c>
      <c r="BM766" s="2193" t="s">
        <v>4008</v>
      </c>
    </row>
    <row r="767" spans="2:65" s="2178" customFormat="1" ht="22.9" customHeight="1">
      <c r="B767" s="2179"/>
      <c r="D767" s="2180" t="s">
        <v>3212</v>
      </c>
      <c r="E767" s="2188" t="s">
        <v>3933</v>
      </c>
      <c r="F767" s="2188" t="s">
        <v>3934</v>
      </c>
      <c r="J767" s="2189">
        <f>BK767</f>
        <v>0</v>
      </c>
      <c r="L767" s="2179"/>
      <c r="M767" s="2183"/>
      <c r="P767" s="2184">
        <f>SUM(P768:P858)</f>
        <v>1959.3039750000005</v>
      </c>
      <c r="R767" s="2184">
        <f>SUM(R768:R858)</f>
        <v>185.30854520000003</v>
      </c>
      <c r="T767" s="2185">
        <f>SUM(T768:T858)</f>
        <v>0</v>
      </c>
      <c r="AR767" s="2180" t="s">
        <v>134</v>
      </c>
      <c r="AT767" s="2186" t="s">
        <v>3212</v>
      </c>
      <c r="AU767" s="2186" t="s">
        <v>133</v>
      </c>
      <c r="AY767" s="2180" t="s">
        <v>3285</v>
      </c>
      <c r="BK767" s="2187">
        <f>SUM(BK768:BK858)</f>
        <v>0</v>
      </c>
    </row>
    <row r="768" spans="2:65" s="2070" customFormat="1" ht="24.2" customHeight="1">
      <c r="B768" s="2164"/>
      <c r="C768" s="4608" t="s">
        <v>4005</v>
      </c>
      <c r="D768" s="4608" t="s">
        <v>3286</v>
      </c>
      <c r="E768" s="4609" t="s">
        <v>10834</v>
      </c>
      <c r="F768" s="4610" t="s">
        <v>10835</v>
      </c>
      <c r="G768" s="4611" t="s">
        <v>611</v>
      </c>
      <c r="H768" s="4612">
        <v>1330.71</v>
      </c>
      <c r="I768" s="4613"/>
      <c r="J768" s="4613">
        <f>ROUND(I768*H768,2)</f>
        <v>0</v>
      </c>
      <c r="K768" s="4610" t="s">
        <v>142</v>
      </c>
      <c r="L768" s="2071"/>
      <c r="M768" s="2190" t="s">
        <v>3146</v>
      </c>
      <c r="N768" s="2163" t="s">
        <v>3181</v>
      </c>
      <c r="O768" s="2191">
        <v>2.9000000000000001E-2</v>
      </c>
      <c r="P768" s="2191">
        <f>O768*H768</f>
        <v>38.590590000000006</v>
      </c>
      <c r="Q768" s="2191">
        <v>0</v>
      </c>
      <c r="R768" s="2191">
        <f>Q768*H768</f>
        <v>0</v>
      </c>
      <c r="S768" s="2191">
        <v>0</v>
      </c>
      <c r="T768" s="2192">
        <f>S768*H768</f>
        <v>0</v>
      </c>
      <c r="AR768" s="2193" t="s">
        <v>856</v>
      </c>
      <c r="AT768" s="2193" t="s">
        <v>3286</v>
      </c>
      <c r="AU768" s="2193" t="s">
        <v>134</v>
      </c>
      <c r="AY768" s="2056" t="s">
        <v>3285</v>
      </c>
      <c r="BE768" s="2194">
        <f>IF(N768="základní",J768,0)</f>
        <v>0</v>
      </c>
      <c r="BF768" s="2194">
        <f>IF(N768="snížená",J768,0)</f>
        <v>0</v>
      </c>
      <c r="BG768" s="2194">
        <f>IF(N768="zákl. přenesená",J768,0)</f>
        <v>0</v>
      </c>
      <c r="BH768" s="2194">
        <f>IF(N768="sníž. přenesená",J768,0)</f>
        <v>0</v>
      </c>
      <c r="BI768" s="2194">
        <f>IF(N768="nulová",J768,0)</f>
        <v>0</v>
      </c>
      <c r="BJ768" s="2056" t="s">
        <v>134</v>
      </c>
      <c r="BK768" s="2194">
        <f>ROUND(I768*H768,2)</f>
        <v>0</v>
      </c>
      <c r="BL768" s="2056" t="s">
        <v>856</v>
      </c>
      <c r="BM768" s="2193" t="s">
        <v>10836</v>
      </c>
    </row>
    <row r="769" spans="2:65" s="2195" customFormat="1">
      <c r="B769" s="2196"/>
      <c r="D769" s="2197" t="s">
        <v>3303</v>
      </c>
      <c r="E769" s="2198" t="s">
        <v>3146</v>
      </c>
      <c r="F769" s="2199" t="s">
        <v>10837</v>
      </c>
      <c r="H769" s="2198" t="s">
        <v>3146</v>
      </c>
      <c r="L769" s="2196"/>
      <c r="M769" s="2200"/>
      <c r="T769" s="2201"/>
      <c r="AT769" s="2198" t="s">
        <v>3303</v>
      </c>
      <c r="AU769" s="2198" t="s">
        <v>134</v>
      </c>
      <c r="AV769" s="2195" t="s">
        <v>133</v>
      </c>
      <c r="AW769" s="2195" t="s">
        <v>3171</v>
      </c>
      <c r="AX769" s="2195" t="s">
        <v>3213</v>
      </c>
      <c r="AY769" s="2198" t="s">
        <v>3285</v>
      </c>
    </row>
    <row r="770" spans="2:65" s="2209" customFormat="1">
      <c r="B770" s="2210"/>
      <c r="D770" s="2197" t="s">
        <v>3303</v>
      </c>
      <c r="E770" s="2211" t="s">
        <v>3146</v>
      </c>
      <c r="F770" s="2212" t="s">
        <v>10838</v>
      </c>
      <c r="H770" s="2213">
        <v>890</v>
      </c>
      <c r="L770" s="2210"/>
      <c r="M770" s="2214"/>
      <c r="T770" s="2215"/>
      <c r="AT770" s="2211" t="s">
        <v>3303</v>
      </c>
      <c r="AU770" s="2211" t="s">
        <v>134</v>
      </c>
      <c r="AV770" s="2209" t="s">
        <v>134</v>
      </c>
      <c r="AW770" s="2209" t="s">
        <v>3171</v>
      </c>
      <c r="AX770" s="2209" t="s">
        <v>3213</v>
      </c>
      <c r="AY770" s="2211" t="s">
        <v>3285</v>
      </c>
    </row>
    <row r="771" spans="2:65" s="2209" customFormat="1">
      <c r="B771" s="2210"/>
      <c r="D771" s="2197" t="s">
        <v>3303</v>
      </c>
      <c r="E771" s="2211" t="s">
        <v>3146</v>
      </c>
      <c r="F771" s="2212" t="s">
        <v>5234</v>
      </c>
      <c r="H771" s="2213">
        <v>245</v>
      </c>
      <c r="L771" s="2210"/>
      <c r="M771" s="2214"/>
      <c r="T771" s="2215"/>
      <c r="AT771" s="2211" t="s">
        <v>3303</v>
      </c>
      <c r="AU771" s="2211" t="s">
        <v>134</v>
      </c>
      <c r="AV771" s="2209" t="s">
        <v>134</v>
      </c>
      <c r="AW771" s="2209" t="s">
        <v>3171</v>
      </c>
      <c r="AX771" s="2209" t="s">
        <v>3213</v>
      </c>
      <c r="AY771" s="2211" t="s">
        <v>3285</v>
      </c>
    </row>
    <row r="772" spans="2:65" s="2195" customFormat="1">
      <c r="B772" s="2196"/>
      <c r="D772" s="2197" t="s">
        <v>3303</v>
      </c>
      <c r="E772" s="2198" t="s">
        <v>3146</v>
      </c>
      <c r="F772" s="2199" t="s">
        <v>10839</v>
      </c>
      <c r="H772" s="2198" t="s">
        <v>3146</v>
      </c>
      <c r="L772" s="2196"/>
      <c r="M772" s="2200"/>
      <c r="T772" s="2201"/>
      <c r="AT772" s="2198" t="s">
        <v>3303</v>
      </c>
      <c r="AU772" s="2198" t="s">
        <v>134</v>
      </c>
      <c r="AV772" s="2195" t="s">
        <v>133</v>
      </c>
      <c r="AW772" s="2195" t="s">
        <v>3171</v>
      </c>
      <c r="AX772" s="2195" t="s">
        <v>3213</v>
      </c>
      <c r="AY772" s="2198" t="s">
        <v>3285</v>
      </c>
    </row>
    <row r="773" spans="2:65" s="2209" customFormat="1">
      <c r="B773" s="2210"/>
      <c r="D773" s="2197" t="s">
        <v>3303</v>
      </c>
      <c r="E773" s="2211" t="s">
        <v>3146</v>
      </c>
      <c r="F773" s="2212" t="s">
        <v>685</v>
      </c>
      <c r="H773" s="2213">
        <v>38</v>
      </c>
      <c r="L773" s="2210"/>
      <c r="M773" s="2214"/>
      <c r="T773" s="2215"/>
      <c r="AT773" s="2211" t="s">
        <v>3303</v>
      </c>
      <c r="AU773" s="2211" t="s">
        <v>134</v>
      </c>
      <c r="AV773" s="2209" t="s">
        <v>134</v>
      </c>
      <c r="AW773" s="2209" t="s">
        <v>3171</v>
      </c>
      <c r="AX773" s="2209" t="s">
        <v>3213</v>
      </c>
      <c r="AY773" s="2211" t="s">
        <v>3285</v>
      </c>
    </row>
    <row r="774" spans="2:65" s="2195" customFormat="1">
      <c r="B774" s="2196"/>
      <c r="D774" s="2197" t="s">
        <v>3303</v>
      </c>
      <c r="E774" s="2198" t="s">
        <v>3146</v>
      </c>
      <c r="F774" s="2199" t="s">
        <v>10840</v>
      </c>
      <c r="H774" s="2198" t="s">
        <v>3146</v>
      </c>
      <c r="L774" s="2196"/>
      <c r="M774" s="2200"/>
      <c r="T774" s="2201"/>
      <c r="AT774" s="2198" t="s">
        <v>3303</v>
      </c>
      <c r="AU774" s="2198" t="s">
        <v>134</v>
      </c>
      <c r="AV774" s="2195" t="s">
        <v>133</v>
      </c>
      <c r="AW774" s="2195" t="s">
        <v>3171</v>
      </c>
      <c r="AX774" s="2195" t="s">
        <v>3213</v>
      </c>
      <c r="AY774" s="2198" t="s">
        <v>3285</v>
      </c>
    </row>
    <row r="775" spans="2:65" s="2209" customFormat="1">
      <c r="B775" s="2210"/>
      <c r="D775" s="2197" t="s">
        <v>3303</v>
      </c>
      <c r="E775" s="2211" t="s">
        <v>3146</v>
      </c>
      <c r="F775" s="2212" t="s">
        <v>10841</v>
      </c>
      <c r="H775" s="2213">
        <v>116.1</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2272</v>
      </c>
      <c r="H776" s="2213">
        <v>20</v>
      </c>
      <c r="L776" s="2210"/>
      <c r="M776" s="2214"/>
      <c r="T776" s="2215"/>
      <c r="AT776" s="2211" t="s">
        <v>3303</v>
      </c>
      <c r="AU776" s="2211" t="s">
        <v>134</v>
      </c>
      <c r="AV776" s="2209" t="s">
        <v>134</v>
      </c>
      <c r="AW776" s="2209" t="s">
        <v>3171</v>
      </c>
      <c r="AX776" s="2209" t="s">
        <v>3213</v>
      </c>
      <c r="AY776" s="2211" t="s">
        <v>3285</v>
      </c>
    </row>
    <row r="777" spans="2:65" s="2195" customFormat="1">
      <c r="B777" s="2196"/>
      <c r="D777" s="2197" t="s">
        <v>3303</v>
      </c>
      <c r="E777" s="2198" t="s">
        <v>3146</v>
      </c>
      <c r="F777" s="2199" t="s">
        <v>10842</v>
      </c>
      <c r="H777" s="2198" t="s">
        <v>3146</v>
      </c>
      <c r="L777" s="2196"/>
      <c r="M777" s="2200"/>
      <c r="T777" s="2201"/>
      <c r="AT777" s="2198" t="s">
        <v>3303</v>
      </c>
      <c r="AU777" s="2198" t="s">
        <v>134</v>
      </c>
      <c r="AV777" s="2195" t="s">
        <v>133</v>
      </c>
      <c r="AW777" s="2195" t="s">
        <v>3171</v>
      </c>
      <c r="AX777" s="2195" t="s">
        <v>3213</v>
      </c>
      <c r="AY777" s="2198" t="s">
        <v>3285</v>
      </c>
    </row>
    <row r="778" spans="2:65" s="2209" customFormat="1">
      <c r="B778" s="2210"/>
      <c r="D778" s="2197" t="s">
        <v>3303</v>
      </c>
      <c r="E778" s="2211" t="s">
        <v>3146</v>
      </c>
      <c r="F778" s="2212" t="s">
        <v>10843</v>
      </c>
      <c r="H778" s="2213">
        <v>21.61</v>
      </c>
      <c r="L778" s="2210"/>
      <c r="M778" s="2214"/>
      <c r="T778" s="2215"/>
      <c r="AT778" s="2211" t="s">
        <v>3303</v>
      </c>
      <c r="AU778" s="2211" t="s">
        <v>134</v>
      </c>
      <c r="AV778" s="2209" t="s">
        <v>134</v>
      </c>
      <c r="AW778" s="2209" t="s">
        <v>3171</v>
      </c>
      <c r="AX778" s="2209" t="s">
        <v>3213</v>
      </c>
      <c r="AY778" s="2211" t="s">
        <v>3285</v>
      </c>
    </row>
    <row r="779" spans="2:65" s="2216" customFormat="1">
      <c r="B779" s="2217"/>
      <c r="D779" s="2197" t="s">
        <v>3303</v>
      </c>
      <c r="E779" s="2218" t="s">
        <v>3146</v>
      </c>
      <c r="F779" s="2219" t="s">
        <v>3306</v>
      </c>
      <c r="H779" s="2220">
        <v>1330.71</v>
      </c>
      <c r="L779" s="2217"/>
      <c r="M779" s="2221"/>
      <c r="T779" s="2222"/>
      <c r="AT779" s="2218" t="s">
        <v>3303</v>
      </c>
      <c r="AU779" s="2218" t="s">
        <v>134</v>
      </c>
      <c r="AV779" s="2216" t="s">
        <v>856</v>
      </c>
      <c r="AW779" s="2216" t="s">
        <v>3171</v>
      </c>
      <c r="AX779" s="2216" t="s">
        <v>133</v>
      </c>
      <c r="AY779" s="2218" t="s">
        <v>3285</v>
      </c>
    </row>
    <row r="780" spans="2:65" s="2070" customFormat="1" ht="16.5" customHeight="1">
      <c r="B780" s="2164"/>
      <c r="C780" s="4614" t="s">
        <v>4011</v>
      </c>
      <c r="D780" s="4614" t="s">
        <v>135</v>
      </c>
      <c r="E780" s="4615" t="s">
        <v>4695</v>
      </c>
      <c r="F780" s="4616" t="s">
        <v>4696</v>
      </c>
      <c r="G780" s="4617" t="s">
        <v>302</v>
      </c>
      <c r="H780" s="4618">
        <v>0.42599999999999999</v>
      </c>
      <c r="I780" s="4619"/>
      <c r="J780" s="4619">
        <f>ROUND(I780*H780,2)</f>
        <v>0</v>
      </c>
      <c r="K780" s="4616" t="s">
        <v>142</v>
      </c>
      <c r="L780" s="2223"/>
      <c r="M780" s="2224" t="s">
        <v>3146</v>
      </c>
      <c r="N780" s="2225" t="s">
        <v>3181</v>
      </c>
      <c r="O780" s="2191">
        <v>0</v>
      </c>
      <c r="P780" s="2191">
        <f>O780*H780</f>
        <v>0</v>
      </c>
      <c r="Q780" s="2191">
        <v>1</v>
      </c>
      <c r="R780" s="2191">
        <f>Q780*H780</f>
        <v>0.42599999999999999</v>
      </c>
      <c r="S780" s="2191">
        <v>0</v>
      </c>
      <c r="T780" s="2192">
        <f>S780*H780</f>
        <v>0</v>
      </c>
      <c r="AR780" s="2193" t="s">
        <v>1363</v>
      </c>
      <c r="AT780" s="2193" t="s">
        <v>135</v>
      </c>
      <c r="AU780" s="2193" t="s">
        <v>134</v>
      </c>
      <c r="AY780" s="2056" t="s">
        <v>3285</v>
      </c>
      <c r="BE780" s="2194">
        <f>IF(N780="základní",J780,0)</f>
        <v>0</v>
      </c>
      <c r="BF780" s="2194">
        <f>IF(N780="snížená",J780,0)</f>
        <v>0</v>
      </c>
      <c r="BG780" s="2194">
        <f>IF(N780="zákl. přenesená",J780,0)</f>
        <v>0</v>
      </c>
      <c r="BH780" s="2194">
        <f>IF(N780="sníž. přenesená",J780,0)</f>
        <v>0</v>
      </c>
      <c r="BI780" s="2194">
        <f>IF(N780="nulová",J780,0)</f>
        <v>0</v>
      </c>
      <c r="BJ780" s="2056" t="s">
        <v>134</v>
      </c>
      <c r="BK780" s="2194">
        <f>ROUND(I780*H780,2)</f>
        <v>0</v>
      </c>
      <c r="BL780" s="2056" t="s">
        <v>856</v>
      </c>
      <c r="BM780" s="2193" t="s">
        <v>10844</v>
      </c>
    </row>
    <row r="781" spans="2:65" s="2209" customFormat="1">
      <c r="B781" s="2210"/>
      <c r="D781" s="2197" t="s">
        <v>3303</v>
      </c>
      <c r="F781" s="2212" t="s">
        <v>10845</v>
      </c>
      <c r="H781" s="2213">
        <v>0.42599999999999999</v>
      </c>
      <c r="L781" s="2210"/>
      <c r="M781" s="2214"/>
      <c r="T781" s="2215"/>
      <c r="AT781" s="2211" t="s">
        <v>3303</v>
      </c>
      <c r="AU781" s="2211" t="s">
        <v>134</v>
      </c>
      <c r="AV781" s="2209" t="s">
        <v>134</v>
      </c>
      <c r="AW781" s="2209" t="s">
        <v>3148</v>
      </c>
      <c r="AX781" s="2209" t="s">
        <v>133</v>
      </c>
      <c r="AY781" s="2211" t="s">
        <v>3285</v>
      </c>
    </row>
    <row r="782" spans="2:65" s="2070" customFormat="1" ht="24.2" customHeight="1">
      <c r="B782" s="2164"/>
      <c r="C782" s="4608" t="s">
        <v>4021</v>
      </c>
      <c r="D782" s="4608" t="s">
        <v>3286</v>
      </c>
      <c r="E782" s="4609" t="s">
        <v>4699</v>
      </c>
      <c r="F782" s="4610" t="s">
        <v>4700</v>
      </c>
      <c r="G782" s="4611" t="s">
        <v>611</v>
      </c>
      <c r="H782" s="4612">
        <v>2661.42</v>
      </c>
      <c r="I782" s="4613"/>
      <c r="J782" s="4613">
        <f>ROUND(I782*H782,2)</f>
        <v>0</v>
      </c>
      <c r="K782" s="4610" t="s">
        <v>142</v>
      </c>
      <c r="L782" s="2071"/>
      <c r="M782" s="2190" t="s">
        <v>3146</v>
      </c>
      <c r="N782" s="2163" t="s">
        <v>3181</v>
      </c>
      <c r="O782" s="2191">
        <v>0.115</v>
      </c>
      <c r="P782" s="2191">
        <f>O782*H782</f>
        <v>306.06330000000003</v>
      </c>
      <c r="Q782" s="2191">
        <v>0</v>
      </c>
      <c r="R782" s="2191">
        <f>Q782*H782</f>
        <v>0</v>
      </c>
      <c r="S782" s="2191">
        <v>0</v>
      </c>
      <c r="T782" s="2192">
        <f>S782*H782</f>
        <v>0</v>
      </c>
      <c r="AR782" s="2193" t="s">
        <v>2894</v>
      </c>
      <c r="AT782" s="2193" t="s">
        <v>3286</v>
      </c>
      <c r="AU782" s="2193" t="s">
        <v>134</v>
      </c>
      <c r="AY782" s="2056" t="s">
        <v>3285</v>
      </c>
      <c r="BE782" s="2194">
        <f>IF(N782="základní",J782,0)</f>
        <v>0</v>
      </c>
      <c r="BF782" s="2194">
        <f>IF(N782="snížená",J782,0)</f>
        <v>0</v>
      </c>
      <c r="BG782" s="2194">
        <f>IF(N782="zákl. přenesená",J782,0)</f>
        <v>0</v>
      </c>
      <c r="BH782" s="2194">
        <f>IF(N782="sníž. přenesená",J782,0)</f>
        <v>0</v>
      </c>
      <c r="BI782" s="2194">
        <f>IF(N782="nulová",J782,0)</f>
        <v>0</v>
      </c>
      <c r="BJ782" s="2056" t="s">
        <v>134</v>
      </c>
      <c r="BK782" s="2194">
        <f>ROUND(I782*H782,2)</f>
        <v>0</v>
      </c>
      <c r="BL782" s="2056" t="s">
        <v>2894</v>
      </c>
      <c r="BM782" s="2193" t="s">
        <v>10846</v>
      </c>
    </row>
    <row r="783" spans="2:65" s="2195" customFormat="1">
      <c r="B783" s="2196"/>
      <c r="D783" s="2197" t="s">
        <v>3303</v>
      </c>
      <c r="E783" s="2198" t="s">
        <v>3146</v>
      </c>
      <c r="F783" s="2199" t="s">
        <v>10837</v>
      </c>
      <c r="H783" s="2198" t="s">
        <v>3146</v>
      </c>
      <c r="L783" s="2196"/>
      <c r="M783" s="2200"/>
      <c r="T783" s="2201"/>
      <c r="AT783" s="2198" t="s">
        <v>3303</v>
      </c>
      <c r="AU783" s="2198" t="s">
        <v>134</v>
      </c>
      <c r="AV783" s="2195" t="s">
        <v>133</v>
      </c>
      <c r="AW783" s="2195" t="s">
        <v>3171</v>
      </c>
      <c r="AX783" s="2195" t="s">
        <v>3213</v>
      </c>
      <c r="AY783" s="2198" t="s">
        <v>3285</v>
      </c>
    </row>
    <row r="784" spans="2:65" s="2209" customFormat="1">
      <c r="B784" s="2210"/>
      <c r="D784" s="2197" t="s">
        <v>3303</v>
      </c>
      <c r="E784" s="2211" t="s">
        <v>3146</v>
      </c>
      <c r="F784" s="2212" t="s">
        <v>10838</v>
      </c>
      <c r="H784" s="2213">
        <v>890</v>
      </c>
      <c r="L784" s="2210"/>
      <c r="M784" s="2214"/>
      <c r="T784" s="2215"/>
      <c r="AT784" s="2211" t="s">
        <v>3303</v>
      </c>
      <c r="AU784" s="2211" t="s">
        <v>134</v>
      </c>
      <c r="AV784" s="2209" t="s">
        <v>134</v>
      </c>
      <c r="AW784" s="2209" t="s">
        <v>3171</v>
      </c>
      <c r="AX784" s="2209" t="s">
        <v>3213</v>
      </c>
      <c r="AY784" s="2211" t="s">
        <v>3285</v>
      </c>
    </row>
    <row r="785" spans="2:65" s="2209" customFormat="1">
      <c r="B785" s="2210"/>
      <c r="D785" s="2197" t="s">
        <v>3303</v>
      </c>
      <c r="E785" s="2211" t="s">
        <v>3146</v>
      </c>
      <c r="F785" s="2212" t="s">
        <v>5234</v>
      </c>
      <c r="H785" s="2213">
        <v>245</v>
      </c>
      <c r="L785" s="2210"/>
      <c r="M785" s="2214"/>
      <c r="T785" s="2215"/>
      <c r="AT785" s="2211" t="s">
        <v>3303</v>
      </c>
      <c r="AU785" s="2211" t="s">
        <v>134</v>
      </c>
      <c r="AV785" s="2209" t="s">
        <v>134</v>
      </c>
      <c r="AW785" s="2209" t="s">
        <v>3171</v>
      </c>
      <c r="AX785" s="2209" t="s">
        <v>3213</v>
      </c>
      <c r="AY785" s="2211" t="s">
        <v>3285</v>
      </c>
    </row>
    <row r="786" spans="2:65" s="2195" customFormat="1">
      <c r="B786" s="2196"/>
      <c r="D786" s="2197" t="s">
        <v>3303</v>
      </c>
      <c r="E786" s="2198" t="s">
        <v>3146</v>
      </c>
      <c r="F786" s="2199" t="s">
        <v>10839</v>
      </c>
      <c r="H786" s="2198" t="s">
        <v>3146</v>
      </c>
      <c r="L786" s="2196"/>
      <c r="M786" s="2200"/>
      <c r="T786" s="2201"/>
      <c r="AT786" s="2198" t="s">
        <v>3303</v>
      </c>
      <c r="AU786" s="2198" t="s">
        <v>134</v>
      </c>
      <c r="AV786" s="2195" t="s">
        <v>133</v>
      </c>
      <c r="AW786" s="2195" t="s">
        <v>3171</v>
      </c>
      <c r="AX786" s="2195" t="s">
        <v>3213</v>
      </c>
      <c r="AY786" s="2198" t="s">
        <v>3285</v>
      </c>
    </row>
    <row r="787" spans="2:65" s="2209" customFormat="1">
      <c r="B787" s="2210"/>
      <c r="D787" s="2197" t="s">
        <v>3303</v>
      </c>
      <c r="E787" s="2211" t="s">
        <v>3146</v>
      </c>
      <c r="F787" s="2212" t="s">
        <v>685</v>
      </c>
      <c r="H787" s="2213">
        <v>38</v>
      </c>
      <c r="L787" s="2210"/>
      <c r="M787" s="2214"/>
      <c r="T787" s="2215"/>
      <c r="AT787" s="2211" t="s">
        <v>3303</v>
      </c>
      <c r="AU787" s="2211" t="s">
        <v>134</v>
      </c>
      <c r="AV787" s="2209" t="s">
        <v>134</v>
      </c>
      <c r="AW787" s="2209" t="s">
        <v>3171</v>
      </c>
      <c r="AX787" s="2209" t="s">
        <v>3213</v>
      </c>
      <c r="AY787" s="2211" t="s">
        <v>3285</v>
      </c>
    </row>
    <row r="788" spans="2:65" s="2195" customFormat="1">
      <c r="B788" s="2196"/>
      <c r="D788" s="2197" t="s">
        <v>3303</v>
      </c>
      <c r="E788" s="2198" t="s">
        <v>3146</v>
      </c>
      <c r="F788" s="2199" t="s">
        <v>10840</v>
      </c>
      <c r="H788" s="2198" t="s">
        <v>3146</v>
      </c>
      <c r="L788" s="2196"/>
      <c r="M788" s="2200"/>
      <c r="T788" s="2201"/>
      <c r="AT788" s="2198" t="s">
        <v>3303</v>
      </c>
      <c r="AU788" s="2198" t="s">
        <v>134</v>
      </c>
      <c r="AV788" s="2195" t="s">
        <v>133</v>
      </c>
      <c r="AW788" s="2195" t="s">
        <v>3171</v>
      </c>
      <c r="AX788" s="2195" t="s">
        <v>3213</v>
      </c>
      <c r="AY788" s="2198" t="s">
        <v>3285</v>
      </c>
    </row>
    <row r="789" spans="2:65" s="2209" customFormat="1">
      <c r="B789" s="2210"/>
      <c r="D789" s="2197" t="s">
        <v>3303</v>
      </c>
      <c r="E789" s="2211" t="s">
        <v>3146</v>
      </c>
      <c r="F789" s="2212" t="s">
        <v>10841</v>
      </c>
      <c r="H789" s="2213">
        <v>116.1</v>
      </c>
      <c r="L789" s="2210"/>
      <c r="M789" s="2214"/>
      <c r="T789" s="2215"/>
      <c r="AT789" s="2211" t="s">
        <v>3303</v>
      </c>
      <c r="AU789" s="2211" t="s">
        <v>134</v>
      </c>
      <c r="AV789" s="2209" t="s">
        <v>134</v>
      </c>
      <c r="AW789" s="2209" t="s">
        <v>3171</v>
      </c>
      <c r="AX789" s="2209" t="s">
        <v>3213</v>
      </c>
      <c r="AY789" s="2211" t="s">
        <v>3285</v>
      </c>
    </row>
    <row r="790" spans="2:65" s="2209" customFormat="1">
      <c r="B790" s="2210"/>
      <c r="D790" s="2197" t="s">
        <v>3303</v>
      </c>
      <c r="E790" s="2211" t="s">
        <v>3146</v>
      </c>
      <c r="F790" s="2212" t="s">
        <v>2272</v>
      </c>
      <c r="H790" s="2213">
        <v>20</v>
      </c>
      <c r="L790" s="2210"/>
      <c r="M790" s="2214"/>
      <c r="T790" s="2215"/>
      <c r="AT790" s="2211" t="s">
        <v>3303</v>
      </c>
      <c r="AU790" s="2211" t="s">
        <v>134</v>
      </c>
      <c r="AV790" s="2209" t="s">
        <v>134</v>
      </c>
      <c r="AW790" s="2209" t="s">
        <v>3171</v>
      </c>
      <c r="AX790" s="2209" t="s">
        <v>3213</v>
      </c>
      <c r="AY790" s="2211" t="s">
        <v>3285</v>
      </c>
    </row>
    <row r="791" spans="2:65" s="2195" customFormat="1">
      <c r="B791" s="2196"/>
      <c r="D791" s="2197" t="s">
        <v>3303</v>
      </c>
      <c r="E791" s="2198" t="s">
        <v>3146</v>
      </c>
      <c r="F791" s="2199" t="s">
        <v>10842</v>
      </c>
      <c r="H791" s="2198" t="s">
        <v>3146</v>
      </c>
      <c r="L791" s="2196"/>
      <c r="M791" s="2200"/>
      <c r="T791" s="2201"/>
      <c r="AT791" s="2198" t="s">
        <v>3303</v>
      </c>
      <c r="AU791" s="2198" t="s">
        <v>134</v>
      </c>
      <c r="AV791" s="2195" t="s">
        <v>133</v>
      </c>
      <c r="AW791" s="2195" t="s">
        <v>3171</v>
      </c>
      <c r="AX791" s="2195" t="s">
        <v>3213</v>
      </c>
      <c r="AY791" s="2198" t="s">
        <v>3285</v>
      </c>
    </row>
    <row r="792" spans="2:65" s="2209" customFormat="1">
      <c r="B792" s="2210"/>
      <c r="D792" s="2197" t="s">
        <v>3303</v>
      </c>
      <c r="E792" s="2211" t="s">
        <v>3146</v>
      </c>
      <c r="F792" s="2212" t="s">
        <v>10843</v>
      </c>
      <c r="H792" s="2213">
        <v>21.61</v>
      </c>
      <c r="L792" s="2210"/>
      <c r="M792" s="2214"/>
      <c r="T792" s="2215"/>
      <c r="AT792" s="2211" t="s">
        <v>3303</v>
      </c>
      <c r="AU792" s="2211" t="s">
        <v>134</v>
      </c>
      <c r="AV792" s="2209" t="s">
        <v>134</v>
      </c>
      <c r="AW792" s="2209" t="s">
        <v>3171</v>
      </c>
      <c r="AX792" s="2209" t="s">
        <v>3213</v>
      </c>
      <c r="AY792" s="2211" t="s">
        <v>3285</v>
      </c>
    </row>
    <row r="793" spans="2:65" s="2216" customFormat="1">
      <c r="B793" s="2217"/>
      <c r="D793" s="2197" t="s">
        <v>3303</v>
      </c>
      <c r="E793" s="2218" t="s">
        <v>3146</v>
      </c>
      <c r="F793" s="2219" t="s">
        <v>3306</v>
      </c>
      <c r="H793" s="2220">
        <v>1330.71</v>
      </c>
      <c r="L793" s="2217"/>
      <c r="M793" s="2221"/>
      <c r="T793" s="2222"/>
      <c r="AT793" s="2218" t="s">
        <v>3303</v>
      </c>
      <c r="AU793" s="2218" t="s">
        <v>134</v>
      </c>
      <c r="AV793" s="2216" t="s">
        <v>856</v>
      </c>
      <c r="AW793" s="2216" t="s">
        <v>3171</v>
      </c>
      <c r="AX793" s="2216" t="s">
        <v>133</v>
      </c>
      <c r="AY793" s="2218" t="s">
        <v>3285</v>
      </c>
    </row>
    <row r="794" spans="2:65" s="2209" customFormat="1">
      <c r="B794" s="2210"/>
      <c r="D794" s="2197" t="s">
        <v>3303</v>
      </c>
      <c r="F794" s="2212" t="s">
        <v>10847</v>
      </c>
      <c r="H794" s="2213">
        <v>2661.42</v>
      </c>
      <c r="L794" s="2210"/>
      <c r="M794" s="2214"/>
      <c r="T794" s="2215"/>
      <c r="AT794" s="2211" t="s">
        <v>3303</v>
      </c>
      <c r="AU794" s="2211" t="s">
        <v>134</v>
      </c>
      <c r="AV794" s="2209" t="s">
        <v>134</v>
      </c>
      <c r="AW794" s="2209" t="s">
        <v>3148</v>
      </c>
      <c r="AX794" s="2209" t="s">
        <v>133</v>
      </c>
      <c r="AY794" s="2211" t="s">
        <v>3285</v>
      </c>
    </row>
    <row r="795" spans="2:65" s="2070" customFormat="1" ht="49.15" customHeight="1">
      <c r="B795" s="2164"/>
      <c r="C795" s="4614" t="s">
        <v>4026</v>
      </c>
      <c r="D795" s="4614" t="s">
        <v>135</v>
      </c>
      <c r="E795" s="4615" t="s">
        <v>10848</v>
      </c>
      <c r="F795" s="4616" t="s">
        <v>10849</v>
      </c>
      <c r="G795" s="4617" t="s">
        <v>611</v>
      </c>
      <c r="H795" s="4618">
        <v>1550.943</v>
      </c>
      <c r="I795" s="4619"/>
      <c r="J795" s="4619">
        <f>ROUND(I795*H795,2)</f>
        <v>0</v>
      </c>
      <c r="K795" s="4616" t="s">
        <v>142</v>
      </c>
      <c r="L795" s="2223"/>
      <c r="M795" s="2224" t="s">
        <v>3146</v>
      </c>
      <c r="N795" s="2225" t="s">
        <v>3181</v>
      </c>
      <c r="O795" s="2191">
        <v>0</v>
      </c>
      <c r="P795" s="2191">
        <f>O795*H795</f>
        <v>0</v>
      </c>
      <c r="Q795" s="2191">
        <v>4.7999999999999996E-3</v>
      </c>
      <c r="R795" s="2191">
        <f>Q795*H795</f>
        <v>7.4445263999999991</v>
      </c>
      <c r="S795" s="2191">
        <v>0</v>
      </c>
      <c r="T795" s="2192">
        <f>S795*H795</f>
        <v>0</v>
      </c>
      <c r="AR795" s="2193" t="s">
        <v>3389</v>
      </c>
      <c r="AT795" s="2193" t="s">
        <v>135</v>
      </c>
      <c r="AU795" s="2193" t="s">
        <v>134</v>
      </c>
      <c r="AY795" s="2056" t="s">
        <v>3285</v>
      </c>
      <c r="BE795" s="2194">
        <f>IF(N795="základní",J795,0)</f>
        <v>0</v>
      </c>
      <c r="BF795" s="2194">
        <f>IF(N795="snížená",J795,0)</f>
        <v>0</v>
      </c>
      <c r="BG795" s="2194">
        <f>IF(N795="zákl. přenesená",J795,0)</f>
        <v>0</v>
      </c>
      <c r="BH795" s="2194">
        <f>IF(N795="sníž. přenesená",J795,0)</f>
        <v>0</v>
      </c>
      <c r="BI795" s="2194">
        <f>IF(N795="nulová",J795,0)</f>
        <v>0</v>
      </c>
      <c r="BJ795" s="2056" t="s">
        <v>134</v>
      </c>
      <c r="BK795" s="2194">
        <f>ROUND(I795*H795,2)</f>
        <v>0</v>
      </c>
      <c r="BL795" s="2056" t="s">
        <v>2894</v>
      </c>
      <c r="BM795" s="2193" t="s">
        <v>10850</v>
      </c>
    </row>
    <row r="796" spans="2:65" s="2209" customFormat="1">
      <c r="B796" s="2210"/>
      <c r="D796" s="2197" t="s">
        <v>3303</v>
      </c>
      <c r="F796" s="2212" t="s">
        <v>10851</v>
      </c>
      <c r="H796" s="2213">
        <v>1550.943</v>
      </c>
      <c r="L796" s="2210"/>
      <c r="M796" s="2214"/>
      <c r="T796" s="2215"/>
      <c r="AT796" s="2211" t="s">
        <v>3303</v>
      </c>
      <c r="AU796" s="2211" t="s">
        <v>134</v>
      </c>
      <c r="AV796" s="2209" t="s">
        <v>134</v>
      </c>
      <c r="AW796" s="2209" t="s">
        <v>3148</v>
      </c>
      <c r="AX796" s="2209" t="s">
        <v>133</v>
      </c>
      <c r="AY796" s="2211" t="s">
        <v>3285</v>
      </c>
    </row>
    <row r="797" spans="2:65" s="2070" customFormat="1" ht="49.15" customHeight="1">
      <c r="B797" s="2164"/>
      <c r="C797" s="4614" t="s">
        <v>4031</v>
      </c>
      <c r="D797" s="4614" t="s">
        <v>135</v>
      </c>
      <c r="E797" s="4615" t="s">
        <v>4348</v>
      </c>
      <c r="F797" s="4616" t="s">
        <v>4349</v>
      </c>
      <c r="G797" s="4617" t="s">
        <v>611</v>
      </c>
      <c r="H797" s="4618">
        <v>1550.943</v>
      </c>
      <c r="I797" s="4619"/>
      <c r="J797" s="4619">
        <f>ROUND(I797*H797,2)</f>
        <v>0</v>
      </c>
      <c r="K797" s="4616" t="s">
        <v>142</v>
      </c>
      <c r="L797" s="2223"/>
      <c r="M797" s="2224" t="s">
        <v>3146</v>
      </c>
      <c r="N797" s="2225" t="s">
        <v>3181</v>
      </c>
      <c r="O797" s="2191">
        <v>0</v>
      </c>
      <c r="P797" s="2191">
        <f>O797*H797</f>
        <v>0</v>
      </c>
      <c r="Q797" s="2191">
        <v>4.0000000000000001E-3</v>
      </c>
      <c r="R797" s="2191">
        <f>Q797*H797</f>
        <v>6.2037719999999998</v>
      </c>
      <c r="S797" s="2191">
        <v>0</v>
      </c>
      <c r="T797" s="2192">
        <f>S797*H797</f>
        <v>0</v>
      </c>
      <c r="AR797" s="2193" t="s">
        <v>3389</v>
      </c>
      <c r="AT797" s="2193" t="s">
        <v>135</v>
      </c>
      <c r="AU797" s="2193" t="s">
        <v>134</v>
      </c>
      <c r="AY797" s="2056" t="s">
        <v>3285</v>
      </c>
      <c r="BE797" s="2194">
        <f>IF(N797="základní",J797,0)</f>
        <v>0</v>
      </c>
      <c r="BF797" s="2194">
        <f>IF(N797="snížená",J797,0)</f>
        <v>0</v>
      </c>
      <c r="BG797" s="2194">
        <f>IF(N797="zákl. přenesená",J797,0)</f>
        <v>0</v>
      </c>
      <c r="BH797" s="2194">
        <f>IF(N797="sníž. přenesená",J797,0)</f>
        <v>0</v>
      </c>
      <c r="BI797" s="2194">
        <f>IF(N797="nulová",J797,0)</f>
        <v>0</v>
      </c>
      <c r="BJ797" s="2056" t="s">
        <v>134</v>
      </c>
      <c r="BK797" s="2194">
        <f>ROUND(I797*H797,2)</f>
        <v>0</v>
      </c>
      <c r="BL797" s="2056" t="s">
        <v>2894</v>
      </c>
      <c r="BM797" s="2193" t="s">
        <v>10852</v>
      </c>
    </row>
    <row r="798" spans="2:65" s="2195" customFormat="1">
      <c r="B798" s="2196"/>
      <c r="D798" s="2197" t="s">
        <v>3303</v>
      </c>
      <c r="E798" s="2198" t="s">
        <v>3146</v>
      </c>
      <c r="F798" s="2199" t="s">
        <v>10837</v>
      </c>
      <c r="H798" s="2198" t="s">
        <v>3146</v>
      </c>
      <c r="L798" s="2196"/>
      <c r="M798" s="2200"/>
      <c r="T798" s="2201"/>
      <c r="AT798" s="2198" t="s">
        <v>3303</v>
      </c>
      <c r="AU798" s="2198" t="s">
        <v>134</v>
      </c>
      <c r="AV798" s="2195" t="s">
        <v>133</v>
      </c>
      <c r="AW798" s="2195" t="s">
        <v>3171</v>
      </c>
      <c r="AX798" s="2195" t="s">
        <v>3213</v>
      </c>
      <c r="AY798" s="2198" t="s">
        <v>3285</v>
      </c>
    </row>
    <row r="799" spans="2:65" s="2209" customFormat="1">
      <c r="B799" s="2210"/>
      <c r="D799" s="2197" t="s">
        <v>3303</v>
      </c>
      <c r="E799" s="2211" t="s">
        <v>3146</v>
      </c>
      <c r="F799" s="2212" t="s">
        <v>10838</v>
      </c>
      <c r="H799" s="2213">
        <v>890</v>
      </c>
      <c r="L799" s="2210"/>
      <c r="M799" s="2214"/>
      <c r="T799" s="2215"/>
      <c r="AT799" s="2211" t="s">
        <v>3303</v>
      </c>
      <c r="AU799" s="2211" t="s">
        <v>134</v>
      </c>
      <c r="AV799" s="2209" t="s">
        <v>134</v>
      </c>
      <c r="AW799" s="2209" t="s">
        <v>3171</v>
      </c>
      <c r="AX799" s="2209" t="s">
        <v>3213</v>
      </c>
      <c r="AY799" s="2211" t="s">
        <v>3285</v>
      </c>
    </row>
    <row r="800" spans="2:65" s="2209" customFormat="1">
      <c r="B800" s="2210"/>
      <c r="D800" s="2197" t="s">
        <v>3303</v>
      </c>
      <c r="E800" s="2211" t="s">
        <v>3146</v>
      </c>
      <c r="F800" s="2212" t="s">
        <v>5234</v>
      </c>
      <c r="H800" s="2213">
        <v>245</v>
      </c>
      <c r="L800" s="2210"/>
      <c r="M800" s="2214"/>
      <c r="T800" s="2215"/>
      <c r="AT800" s="2211" t="s">
        <v>3303</v>
      </c>
      <c r="AU800" s="2211" t="s">
        <v>134</v>
      </c>
      <c r="AV800" s="2209" t="s">
        <v>134</v>
      </c>
      <c r="AW800" s="2209" t="s">
        <v>3171</v>
      </c>
      <c r="AX800" s="2209" t="s">
        <v>3213</v>
      </c>
      <c r="AY800" s="2211" t="s">
        <v>3285</v>
      </c>
    </row>
    <row r="801" spans="2:65" s="2195" customFormat="1">
      <c r="B801" s="2196"/>
      <c r="D801" s="2197" t="s">
        <v>3303</v>
      </c>
      <c r="E801" s="2198" t="s">
        <v>3146</v>
      </c>
      <c r="F801" s="2199" t="s">
        <v>10839</v>
      </c>
      <c r="H801" s="2198" t="s">
        <v>3146</v>
      </c>
      <c r="L801" s="2196"/>
      <c r="M801" s="2200"/>
      <c r="T801" s="2201"/>
      <c r="AT801" s="2198" t="s">
        <v>3303</v>
      </c>
      <c r="AU801" s="2198" t="s">
        <v>134</v>
      </c>
      <c r="AV801" s="2195" t="s">
        <v>133</v>
      </c>
      <c r="AW801" s="2195" t="s">
        <v>3171</v>
      </c>
      <c r="AX801" s="2195" t="s">
        <v>3213</v>
      </c>
      <c r="AY801" s="2198" t="s">
        <v>3285</v>
      </c>
    </row>
    <row r="802" spans="2:65" s="2209" customFormat="1">
      <c r="B802" s="2210"/>
      <c r="D802" s="2197" t="s">
        <v>3303</v>
      </c>
      <c r="E802" s="2211" t="s">
        <v>3146</v>
      </c>
      <c r="F802" s="2212" t="s">
        <v>685</v>
      </c>
      <c r="H802" s="2213">
        <v>38</v>
      </c>
      <c r="L802" s="2210"/>
      <c r="M802" s="2214"/>
      <c r="T802" s="2215"/>
      <c r="AT802" s="2211" t="s">
        <v>3303</v>
      </c>
      <c r="AU802" s="2211" t="s">
        <v>134</v>
      </c>
      <c r="AV802" s="2209" t="s">
        <v>134</v>
      </c>
      <c r="AW802" s="2209" t="s">
        <v>3171</v>
      </c>
      <c r="AX802" s="2209" t="s">
        <v>3213</v>
      </c>
      <c r="AY802" s="2211" t="s">
        <v>3285</v>
      </c>
    </row>
    <row r="803" spans="2:65" s="2195" customFormat="1">
      <c r="B803" s="2196"/>
      <c r="D803" s="2197" t="s">
        <v>3303</v>
      </c>
      <c r="E803" s="2198" t="s">
        <v>3146</v>
      </c>
      <c r="F803" s="2199" t="s">
        <v>10840</v>
      </c>
      <c r="H803" s="2198" t="s">
        <v>3146</v>
      </c>
      <c r="L803" s="2196"/>
      <c r="M803" s="2200"/>
      <c r="T803" s="2201"/>
      <c r="AT803" s="2198" t="s">
        <v>3303</v>
      </c>
      <c r="AU803" s="2198" t="s">
        <v>134</v>
      </c>
      <c r="AV803" s="2195" t="s">
        <v>133</v>
      </c>
      <c r="AW803" s="2195" t="s">
        <v>3171</v>
      </c>
      <c r="AX803" s="2195" t="s">
        <v>3213</v>
      </c>
      <c r="AY803" s="2198" t="s">
        <v>3285</v>
      </c>
    </row>
    <row r="804" spans="2:65" s="2209" customFormat="1">
      <c r="B804" s="2210"/>
      <c r="D804" s="2197" t="s">
        <v>3303</v>
      </c>
      <c r="E804" s="2211" t="s">
        <v>3146</v>
      </c>
      <c r="F804" s="2212" t="s">
        <v>10841</v>
      </c>
      <c r="H804" s="2213">
        <v>116.1</v>
      </c>
      <c r="L804" s="2210"/>
      <c r="M804" s="2214"/>
      <c r="T804" s="2215"/>
      <c r="AT804" s="2211" t="s">
        <v>3303</v>
      </c>
      <c r="AU804" s="2211" t="s">
        <v>134</v>
      </c>
      <c r="AV804" s="2209" t="s">
        <v>134</v>
      </c>
      <c r="AW804" s="2209" t="s">
        <v>3171</v>
      </c>
      <c r="AX804" s="2209" t="s">
        <v>3213</v>
      </c>
      <c r="AY804" s="2211" t="s">
        <v>3285</v>
      </c>
    </row>
    <row r="805" spans="2:65" s="2209" customFormat="1">
      <c r="B805" s="2210"/>
      <c r="D805" s="2197" t="s">
        <v>3303</v>
      </c>
      <c r="E805" s="2211" t="s">
        <v>3146</v>
      </c>
      <c r="F805" s="2212" t="s">
        <v>2272</v>
      </c>
      <c r="H805" s="2213">
        <v>20</v>
      </c>
      <c r="L805" s="2210"/>
      <c r="M805" s="2214"/>
      <c r="T805" s="2215"/>
      <c r="AT805" s="2211" t="s">
        <v>3303</v>
      </c>
      <c r="AU805" s="2211" t="s">
        <v>134</v>
      </c>
      <c r="AV805" s="2209" t="s">
        <v>134</v>
      </c>
      <c r="AW805" s="2209" t="s">
        <v>3171</v>
      </c>
      <c r="AX805" s="2209" t="s">
        <v>3213</v>
      </c>
      <c r="AY805" s="2211" t="s">
        <v>3285</v>
      </c>
    </row>
    <row r="806" spans="2:65" s="2195" customFormat="1">
      <c r="B806" s="2196"/>
      <c r="D806" s="2197" t="s">
        <v>3303</v>
      </c>
      <c r="E806" s="2198" t="s">
        <v>3146</v>
      </c>
      <c r="F806" s="2199" t="s">
        <v>10842</v>
      </c>
      <c r="H806" s="2198" t="s">
        <v>3146</v>
      </c>
      <c r="L806" s="2196"/>
      <c r="M806" s="2200"/>
      <c r="T806" s="2201"/>
      <c r="AT806" s="2198" t="s">
        <v>3303</v>
      </c>
      <c r="AU806" s="2198" t="s">
        <v>134</v>
      </c>
      <c r="AV806" s="2195" t="s">
        <v>133</v>
      </c>
      <c r="AW806" s="2195" t="s">
        <v>3171</v>
      </c>
      <c r="AX806" s="2195" t="s">
        <v>3213</v>
      </c>
      <c r="AY806" s="2198" t="s">
        <v>3285</v>
      </c>
    </row>
    <row r="807" spans="2:65" s="2209" customFormat="1">
      <c r="B807" s="2210"/>
      <c r="D807" s="2197" t="s">
        <v>3303</v>
      </c>
      <c r="E807" s="2211" t="s">
        <v>3146</v>
      </c>
      <c r="F807" s="2212" t="s">
        <v>10843</v>
      </c>
      <c r="H807" s="2213">
        <v>21.61</v>
      </c>
      <c r="L807" s="2210"/>
      <c r="M807" s="2214"/>
      <c r="T807" s="2215"/>
      <c r="AT807" s="2211" t="s">
        <v>3303</v>
      </c>
      <c r="AU807" s="2211" t="s">
        <v>134</v>
      </c>
      <c r="AV807" s="2209" t="s">
        <v>134</v>
      </c>
      <c r="AW807" s="2209" t="s">
        <v>3171</v>
      </c>
      <c r="AX807" s="2209" t="s">
        <v>3213</v>
      </c>
      <c r="AY807" s="2211" t="s">
        <v>3285</v>
      </c>
    </row>
    <row r="808" spans="2:65" s="2216" customFormat="1">
      <c r="B808" s="2217"/>
      <c r="D808" s="2197" t="s">
        <v>3303</v>
      </c>
      <c r="E808" s="2218" t="s">
        <v>3146</v>
      </c>
      <c r="F808" s="2219" t="s">
        <v>3306</v>
      </c>
      <c r="H808" s="2220">
        <v>1330.71</v>
      </c>
      <c r="L808" s="2217"/>
      <c r="M808" s="2221"/>
      <c r="T808" s="2222"/>
      <c r="AT808" s="2218" t="s">
        <v>3303</v>
      </c>
      <c r="AU808" s="2218" t="s">
        <v>134</v>
      </c>
      <c r="AV808" s="2216" t="s">
        <v>856</v>
      </c>
      <c r="AW808" s="2216" t="s">
        <v>3171</v>
      </c>
      <c r="AX808" s="2216" t="s">
        <v>133</v>
      </c>
      <c r="AY808" s="2218" t="s">
        <v>3285</v>
      </c>
    </row>
    <row r="809" spans="2:65" s="2209" customFormat="1">
      <c r="B809" s="2210"/>
      <c r="D809" s="2197" t="s">
        <v>3303</v>
      </c>
      <c r="F809" s="2212" t="s">
        <v>10851</v>
      </c>
      <c r="H809" s="2213">
        <v>1550.943</v>
      </c>
      <c r="L809" s="2210"/>
      <c r="M809" s="2214"/>
      <c r="T809" s="2215"/>
      <c r="AT809" s="2211" t="s">
        <v>3303</v>
      </c>
      <c r="AU809" s="2211" t="s">
        <v>134</v>
      </c>
      <c r="AV809" s="2209" t="s">
        <v>134</v>
      </c>
      <c r="AW809" s="2209" t="s">
        <v>3148</v>
      </c>
      <c r="AX809" s="2209" t="s">
        <v>133</v>
      </c>
      <c r="AY809" s="2211" t="s">
        <v>3285</v>
      </c>
    </row>
    <row r="810" spans="2:65" s="2070" customFormat="1" ht="24.2" customHeight="1">
      <c r="B810" s="2164"/>
      <c r="C810" s="4608" t="s">
        <v>4034</v>
      </c>
      <c r="D810" s="4608" t="s">
        <v>3286</v>
      </c>
      <c r="E810" s="4609" t="s">
        <v>10853</v>
      </c>
      <c r="F810" s="4610" t="s">
        <v>10854</v>
      </c>
      <c r="G810" s="4611" t="s">
        <v>611</v>
      </c>
      <c r="H810" s="4612">
        <v>1330.71</v>
      </c>
      <c r="I810" s="4613"/>
      <c r="J810" s="4613">
        <f>ROUND(I810*H810,2)</f>
        <v>0</v>
      </c>
      <c r="K810" s="4610" t="s">
        <v>142</v>
      </c>
      <c r="L810" s="2071"/>
      <c r="M810" s="2190" t="s">
        <v>3146</v>
      </c>
      <c r="N810" s="2163" t="s">
        <v>3181</v>
      </c>
      <c r="O810" s="2191">
        <v>0.09</v>
      </c>
      <c r="P810" s="2191">
        <f>O810*H810</f>
        <v>119.76389999999999</v>
      </c>
      <c r="Q810" s="2191">
        <v>0</v>
      </c>
      <c r="R810" s="2191">
        <f>Q810*H810</f>
        <v>0</v>
      </c>
      <c r="S810" s="2191">
        <v>0</v>
      </c>
      <c r="T810" s="2192">
        <f>S810*H810</f>
        <v>0</v>
      </c>
      <c r="AR810" s="2193" t="s">
        <v>2894</v>
      </c>
      <c r="AT810" s="2193" t="s">
        <v>3286</v>
      </c>
      <c r="AU810" s="2193" t="s">
        <v>134</v>
      </c>
      <c r="AY810" s="2056" t="s">
        <v>3285</v>
      </c>
      <c r="BE810" s="2194">
        <f>IF(N810="základní",J810,0)</f>
        <v>0</v>
      </c>
      <c r="BF810" s="2194">
        <f>IF(N810="snížená",J810,0)</f>
        <v>0</v>
      </c>
      <c r="BG810" s="2194">
        <f>IF(N810="zákl. přenesená",J810,0)</f>
        <v>0</v>
      </c>
      <c r="BH810" s="2194">
        <f>IF(N810="sníž. přenesená",J810,0)</f>
        <v>0</v>
      </c>
      <c r="BI810" s="2194">
        <f>IF(N810="nulová",J810,0)</f>
        <v>0</v>
      </c>
      <c r="BJ810" s="2056" t="s">
        <v>134</v>
      </c>
      <c r="BK810" s="2194">
        <f>ROUND(I810*H810,2)</f>
        <v>0</v>
      </c>
      <c r="BL810" s="2056" t="s">
        <v>2894</v>
      </c>
      <c r="BM810" s="2193" t="s">
        <v>10855</v>
      </c>
    </row>
    <row r="811" spans="2:65" s="2202" customFormat="1">
      <c r="B811" s="2203"/>
      <c r="D811" s="2197" t="s">
        <v>3303</v>
      </c>
      <c r="E811" s="2204" t="s">
        <v>3146</v>
      </c>
      <c r="F811" s="2205" t="s">
        <v>3305</v>
      </c>
      <c r="H811" s="2206">
        <v>0</v>
      </c>
      <c r="L811" s="2203"/>
      <c r="M811" s="2207"/>
      <c r="T811" s="2208"/>
      <c r="AT811" s="2204" t="s">
        <v>3303</v>
      </c>
      <c r="AU811" s="2204" t="s">
        <v>134</v>
      </c>
      <c r="AV811" s="2202" t="s">
        <v>854</v>
      </c>
      <c r="AW811" s="2202" t="s">
        <v>3171</v>
      </c>
      <c r="AX811" s="2202" t="s">
        <v>3213</v>
      </c>
      <c r="AY811" s="2204" t="s">
        <v>3285</v>
      </c>
    </row>
    <row r="812" spans="2:65" s="2195" customFormat="1">
      <c r="B812" s="2196"/>
      <c r="D812" s="2197" t="s">
        <v>3303</v>
      </c>
      <c r="E812" s="2198" t="s">
        <v>3146</v>
      </c>
      <c r="F812" s="2199" t="s">
        <v>10837</v>
      </c>
      <c r="H812" s="2198" t="s">
        <v>3146</v>
      </c>
      <c r="L812" s="2196"/>
      <c r="M812" s="2200"/>
      <c r="T812" s="2201"/>
      <c r="AT812" s="2198" t="s">
        <v>3303</v>
      </c>
      <c r="AU812" s="2198" t="s">
        <v>134</v>
      </c>
      <c r="AV812" s="2195" t="s">
        <v>133</v>
      </c>
      <c r="AW812" s="2195" t="s">
        <v>3171</v>
      </c>
      <c r="AX812" s="2195" t="s">
        <v>3213</v>
      </c>
      <c r="AY812" s="2198" t="s">
        <v>3285</v>
      </c>
    </row>
    <row r="813" spans="2:65" s="2209" customFormat="1">
      <c r="B813" s="2210"/>
      <c r="D813" s="2197" t="s">
        <v>3303</v>
      </c>
      <c r="E813" s="2211" t="s">
        <v>3146</v>
      </c>
      <c r="F813" s="2212" t="s">
        <v>10838</v>
      </c>
      <c r="H813" s="2213">
        <v>890</v>
      </c>
      <c r="L813" s="2210"/>
      <c r="M813" s="2214"/>
      <c r="T813" s="2215"/>
      <c r="AT813" s="2211" t="s">
        <v>3303</v>
      </c>
      <c r="AU813" s="2211" t="s">
        <v>134</v>
      </c>
      <c r="AV813" s="2209" t="s">
        <v>134</v>
      </c>
      <c r="AW813" s="2209" t="s">
        <v>3171</v>
      </c>
      <c r="AX813" s="2209" t="s">
        <v>3213</v>
      </c>
      <c r="AY813" s="2211" t="s">
        <v>3285</v>
      </c>
    </row>
    <row r="814" spans="2:65" s="2209" customFormat="1">
      <c r="B814" s="2210"/>
      <c r="D814" s="2197" t="s">
        <v>3303</v>
      </c>
      <c r="E814" s="2211" t="s">
        <v>3146</v>
      </c>
      <c r="F814" s="2212" t="s">
        <v>5234</v>
      </c>
      <c r="H814" s="2213">
        <v>245</v>
      </c>
      <c r="L814" s="2210"/>
      <c r="M814" s="2214"/>
      <c r="T814" s="2215"/>
      <c r="AT814" s="2211" t="s">
        <v>3303</v>
      </c>
      <c r="AU814" s="2211" t="s">
        <v>134</v>
      </c>
      <c r="AV814" s="2209" t="s">
        <v>134</v>
      </c>
      <c r="AW814" s="2209" t="s">
        <v>3171</v>
      </c>
      <c r="AX814" s="2209" t="s">
        <v>3213</v>
      </c>
      <c r="AY814" s="2211" t="s">
        <v>3285</v>
      </c>
    </row>
    <row r="815" spans="2:65" s="2195" customFormat="1">
      <c r="B815" s="2196"/>
      <c r="D815" s="2197" t="s">
        <v>3303</v>
      </c>
      <c r="E815" s="2198" t="s">
        <v>3146</v>
      </c>
      <c r="F815" s="2199" t="s">
        <v>10839</v>
      </c>
      <c r="H815" s="2198" t="s">
        <v>3146</v>
      </c>
      <c r="L815" s="2196"/>
      <c r="M815" s="2200"/>
      <c r="T815" s="2201"/>
      <c r="AT815" s="2198" t="s">
        <v>3303</v>
      </c>
      <c r="AU815" s="2198" t="s">
        <v>134</v>
      </c>
      <c r="AV815" s="2195" t="s">
        <v>133</v>
      </c>
      <c r="AW815" s="2195" t="s">
        <v>3171</v>
      </c>
      <c r="AX815" s="2195" t="s">
        <v>3213</v>
      </c>
      <c r="AY815" s="2198" t="s">
        <v>3285</v>
      </c>
    </row>
    <row r="816" spans="2:65" s="2209" customFormat="1">
      <c r="B816" s="2210"/>
      <c r="D816" s="2197" t="s">
        <v>3303</v>
      </c>
      <c r="E816" s="2211" t="s">
        <v>3146</v>
      </c>
      <c r="F816" s="2212" t="s">
        <v>685</v>
      </c>
      <c r="H816" s="2213">
        <v>38</v>
      </c>
      <c r="L816" s="2210"/>
      <c r="M816" s="2214"/>
      <c r="T816" s="2215"/>
      <c r="AT816" s="2211" t="s">
        <v>3303</v>
      </c>
      <c r="AU816" s="2211" t="s">
        <v>134</v>
      </c>
      <c r="AV816" s="2209" t="s">
        <v>134</v>
      </c>
      <c r="AW816" s="2209" t="s">
        <v>3171</v>
      </c>
      <c r="AX816" s="2209" t="s">
        <v>3213</v>
      </c>
      <c r="AY816" s="2211" t="s">
        <v>3285</v>
      </c>
    </row>
    <row r="817" spans="2:65" s="2195" customFormat="1">
      <c r="B817" s="2196"/>
      <c r="D817" s="2197" t="s">
        <v>3303</v>
      </c>
      <c r="E817" s="2198" t="s">
        <v>3146</v>
      </c>
      <c r="F817" s="2199" t="s">
        <v>10840</v>
      </c>
      <c r="H817" s="2198" t="s">
        <v>3146</v>
      </c>
      <c r="L817" s="2196"/>
      <c r="M817" s="2200"/>
      <c r="T817" s="2201"/>
      <c r="AT817" s="2198" t="s">
        <v>3303</v>
      </c>
      <c r="AU817" s="2198" t="s">
        <v>134</v>
      </c>
      <c r="AV817" s="2195" t="s">
        <v>133</v>
      </c>
      <c r="AW817" s="2195" t="s">
        <v>3171</v>
      </c>
      <c r="AX817" s="2195" t="s">
        <v>3213</v>
      </c>
      <c r="AY817" s="2198" t="s">
        <v>3285</v>
      </c>
    </row>
    <row r="818" spans="2:65" s="2209" customFormat="1">
      <c r="B818" s="2210"/>
      <c r="D818" s="2197" t="s">
        <v>3303</v>
      </c>
      <c r="E818" s="2211" t="s">
        <v>3146</v>
      </c>
      <c r="F818" s="2212" t="s">
        <v>10841</v>
      </c>
      <c r="H818" s="2213">
        <v>116.1</v>
      </c>
      <c r="L818" s="2210"/>
      <c r="M818" s="2214"/>
      <c r="T818" s="2215"/>
      <c r="AT818" s="2211" t="s">
        <v>3303</v>
      </c>
      <c r="AU818" s="2211" t="s">
        <v>134</v>
      </c>
      <c r="AV818" s="2209" t="s">
        <v>134</v>
      </c>
      <c r="AW818" s="2209" t="s">
        <v>3171</v>
      </c>
      <c r="AX818" s="2209" t="s">
        <v>3213</v>
      </c>
      <c r="AY818" s="2211" t="s">
        <v>3285</v>
      </c>
    </row>
    <row r="819" spans="2:65" s="2209" customFormat="1">
      <c r="B819" s="2210"/>
      <c r="D819" s="2197" t="s">
        <v>3303</v>
      </c>
      <c r="E819" s="2211" t="s">
        <v>3146</v>
      </c>
      <c r="F819" s="2212" t="s">
        <v>2272</v>
      </c>
      <c r="H819" s="2213">
        <v>20</v>
      </c>
      <c r="L819" s="2210"/>
      <c r="M819" s="2214"/>
      <c r="T819" s="2215"/>
      <c r="AT819" s="2211" t="s">
        <v>3303</v>
      </c>
      <c r="AU819" s="2211" t="s">
        <v>134</v>
      </c>
      <c r="AV819" s="2209" t="s">
        <v>134</v>
      </c>
      <c r="AW819" s="2209" t="s">
        <v>3171</v>
      </c>
      <c r="AX819" s="2209" t="s">
        <v>3213</v>
      </c>
      <c r="AY819" s="2211" t="s">
        <v>3285</v>
      </c>
    </row>
    <row r="820" spans="2:65" s="2195" customFormat="1">
      <c r="B820" s="2196"/>
      <c r="D820" s="2197" t="s">
        <v>3303</v>
      </c>
      <c r="E820" s="2198" t="s">
        <v>3146</v>
      </c>
      <c r="F820" s="2199" t="s">
        <v>10842</v>
      </c>
      <c r="H820" s="2198" t="s">
        <v>3146</v>
      </c>
      <c r="L820" s="2196"/>
      <c r="M820" s="2200"/>
      <c r="T820" s="2201"/>
      <c r="AT820" s="2198" t="s">
        <v>3303</v>
      </c>
      <c r="AU820" s="2198" t="s">
        <v>134</v>
      </c>
      <c r="AV820" s="2195" t="s">
        <v>133</v>
      </c>
      <c r="AW820" s="2195" t="s">
        <v>3171</v>
      </c>
      <c r="AX820" s="2195" t="s">
        <v>3213</v>
      </c>
      <c r="AY820" s="2198" t="s">
        <v>3285</v>
      </c>
    </row>
    <row r="821" spans="2:65" s="2209" customFormat="1">
      <c r="B821" s="2210"/>
      <c r="D821" s="2197" t="s">
        <v>3303</v>
      </c>
      <c r="E821" s="2211" t="s">
        <v>3146</v>
      </c>
      <c r="F821" s="2212" t="s">
        <v>10843</v>
      </c>
      <c r="H821" s="2213">
        <v>21.61</v>
      </c>
      <c r="L821" s="2210"/>
      <c r="M821" s="2214"/>
      <c r="T821" s="2215"/>
      <c r="AT821" s="2211" t="s">
        <v>3303</v>
      </c>
      <c r="AU821" s="2211" t="s">
        <v>134</v>
      </c>
      <c r="AV821" s="2209" t="s">
        <v>134</v>
      </c>
      <c r="AW821" s="2209" t="s">
        <v>3171</v>
      </c>
      <c r="AX821" s="2209" t="s">
        <v>3213</v>
      </c>
      <c r="AY821" s="2211" t="s">
        <v>3285</v>
      </c>
    </row>
    <row r="822" spans="2:65" s="2216" customFormat="1">
      <c r="B822" s="2217"/>
      <c r="D822" s="2197" t="s">
        <v>3303</v>
      </c>
      <c r="E822" s="2218" t="s">
        <v>3146</v>
      </c>
      <c r="F822" s="2219" t="s">
        <v>3306</v>
      </c>
      <c r="H822" s="2220">
        <v>1330.71</v>
      </c>
      <c r="L822" s="2217"/>
      <c r="M822" s="2221"/>
      <c r="T822" s="2222"/>
      <c r="AT822" s="2218" t="s">
        <v>3303</v>
      </c>
      <c r="AU822" s="2218" t="s">
        <v>134</v>
      </c>
      <c r="AV822" s="2216" t="s">
        <v>856</v>
      </c>
      <c r="AW822" s="2216" t="s">
        <v>3171</v>
      </c>
      <c r="AX822" s="2216" t="s">
        <v>133</v>
      </c>
      <c r="AY822" s="2218" t="s">
        <v>3285</v>
      </c>
    </row>
    <row r="823" spans="2:65" s="2070" customFormat="1" ht="24.2" customHeight="1">
      <c r="B823" s="2164"/>
      <c r="C823" s="4614" t="s">
        <v>4035</v>
      </c>
      <c r="D823" s="4614" t="s">
        <v>135</v>
      </c>
      <c r="E823" s="4615" t="s">
        <v>10856</v>
      </c>
      <c r="F823" s="4616" t="s">
        <v>10857</v>
      </c>
      <c r="G823" s="4617" t="s">
        <v>611</v>
      </c>
      <c r="H823" s="4618">
        <v>1536.97</v>
      </c>
      <c r="I823" s="4619"/>
      <c r="J823" s="4619">
        <f>ROUND(I823*H823,2)</f>
        <v>0</v>
      </c>
      <c r="K823" s="4616" t="s">
        <v>142</v>
      </c>
      <c r="L823" s="2223"/>
      <c r="M823" s="2224" t="s">
        <v>3146</v>
      </c>
      <c r="N823" s="2225" t="s">
        <v>3181</v>
      </c>
      <c r="O823" s="2191">
        <v>0</v>
      </c>
      <c r="P823" s="2191">
        <f>O823*H823</f>
        <v>0</v>
      </c>
      <c r="Q823" s="2191">
        <v>5.0000000000000001E-4</v>
      </c>
      <c r="R823" s="2191">
        <f>Q823*H823</f>
        <v>0.76848500000000008</v>
      </c>
      <c r="S823" s="2191">
        <v>0</v>
      </c>
      <c r="T823" s="2192">
        <f>S823*H823</f>
        <v>0</v>
      </c>
      <c r="AR823" s="2193" t="s">
        <v>3389</v>
      </c>
      <c r="AT823" s="2193" t="s">
        <v>135</v>
      </c>
      <c r="AU823" s="2193" t="s">
        <v>134</v>
      </c>
      <c r="AY823" s="2056" t="s">
        <v>3285</v>
      </c>
      <c r="BE823" s="2194">
        <f>IF(N823="základní",J823,0)</f>
        <v>0</v>
      </c>
      <c r="BF823" s="2194">
        <f>IF(N823="snížená",J823,0)</f>
        <v>0</v>
      </c>
      <c r="BG823" s="2194">
        <f>IF(N823="zákl. přenesená",J823,0)</f>
        <v>0</v>
      </c>
      <c r="BH823" s="2194">
        <f>IF(N823="sníž. přenesená",J823,0)</f>
        <v>0</v>
      </c>
      <c r="BI823" s="2194">
        <f>IF(N823="nulová",J823,0)</f>
        <v>0</v>
      </c>
      <c r="BJ823" s="2056" t="s">
        <v>134</v>
      </c>
      <c r="BK823" s="2194">
        <f>ROUND(I823*H823,2)</f>
        <v>0</v>
      </c>
      <c r="BL823" s="2056" t="s">
        <v>2894</v>
      </c>
      <c r="BM823" s="2193" t="s">
        <v>10858</v>
      </c>
    </row>
    <row r="824" spans="2:65" s="2209" customFormat="1">
      <c r="B824" s="2210"/>
      <c r="D824" s="2197" t="s">
        <v>3303</v>
      </c>
      <c r="F824" s="2212" t="s">
        <v>10859</v>
      </c>
      <c r="H824" s="2213">
        <v>1536.97</v>
      </c>
      <c r="L824" s="2210"/>
      <c r="M824" s="2214"/>
      <c r="T824" s="2215"/>
      <c r="AT824" s="2211" t="s">
        <v>3303</v>
      </c>
      <c r="AU824" s="2211" t="s">
        <v>134</v>
      </c>
      <c r="AV824" s="2209" t="s">
        <v>134</v>
      </c>
      <c r="AW824" s="2209" t="s">
        <v>3148</v>
      </c>
      <c r="AX824" s="2209" t="s">
        <v>133</v>
      </c>
      <c r="AY824" s="2211" t="s">
        <v>3285</v>
      </c>
    </row>
    <row r="825" spans="2:65" s="2070" customFormat="1" ht="24.2" customHeight="1">
      <c r="B825" s="2164"/>
      <c r="C825" s="4608" t="s">
        <v>4036</v>
      </c>
      <c r="D825" s="4608" t="s">
        <v>3286</v>
      </c>
      <c r="E825" s="4609" t="s">
        <v>10860</v>
      </c>
      <c r="F825" s="4610" t="s">
        <v>10861</v>
      </c>
      <c r="G825" s="4611" t="s">
        <v>611</v>
      </c>
      <c r="H825" s="4612">
        <v>1330.71</v>
      </c>
      <c r="I825" s="4613"/>
      <c r="J825" s="4613">
        <f>ROUND(I825*H825,2)</f>
        <v>0</v>
      </c>
      <c r="K825" s="4610" t="s">
        <v>142</v>
      </c>
      <c r="L825" s="2071"/>
      <c r="M825" s="2190" t="s">
        <v>3146</v>
      </c>
      <c r="N825" s="2163" t="s">
        <v>3181</v>
      </c>
      <c r="O825" s="2191">
        <v>0.11</v>
      </c>
      <c r="P825" s="2191">
        <f>O825*H825</f>
        <v>146.37810000000002</v>
      </c>
      <c r="Q825" s="2191">
        <v>0</v>
      </c>
      <c r="R825" s="2191">
        <f>Q825*H825</f>
        <v>0</v>
      </c>
      <c r="S825" s="2191">
        <v>0</v>
      </c>
      <c r="T825" s="2192">
        <f>S825*H825</f>
        <v>0</v>
      </c>
      <c r="AR825" s="2193" t="s">
        <v>2894</v>
      </c>
      <c r="AT825" s="2193" t="s">
        <v>3286</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10862</v>
      </c>
    </row>
    <row r="826" spans="2:65" s="2070" customFormat="1" ht="24.2" customHeight="1">
      <c r="B826" s="2164"/>
      <c r="C826" s="4614" t="s">
        <v>4037</v>
      </c>
      <c r="D826" s="4614" t="s">
        <v>135</v>
      </c>
      <c r="E826" s="4615" t="s">
        <v>10856</v>
      </c>
      <c r="F826" s="4616" t="s">
        <v>10857</v>
      </c>
      <c r="G826" s="4617" t="s">
        <v>611</v>
      </c>
      <c r="H826" s="4618">
        <v>1536.97</v>
      </c>
      <c r="I826" s="4619"/>
      <c r="J826" s="4619">
        <f>ROUND(I826*H826,2)</f>
        <v>0</v>
      </c>
      <c r="K826" s="4616" t="s">
        <v>142</v>
      </c>
      <c r="L826" s="2223"/>
      <c r="M826" s="2224" t="s">
        <v>3146</v>
      </c>
      <c r="N826" s="2225" t="s">
        <v>3181</v>
      </c>
      <c r="O826" s="2191">
        <v>0</v>
      </c>
      <c r="P826" s="2191">
        <f>O826*H826</f>
        <v>0</v>
      </c>
      <c r="Q826" s="2191">
        <v>5.0000000000000001E-4</v>
      </c>
      <c r="R826" s="2191">
        <f>Q826*H826</f>
        <v>0.76848500000000008</v>
      </c>
      <c r="S826" s="2191">
        <v>0</v>
      </c>
      <c r="T826" s="2192">
        <f>S826*H826</f>
        <v>0</v>
      </c>
      <c r="AR826" s="2193" t="s">
        <v>3389</v>
      </c>
      <c r="AT826" s="2193" t="s">
        <v>135</v>
      </c>
      <c r="AU826" s="2193" t="s">
        <v>134</v>
      </c>
      <c r="AY826" s="2056" t="s">
        <v>3285</v>
      </c>
      <c r="BE826" s="2194">
        <f>IF(N826="základní",J826,0)</f>
        <v>0</v>
      </c>
      <c r="BF826" s="2194">
        <f>IF(N826="snížená",J826,0)</f>
        <v>0</v>
      </c>
      <c r="BG826" s="2194">
        <f>IF(N826="zákl. přenesená",J826,0)</f>
        <v>0</v>
      </c>
      <c r="BH826" s="2194">
        <f>IF(N826="sníž. přenesená",J826,0)</f>
        <v>0</v>
      </c>
      <c r="BI826" s="2194">
        <f>IF(N826="nulová",J826,0)</f>
        <v>0</v>
      </c>
      <c r="BJ826" s="2056" t="s">
        <v>134</v>
      </c>
      <c r="BK826" s="2194">
        <f>ROUND(I826*H826,2)</f>
        <v>0</v>
      </c>
      <c r="BL826" s="2056" t="s">
        <v>2894</v>
      </c>
      <c r="BM826" s="2193" t="s">
        <v>10863</v>
      </c>
    </row>
    <row r="827" spans="2:65" s="2209" customFormat="1">
      <c r="B827" s="2210"/>
      <c r="D827" s="2197" t="s">
        <v>3303</v>
      </c>
      <c r="F827" s="2212" t="s">
        <v>10859</v>
      </c>
      <c r="H827" s="2213">
        <v>1536.97</v>
      </c>
      <c r="L827" s="2210"/>
      <c r="M827" s="2214"/>
      <c r="T827" s="2215"/>
      <c r="AT827" s="2211" t="s">
        <v>3303</v>
      </c>
      <c r="AU827" s="2211" t="s">
        <v>134</v>
      </c>
      <c r="AV827" s="2209" t="s">
        <v>134</v>
      </c>
      <c r="AW827" s="2209" t="s">
        <v>3148</v>
      </c>
      <c r="AX827" s="2209" t="s">
        <v>133</v>
      </c>
      <c r="AY827" s="2211" t="s">
        <v>3285</v>
      </c>
    </row>
    <row r="828" spans="2:65" s="2070" customFormat="1" ht="33" customHeight="1">
      <c r="B828" s="2164"/>
      <c r="C828" s="4608" t="s">
        <v>4040</v>
      </c>
      <c r="D828" s="4608" t="s">
        <v>3286</v>
      </c>
      <c r="E828" s="4609" t="s">
        <v>10864</v>
      </c>
      <c r="F828" s="4610" t="s">
        <v>10865</v>
      </c>
      <c r="G828" s="4611" t="s">
        <v>611</v>
      </c>
      <c r="H828" s="4612">
        <v>1044.0999999999999</v>
      </c>
      <c r="I828" s="4613"/>
      <c r="J828" s="4613">
        <f>ROUND(I828*H828,2)</f>
        <v>0</v>
      </c>
      <c r="K828" s="4610" t="s">
        <v>142</v>
      </c>
      <c r="L828" s="2071"/>
      <c r="M828" s="2190" t="s">
        <v>3146</v>
      </c>
      <c r="N828" s="2163" t="s">
        <v>3181</v>
      </c>
      <c r="O828" s="2191">
        <v>0.113</v>
      </c>
      <c r="P828" s="2191">
        <f>O828*H828</f>
        <v>117.9833</v>
      </c>
      <c r="Q828" s="2191">
        <v>0</v>
      </c>
      <c r="R828" s="2191">
        <f>Q828*H828</f>
        <v>0</v>
      </c>
      <c r="S828" s="2191">
        <v>0</v>
      </c>
      <c r="T828" s="2192">
        <f>S828*H828</f>
        <v>0</v>
      </c>
      <c r="AR828" s="2193" t="s">
        <v>2894</v>
      </c>
      <c r="AT828" s="2193" t="s">
        <v>3286</v>
      </c>
      <c r="AU828" s="2193" t="s">
        <v>134</v>
      </c>
      <c r="AY828" s="2056" t="s">
        <v>3285</v>
      </c>
      <c r="BE828" s="2194">
        <f>IF(N828="základní",J828,0)</f>
        <v>0</v>
      </c>
      <c r="BF828" s="2194">
        <f>IF(N828="snížená",J828,0)</f>
        <v>0</v>
      </c>
      <c r="BG828" s="2194">
        <f>IF(N828="zákl. přenesená",J828,0)</f>
        <v>0</v>
      </c>
      <c r="BH828" s="2194">
        <f>IF(N828="sníž. přenesená",J828,0)</f>
        <v>0</v>
      </c>
      <c r="BI828" s="2194">
        <f>IF(N828="nulová",J828,0)</f>
        <v>0</v>
      </c>
      <c r="BJ828" s="2056" t="s">
        <v>134</v>
      </c>
      <c r="BK828" s="2194">
        <f>ROUND(I828*H828,2)</f>
        <v>0</v>
      </c>
      <c r="BL828" s="2056" t="s">
        <v>2894</v>
      </c>
      <c r="BM828" s="2193" t="s">
        <v>10866</v>
      </c>
    </row>
    <row r="829" spans="2:65" s="2209" customFormat="1">
      <c r="B829" s="2210"/>
      <c r="D829" s="2197" t="s">
        <v>3303</v>
      </c>
      <c r="E829" s="2211" t="s">
        <v>3146</v>
      </c>
      <c r="F829" s="2212" t="s">
        <v>10867</v>
      </c>
      <c r="H829" s="2213">
        <v>1044.0999999999999</v>
      </c>
      <c r="L829" s="2210"/>
      <c r="M829" s="2214"/>
      <c r="T829" s="2215"/>
      <c r="AT829" s="2211" t="s">
        <v>3303</v>
      </c>
      <c r="AU829" s="2211" t="s">
        <v>134</v>
      </c>
      <c r="AV829" s="2209" t="s">
        <v>134</v>
      </c>
      <c r="AW829" s="2209" t="s">
        <v>3171</v>
      </c>
      <c r="AX829" s="2209" t="s">
        <v>133</v>
      </c>
      <c r="AY829" s="2211" t="s">
        <v>3285</v>
      </c>
    </row>
    <row r="830" spans="2:65" s="2070" customFormat="1" ht="21.75" customHeight="1">
      <c r="B830" s="2164"/>
      <c r="C830" s="4614" t="s">
        <v>4045</v>
      </c>
      <c r="D830" s="4614" t="s">
        <v>135</v>
      </c>
      <c r="E830" s="4615" t="s">
        <v>10868</v>
      </c>
      <c r="F830" s="4616" t="s">
        <v>10869</v>
      </c>
      <c r="G830" s="4617" t="s">
        <v>611</v>
      </c>
      <c r="H830" s="4618">
        <v>1096.3050000000001</v>
      </c>
      <c r="I830" s="4619"/>
      <c r="J830" s="4619">
        <f>ROUND(I830*H830,2)</f>
        <v>0</v>
      </c>
      <c r="K830" s="4616" t="s">
        <v>142</v>
      </c>
      <c r="L830" s="2223"/>
      <c r="M830" s="2224" t="s">
        <v>3146</v>
      </c>
      <c r="N830" s="2225" t="s">
        <v>3181</v>
      </c>
      <c r="O830" s="2191">
        <v>0</v>
      </c>
      <c r="P830" s="2191">
        <f>O830*H830</f>
        <v>0</v>
      </c>
      <c r="Q830" s="2191">
        <v>4.3E-3</v>
      </c>
      <c r="R830" s="2191">
        <f>Q830*H830</f>
        <v>4.7141115000000005</v>
      </c>
      <c r="S830" s="2191">
        <v>0</v>
      </c>
      <c r="T830" s="2192">
        <f>S830*H830</f>
        <v>0</v>
      </c>
      <c r="AR830" s="2193" t="s">
        <v>3389</v>
      </c>
      <c r="AT830" s="2193" t="s">
        <v>135</v>
      </c>
      <c r="AU830" s="2193" t="s">
        <v>134</v>
      </c>
      <c r="AY830" s="2056" t="s">
        <v>3285</v>
      </c>
      <c r="BE830" s="2194">
        <f>IF(N830="základní",J830,0)</f>
        <v>0</v>
      </c>
      <c r="BF830" s="2194">
        <f>IF(N830="snížená",J830,0)</f>
        <v>0</v>
      </c>
      <c r="BG830" s="2194">
        <f>IF(N830="zákl. přenesená",J830,0)</f>
        <v>0</v>
      </c>
      <c r="BH830" s="2194">
        <f>IF(N830="sníž. přenesená",J830,0)</f>
        <v>0</v>
      </c>
      <c r="BI830" s="2194">
        <f>IF(N830="nulová",J830,0)</f>
        <v>0</v>
      </c>
      <c r="BJ830" s="2056" t="s">
        <v>134</v>
      </c>
      <c r="BK830" s="2194">
        <f>ROUND(I830*H830,2)</f>
        <v>0</v>
      </c>
      <c r="BL830" s="2056" t="s">
        <v>2894</v>
      </c>
      <c r="BM830" s="2193" t="s">
        <v>10870</v>
      </c>
    </row>
    <row r="831" spans="2:65" s="2209" customFormat="1">
      <c r="B831" s="2210"/>
      <c r="D831" s="2197" t="s">
        <v>3303</v>
      </c>
      <c r="F831" s="2212" t="s">
        <v>10871</v>
      </c>
      <c r="H831" s="2213">
        <v>1096.3050000000001</v>
      </c>
      <c r="L831" s="2210"/>
      <c r="M831" s="2214"/>
      <c r="T831" s="2215"/>
      <c r="AT831" s="2211" t="s">
        <v>3303</v>
      </c>
      <c r="AU831" s="2211" t="s">
        <v>134</v>
      </c>
      <c r="AV831" s="2209" t="s">
        <v>134</v>
      </c>
      <c r="AW831" s="2209" t="s">
        <v>3148</v>
      </c>
      <c r="AX831" s="2209" t="s">
        <v>133</v>
      </c>
      <c r="AY831" s="2211" t="s">
        <v>3285</v>
      </c>
    </row>
    <row r="832" spans="2:65" s="2070" customFormat="1" ht="33" customHeight="1">
      <c r="B832" s="2164"/>
      <c r="C832" s="4608" t="s">
        <v>4053</v>
      </c>
      <c r="D832" s="4608" t="s">
        <v>3286</v>
      </c>
      <c r="E832" s="4609" t="s">
        <v>10872</v>
      </c>
      <c r="F832" s="4610" t="s">
        <v>10873</v>
      </c>
      <c r="G832" s="4611" t="s">
        <v>611</v>
      </c>
      <c r="H832" s="4612">
        <v>1044.0999999999999</v>
      </c>
      <c r="I832" s="4613"/>
      <c r="J832" s="4613">
        <f>ROUND(I832*H832,2)</f>
        <v>0</v>
      </c>
      <c r="K832" s="4610" t="s">
        <v>142</v>
      </c>
      <c r="L832" s="2071"/>
      <c r="M832" s="2190" t="s">
        <v>3146</v>
      </c>
      <c r="N832" s="2163" t="s">
        <v>3181</v>
      </c>
      <c r="O832" s="2191">
        <v>9.2999999999999999E-2</v>
      </c>
      <c r="P832" s="2191">
        <f>O832*H832</f>
        <v>97.101299999999995</v>
      </c>
      <c r="Q832" s="2191">
        <v>0</v>
      </c>
      <c r="R832" s="2191">
        <f>Q832*H832</f>
        <v>0</v>
      </c>
      <c r="S832" s="2191">
        <v>0</v>
      </c>
      <c r="T832" s="2192">
        <f>S832*H832</f>
        <v>0</v>
      </c>
      <c r="AR832" s="2193" t="s">
        <v>2894</v>
      </c>
      <c r="AT832" s="2193" t="s">
        <v>3286</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f>ROUND(I832*H832,2)</f>
        <v>0</v>
      </c>
      <c r="BL832" s="2056" t="s">
        <v>2894</v>
      </c>
      <c r="BM832" s="2193" t="s">
        <v>10874</v>
      </c>
    </row>
    <row r="833" spans="2:65" s="2070" customFormat="1" ht="37.9" customHeight="1">
      <c r="B833" s="2164"/>
      <c r="C833" s="4614" t="s">
        <v>4060</v>
      </c>
      <c r="D833" s="4614" t="s">
        <v>135</v>
      </c>
      <c r="E833" s="4615" t="s">
        <v>10875</v>
      </c>
      <c r="F833" s="4616" t="s">
        <v>10876</v>
      </c>
      <c r="G833" s="4617" t="s">
        <v>611</v>
      </c>
      <c r="H833" s="4618">
        <v>1151.1199999999999</v>
      </c>
      <c r="I833" s="4619"/>
      <c r="J833" s="4619">
        <f>ROUND(I833*H833,2)</f>
        <v>0</v>
      </c>
      <c r="K833" s="4616" t="s">
        <v>142</v>
      </c>
      <c r="L833" s="2223"/>
      <c r="M833" s="2224" t="s">
        <v>3146</v>
      </c>
      <c r="N833" s="2225" t="s">
        <v>3181</v>
      </c>
      <c r="O833" s="2191">
        <v>0</v>
      </c>
      <c r="P833" s="2191">
        <f>O833*H833</f>
        <v>0</v>
      </c>
      <c r="Q833" s="2191">
        <v>2.3E-3</v>
      </c>
      <c r="R833" s="2191">
        <f>Q833*H833</f>
        <v>2.6475759999999995</v>
      </c>
      <c r="S833" s="2191">
        <v>0</v>
      </c>
      <c r="T833" s="2192">
        <f>S833*H833</f>
        <v>0</v>
      </c>
      <c r="AR833" s="2193" t="s">
        <v>3389</v>
      </c>
      <c r="AT833" s="2193" t="s">
        <v>135</v>
      </c>
      <c r="AU833" s="2193" t="s">
        <v>134</v>
      </c>
      <c r="AY833" s="2056" t="s">
        <v>3285</v>
      </c>
      <c r="BE833" s="2194">
        <f>IF(N833="základní",J833,0)</f>
        <v>0</v>
      </c>
      <c r="BF833" s="2194">
        <f>IF(N833="snížená",J833,0)</f>
        <v>0</v>
      </c>
      <c r="BG833" s="2194">
        <f>IF(N833="zákl. přenesená",J833,0)</f>
        <v>0</v>
      </c>
      <c r="BH833" s="2194">
        <f>IF(N833="sníž. přenesená",J833,0)</f>
        <v>0</v>
      </c>
      <c r="BI833" s="2194">
        <f>IF(N833="nulová",J833,0)</f>
        <v>0</v>
      </c>
      <c r="BJ833" s="2056" t="s">
        <v>134</v>
      </c>
      <c r="BK833" s="2194">
        <f>ROUND(I833*H833,2)</f>
        <v>0</v>
      </c>
      <c r="BL833" s="2056" t="s">
        <v>2894</v>
      </c>
      <c r="BM833" s="2193" t="s">
        <v>10877</v>
      </c>
    </row>
    <row r="834" spans="2:65" s="2209" customFormat="1">
      <c r="B834" s="2210"/>
      <c r="D834" s="2197" t="s">
        <v>3303</v>
      </c>
      <c r="F834" s="2212" t="s">
        <v>10878</v>
      </c>
      <c r="H834" s="2213">
        <v>1151.1199999999999</v>
      </c>
      <c r="L834" s="2210"/>
      <c r="M834" s="2214"/>
      <c r="T834" s="2215"/>
      <c r="AT834" s="2211" t="s">
        <v>3303</v>
      </c>
      <c r="AU834" s="2211" t="s">
        <v>134</v>
      </c>
      <c r="AV834" s="2209" t="s">
        <v>134</v>
      </c>
      <c r="AW834" s="2209" t="s">
        <v>3148</v>
      </c>
      <c r="AX834" s="2209" t="s">
        <v>133</v>
      </c>
      <c r="AY834" s="2211" t="s">
        <v>3285</v>
      </c>
    </row>
    <row r="835" spans="2:65" s="2070" customFormat="1" ht="24.2" customHeight="1">
      <c r="B835" s="2164"/>
      <c r="C835" s="4608" t="s">
        <v>4067</v>
      </c>
      <c r="D835" s="4608" t="s">
        <v>3286</v>
      </c>
      <c r="E835" s="4609" t="s">
        <v>10879</v>
      </c>
      <c r="F835" s="4610" t="s">
        <v>10880</v>
      </c>
      <c r="G835" s="4611" t="s">
        <v>611</v>
      </c>
      <c r="H835" s="4612">
        <v>1044.0999999999999</v>
      </c>
      <c r="I835" s="4613"/>
      <c r="J835" s="4613">
        <f>ROUND(I835*H835,2)</f>
        <v>0</v>
      </c>
      <c r="K835" s="4610" t="s">
        <v>142</v>
      </c>
      <c r="L835" s="2071"/>
      <c r="M835" s="2190" t="s">
        <v>3146</v>
      </c>
      <c r="N835" s="2163" t="s">
        <v>3181</v>
      </c>
      <c r="O835" s="2191">
        <v>0.04</v>
      </c>
      <c r="P835" s="2191">
        <f>O835*H835</f>
        <v>41.763999999999996</v>
      </c>
      <c r="Q835" s="2191">
        <v>0</v>
      </c>
      <c r="R835" s="2191">
        <f>Q835*H835</f>
        <v>0</v>
      </c>
      <c r="S835" s="2191">
        <v>0</v>
      </c>
      <c r="T835" s="2192">
        <f>S835*H835</f>
        <v>0</v>
      </c>
      <c r="AR835" s="2193" t="s">
        <v>2894</v>
      </c>
      <c r="AT835" s="2193" t="s">
        <v>3286</v>
      </c>
      <c r="AU835" s="2193" t="s">
        <v>134</v>
      </c>
      <c r="AY835" s="2056" t="s">
        <v>3285</v>
      </c>
      <c r="BE835" s="2194">
        <f>IF(N835="základní",J835,0)</f>
        <v>0</v>
      </c>
      <c r="BF835" s="2194">
        <f>IF(N835="snížená",J835,0)</f>
        <v>0</v>
      </c>
      <c r="BG835" s="2194">
        <f>IF(N835="zákl. přenesená",J835,0)</f>
        <v>0</v>
      </c>
      <c r="BH835" s="2194">
        <f>IF(N835="sníž. přenesená",J835,0)</f>
        <v>0</v>
      </c>
      <c r="BI835" s="2194">
        <f>IF(N835="nulová",J835,0)</f>
        <v>0</v>
      </c>
      <c r="BJ835" s="2056" t="s">
        <v>134</v>
      </c>
      <c r="BK835" s="2194">
        <f>ROUND(I835*H835,2)</f>
        <v>0</v>
      </c>
      <c r="BL835" s="2056" t="s">
        <v>2894</v>
      </c>
      <c r="BM835" s="2193" t="s">
        <v>10881</v>
      </c>
    </row>
    <row r="836" spans="2:65" s="2070" customFormat="1" ht="24.2" customHeight="1">
      <c r="B836" s="2164"/>
      <c r="C836" s="4614" t="s">
        <v>4072</v>
      </c>
      <c r="D836" s="4614" t="s">
        <v>135</v>
      </c>
      <c r="E836" s="4615" t="s">
        <v>10882</v>
      </c>
      <c r="F836" s="4616" t="s">
        <v>10883</v>
      </c>
      <c r="G836" s="4617" t="s">
        <v>611</v>
      </c>
      <c r="H836" s="4618">
        <v>1148.51</v>
      </c>
      <c r="I836" s="4619"/>
      <c r="J836" s="4619">
        <f>ROUND(I836*H836,2)</f>
        <v>0</v>
      </c>
      <c r="K836" s="4616" t="s">
        <v>142</v>
      </c>
      <c r="L836" s="2223"/>
      <c r="M836" s="2224" t="s">
        <v>3146</v>
      </c>
      <c r="N836" s="2225" t="s">
        <v>3181</v>
      </c>
      <c r="O836" s="2191">
        <v>0</v>
      </c>
      <c r="P836" s="2191">
        <f>O836*H836</f>
        <v>0</v>
      </c>
      <c r="Q836" s="2191">
        <v>1.2999999999999999E-4</v>
      </c>
      <c r="R836" s="2191">
        <f>Q836*H836</f>
        <v>0.14930629999999998</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10884</v>
      </c>
    </row>
    <row r="837" spans="2:65" s="2209" customFormat="1">
      <c r="B837" s="2210"/>
      <c r="D837" s="2197" t="s">
        <v>3303</v>
      </c>
      <c r="F837" s="2212" t="s">
        <v>10885</v>
      </c>
      <c r="H837" s="2213">
        <v>1148.51</v>
      </c>
      <c r="L837" s="2210"/>
      <c r="M837" s="2214"/>
      <c r="T837" s="2215"/>
      <c r="AT837" s="2211" t="s">
        <v>3303</v>
      </c>
      <c r="AU837" s="2211" t="s">
        <v>134</v>
      </c>
      <c r="AV837" s="2209" t="s">
        <v>134</v>
      </c>
      <c r="AW837" s="2209" t="s">
        <v>3148</v>
      </c>
      <c r="AX837" s="2209" t="s">
        <v>133</v>
      </c>
      <c r="AY837" s="2211" t="s">
        <v>3285</v>
      </c>
    </row>
    <row r="838" spans="2:65" s="2070" customFormat="1" ht="33" customHeight="1">
      <c r="B838" s="2164"/>
      <c r="C838" s="4608" t="s">
        <v>4082</v>
      </c>
      <c r="D838" s="4608" t="s">
        <v>3286</v>
      </c>
      <c r="E838" s="4609" t="s">
        <v>10886</v>
      </c>
      <c r="F838" s="4610" t="s">
        <v>10887</v>
      </c>
      <c r="G838" s="4611" t="s">
        <v>611</v>
      </c>
      <c r="H838" s="4612">
        <v>1044.0999999999999</v>
      </c>
      <c r="I838" s="4613"/>
      <c r="J838" s="4613">
        <f>ROUND(I838*H838,2)</f>
        <v>0</v>
      </c>
      <c r="K838" s="4610" t="s">
        <v>142</v>
      </c>
      <c r="L838" s="2071"/>
      <c r="M838" s="2190" t="s">
        <v>3146</v>
      </c>
      <c r="N838" s="2163" t="s">
        <v>3181</v>
      </c>
      <c r="O838" s="2191">
        <v>0.14399999999999999</v>
      </c>
      <c r="P838" s="2191">
        <f>O838*H838</f>
        <v>150.35039999999998</v>
      </c>
      <c r="Q838" s="2191">
        <v>0</v>
      </c>
      <c r="R838" s="2191">
        <f>Q838*H838</f>
        <v>0</v>
      </c>
      <c r="S838" s="2191">
        <v>0</v>
      </c>
      <c r="T838" s="2192">
        <f>S838*H838</f>
        <v>0</v>
      </c>
      <c r="AR838" s="2193" t="s">
        <v>2894</v>
      </c>
      <c r="AT838" s="2193" t="s">
        <v>3286</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10888</v>
      </c>
    </row>
    <row r="839" spans="2:65" s="2070" customFormat="1" ht="24.2" customHeight="1">
      <c r="B839" s="2164"/>
      <c r="C839" s="4614" t="s">
        <v>4087</v>
      </c>
      <c r="D839" s="4614" t="s">
        <v>135</v>
      </c>
      <c r="E839" s="4615" t="s">
        <v>10889</v>
      </c>
      <c r="F839" s="4616" t="s">
        <v>10890</v>
      </c>
      <c r="G839" s="4617" t="s">
        <v>221</v>
      </c>
      <c r="H839" s="4618">
        <v>156.61500000000001</v>
      </c>
      <c r="I839" s="4619"/>
      <c r="J839" s="4619">
        <f>ROUND(I839*H839,2)</f>
        <v>0</v>
      </c>
      <c r="K839" s="4616" t="s">
        <v>142</v>
      </c>
      <c r="L839" s="2223"/>
      <c r="M839" s="2224" t="s">
        <v>3146</v>
      </c>
      <c r="N839" s="2225" t="s">
        <v>3181</v>
      </c>
      <c r="O839" s="2191">
        <v>0</v>
      </c>
      <c r="P839" s="2191">
        <f>O839*H839</f>
        <v>0</v>
      </c>
      <c r="Q839" s="2191">
        <v>0.75</v>
      </c>
      <c r="R839" s="2191">
        <f>Q839*H839</f>
        <v>117.46125000000001</v>
      </c>
      <c r="S839" s="2191">
        <v>0</v>
      </c>
      <c r="T839" s="2192">
        <f>S839*H839</f>
        <v>0</v>
      </c>
      <c r="AR839" s="2193" t="s">
        <v>3389</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10891</v>
      </c>
    </row>
    <row r="840" spans="2:65" s="2209" customFormat="1">
      <c r="B840" s="2210"/>
      <c r="D840" s="2197" t="s">
        <v>3303</v>
      </c>
      <c r="F840" s="2212" t="s">
        <v>10892</v>
      </c>
      <c r="H840" s="2213">
        <v>156.61500000000001</v>
      </c>
      <c r="L840" s="2210"/>
      <c r="M840" s="2214"/>
      <c r="T840" s="2215"/>
      <c r="AT840" s="2211" t="s">
        <v>3303</v>
      </c>
      <c r="AU840" s="2211" t="s">
        <v>134</v>
      </c>
      <c r="AV840" s="2209" t="s">
        <v>134</v>
      </c>
      <c r="AW840" s="2209" t="s">
        <v>3148</v>
      </c>
      <c r="AX840" s="2209" t="s">
        <v>133</v>
      </c>
      <c r="AY840" s="2211" t="s">
        <v>3285</v>
      </c>
    </row>
    <row r="841" spans="2:65" s="2070" customFormat="1" ht="33" customHeight="1">
      <c r="B841" s="2164"/>
      <c r="C841" s="4608" t="s">
        <v>4094</v>
      </c>
      <c r="D841" s="4608" t="s">
        <v>3286</v>
      </c>
      <c r="E841" s="4609" t="s">
        <v>10893</v>
      </c>
      <c r="F841" s="4610" t="s">
        <v>10894</v>
      </c>
      <c r="G841" s="4611" t="s">
        <v>611</v>
      </c>
      <c r="H841" s="4612">
        <v>1044.0999999999999</v>
      </c>
      <c r="I841" s="4613"/>
      <c r="J841" s="4613">
        <f>ROUND(I841*H841,2)</f>
        <v>0</v>
      </c>
      <c r="K841" s="4610" t="s">
        <v>142</v>
      </c>
      <c r="L841" s="2071"/>
      <c r="M841" s="2190" t="s">
        <v>3146</v>
      </c>
      <c r="N841" s="2163" t="s">
        <v>3181</v>
      </c>
      <c r="O841" s="2191">
        <v>5.8000000000000003E-2</v>
      </c>
      <c r="P841" s="2191">
        <f>O841*H841</f>
        <v>60.5578</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10895</v>
      </c>
    </row>
    <row r="842" spans="2:65" s="2070" customFormat="1" ht="16.5" customHeight="1">
      <c r="B842" s="2164"/>
      <c r="C842" s="4614" t="s">
        <v>4098</v>
      </c>
      <c r="D842" s="4614" t="s">
        <v>135</v>
      </c>
      <c r="E842" s="4615" t="s">
        <v>10896</v>
      </c>
      <c r="F842" s="4616" t="s">
        <v>10897</v>
      </c>
      <c r="G842" s="4617" t="s">
        <v>611</v>
      </c>
      <c r="H842" s="4618">
        <v>1252.92</v>
      </c>
      <c r="I842" s="4619"/>
      <c r="J842" s="4619">
        <f>ROUND(I842*H842,2)</f>
        <v>0</v>
      </c>
      <c r="K842" s="4616" t="s">
        <v>142</v>
      </c>
      <c r="L842" s="2223"/>
      <c r="M842" s="2224" t="s">
        <v>3146</v>
      </c>
      <c r="N842" s="2225" t="s">
        <v>3181</v>
      </c>
      <c r="O842" s="2191">
        <v>0</v>
      </c>
      <c r="P842" s="2191">
        <f>O842*H842</f>
        <v>0</v>
      </c>
      <c r="Q842" s="2191">
        <v>4.0000000000000002E-4</v>
      </c>
      <c r="R842" s="2191">
        <f>Q842*H842</f>
        <v>0.50116800000000006</v>
      </c>
      <c r="S842" s="2191">
        <v>0</v>
      </c>
      <c r="T842" s="2192">
        <f>S842*H842</f>
        <v>0</v>
      </c>
      <c r="AR842" s="2193" t="s">
        <v>3389</v>
      </c>
      <c r="AT842" s="2193" t="s">
        <v>135</v>
      </c>
      <c r="AU842" s="2193" t="s">
        <v>134</v>
      </c>
      <c r="AY842" s="2056" t="s">
        <v>3285</v>
      </c>
      <c r="BE842" s="2194">
        <f>IF(N842="základní",J842,0)</f>
        <v>0</v>
      </c>
      <c r="BF842" s="2194">
        <f>IF(N842="snížená",J842,0)</f>
        <v>0</v>
      </c>
      <c r="BG842" s="2194">
        <f>IF(N842="zákl. přenesená",J842,0)</f>
        <v>0</v>
      </c>
      <c r="BH842" s="2194">
        <f>IF(N842="sníž. přenesená",J842,0)</f>
        <v>0</v>
      </c>
      <c r="BI842" s="2194">
        <f>IF(N842="nulová",J842,0)</f>
        <v>0</v>
      </c>
      <c r="BJ842" s="2056" t="s">
        <v>134</v>
      </c>
      <c r="BK842" s="2194">
        <f>ROUND(I842*H842,2)</f>
        <v>0</v>
      </c>
      <c r="BL842" s="2056" t="s">
        <v>2894</v>
      </c>
      <c r="BM842" s="2193" t="s">
        <v>10898</v>
      </c>
    </row>
    <row r="843" spans="2:65" s="2209" customFormat="1">
      <c r="B843" s="2210"/>
      <c r="D843" s="2197" t="s">
        <v>3303</v>
      </c>
      <c r="F843" s="2212" t="s">
        <v>10899</v>
      </c>
      <c r="H843" s="2213">
        <v>1252.92</v>
      </c>
      <c r="L843" s="2210"/>
      <c r="M843" s="2214"/>
      <c r="T843" s="2215"/>
      <c r="AT843" s="2211" t="s">
        <v>3303</v>
      </c>
      <c r="AU843" s="2211" t="s">
        <v>134</v>
      </c>
      <c r="AV843" s="2209" t="s">
        <v>134</v>
      </c>
      <c r="AW843" s="2209" t="s">
        <v>3148</v>
      </c>
      <c r="AX843" s="2209" t="s">
        <v>133</v>
      </c>
      <c r="AY843" s="2211" t="s">
        <v>3285</v>
      </c>
    </row>
    <row r="844" spans="2:65" s="2070" customFormat="1" ht="24.2" customHeight="1">
      <c r="B844" s="2164"/>
      <c r="C844" s="4608" t="s">
        <v>4103</v>
      </c>
      <c r="D844" s="4608" t="s">
        <v>3286</v>
      </c>
      <c r="E844" s="4609" t="s">
        <v>10900</v>
      </c>
      <c r="F844" s="4610" t="s">
        <v>10901</v>
      </c>
      <c r="G844" s="4611" t="s">
        <v>611</v>
      </c>
      <c r="H844" s="4612">
        <v>1006.1</v>
      </c>
      <c r="I844" s="4613"/>
      <c r="J844" s="4613">
        <f>ROUND(I844*H844,2)</f>
        <v>0</v>
      </c>
      <c r="K844" s="4610" t="s">
        <v>142</v>
      </c>
      <c r="L844" s="2071"/>
      <c r="M844" s="2190" t="s">
        <v>3146</v>
      </c>
      <c r="N844" s="2163" t="s">
        <v>3181</v>
      </c>
      <c r="O844" s="2191">
        <v>0.23799999999999999</v>
      </c>
      <c r="P844" s="2191">
        <f>O844*H844</f>
        <v>239.45179999999999</v>
      </c>
      <c r="Q844" s="2191">
        <v>0</v>
      </c>
      <c r="R844" s="2191">
        <f>Q844*H844</f>
        <v>0</v>
      </c>
      <c r="S844" s="2191">
        <v>0</v>
      </c>
      <c r="T844" s="2192">
        <f>S844*H844</f>
        <v>0</v>
      </c>
      <c r="AR844" s="2193" t="s">
        <v>2894</v>
      </c>
      <c r="AT844" s="2193" t="s">
        <v>3286</v>
      </c>
      <c r="AU844" s="2193" t="s">
        <v>134</v>
      </c>
      <c r="AY844" s="2056" t="s">
        <v>3285</v>
      </c>
      <c r="BE844" s="2194">
        <f>IF(N844="základní",J844,0)</f>
        <v>0</v>
      </c>
      <c r="BF844" s="2194">
        <f>IF(N844="snížená",J844,0)</f>
        <v>0</v>
      </c>
      <c r="BG844" s="2194">
        <f>IF(N844="zákl. přenesená",J844,0)</f>
        <v>0</v>
      </c>
      <c r="BH844" s="2194">
        <f>IF(N844="sníž. přenesená",J844,0)</f>
        <v>0</v>
      </c>
      <c r="BI844" s="2194">
        <f>IF(N844="nulová",J844,0)</f>
        <v>0</v>
      </c>
      <c r="BJ844" s="2056" t="s">
        <v>134</v>
      </c>
      <c r="BK844" s="2194">
        <f>ROUND(I844*H844,2)</f>
        <v>0</v>
      </c>
      <c r="BL844" s="2056" t="s">
        <v>2894</v>
      </c>
      <c r="BM844" s="2193" t="s">
        <v>10902</v>
      </c>
    </row>
    <row r="845" spans="2:65" s="2209" customFormat="1">
      <c r="B845" s="2210"/>
      <c r="D845" s="2197" t="s">
        <v>3303</v>
      </c>
      <c r="E845" s="2211" t="s">
        <v>3146</v>
      </c>
      <c r="F845" s="2212" t="s">
        <v>10903</v>
      </c>
      <c r="H845" s="2213">
        <v>1006.1</v>
      </c>
      <c r="L845" s="2210"/>
      <c r="M845" s="2214"/>
      <c r="T845" s="2215"/>
      <c r="AT845" s="2211" t="s">
        <v>3303</v>
      </c>
      <c r="AU845" s="2211" t="s">
        <v>134</v>
      </c>
      <c r="AV845" s="2209" t="s">
        <v>134</v>
      </c>
      <c r="AW845" s="2209" t="s">
        <v>3171</v>
      </c>
      <c r="AX845" s="2209" t="s">
        <v>133</v>
      </c>
      <c r="AY845" s="2211" t="s">
        <v>3285</v>
      </c>
    </row>
    <row r="846" spans="2:65" s="2070" customFormat="1" ht="16.5" customHeight="1">
      <c r="B846" s="2164"/>
      <c r="C846" s="4614" t="s">
        <v>4107</v>
      </c>
      <c r="D846" s="4614" t="s">
        <v>135</v>
      </c>
      <c r="E846" s="4615" t="s">
        <v>10904</v>
      </c>
      <c r="F846" s="4616" t="s">
        <v>10905</v>
      </c>
      <c r="G846" s="4617" t="s">
        <v>611</v>
      </c>
      <c r="H846" s="4618">
        <v>1157.0150000000001</v>
      </c>
      <c r="I846" s="4619"/>
      <c r="J846" s="4619">
        <f>ROUND(I846*H846,2)</f>
        <v>0</v>
      </c>
      <c r="K846" s="4616" t="s">
        <v>142</v>
      </c>
      <c r="L846" s="2223"/>
      <c r="M846" s="2224" t="s">
        <v>3146</v>
      </c>
      <c r="N846" s="2225" t="s">
        <v>3181</v>
      </c>
      <c r="O846" s="2191">
        <v>0</v>
      </c>
      <c r="P846" s="2191">
        <f>O846*H846</f>
        <v>0</v>
      </c>
      <c r="Q846" s="2191">
        <v>1.0999999999999999E-2</v>
      </c>
      <c r="R846" s="2191">
        <f>Q846*H846</f>
        <v>12.727165000000001</v>
      </c>
      <c r="S846" s="2191">
        <v>0</v>
      </c>
      <c r="T846" s="2192">
        <f>S846*H846</f>
        <v>0</v>
      </c>
      <c r="AR846" s="2193" t="s">
        <v>3389</v>
      </c>
      <c r="AT846" s="2193" t="s">
        <v>135</v>
      </c>
      <c r="AU846" s="2193" t="s">
        <v>134</v>
      </c>
      <c r="AY846" s="2056" t="s">
        <v>3285</v>
      </c>
      <c r="BE846" s="2194">
        <f>IF(N846="základní",J846,0)</f>
        <v>0</v>
      </c>
      <c r="BF846" s="2194">
        <f>IF(N846="snížená",J846,0)</f>
        <v>0</v>
      </c>
      <c r="BG846" s="2194">
        <f>IF(N846="zákl. přenesená",J846,0)</f>
        <v>0</v>
      </c>
      <c r="BH846" s="2194">
        <f>IF(N846="sníž. přenesená",J846,0)</f>
        <v>0</v>
      </c>
      <c r="BI846" s="2194">
        <f>IF(N846="nulová",J846,0)</f>
        <v>0</v>
      </c>
      <c r="BJ846" s="2056" t="s">
        <v>134</v>
      </c>
      <c r="BK846" s="2194">
        <f>ROUND(I846*H846,2)</f>
        <v>0</v>
      </c>
      <c r="BL846" s="2056" t="s">
        <v>2894</v>
      </c>
      <c r="BM846" s="2193" t="s">
        <v>10906</v>
      </c>
    </row>
    <row r="847" spans="2:65" s="2209" customFormat="1">
      <c r="B847" s="2210"/>
      <c r="D847" s="2197" t="s">
        <v>3303</v>
      </c>
      <c r="F847" s="2212" t="s">
        <v>10907</v>
      </c>
      <c r="H847" s="2213">
        <v>1157.0150000000001</v>
      </c>
      <c r="L847" s="2210"/>
      <c r="M847" s="2214"/>
      <c r="T847" s="2215"/>
      <c r="AT847" s="2211" t="s">
        <v>3303</v>
      </c>
      <c r="AU847" s="2211" t="s">
        <v>134</v>
      </c>
      <c r="AV847" s="2209" t="s">
        <v>134</v>
      </c>
      <c r="AW847" s="2209" t="s">
        <v>3148</v>
      </c>
      <c r="AX847" s="2209" t="s">
        <v>133</v>
      </c>
      <c r="AY847" s="2211" t="s">
        <v>3285</v>
      </c>
    </row>
    <row r="848" spans="2:65" s="2070" customFormat="1" ht="24.2" customHeight="1">
      <c r="B848" s="2164"/>
      <c r="C848" s="4608" t="s">
        <v>4113</v>
      </c>
      <c r="D848" s="4608" t="s">
        <v>3286</v>
      </c>
      <c r="E848" s="4609" t="s">
        <v>10908</v>
      </c>
      <c r="F848" s="4610" t="s">
        <v>10909</v>
      </c>
      <c r="G848" s="4611" t="s">
        <v>221</v>
      </c>
      <c r="H848" s="4612">
        <v>19</v>
      </c>
      <c r="I848" s="4613"/>
      <c r="J848" s="4613">
        <f>ROUND(I848*H848,2)</f>
        <v>0</v>
      </c>
      <c r="K848" s="4610" t="s">
        <v>142</v>
      </c>
      <c r="L848" s="2071"/>
      <c r="M848" s="2190" t="s">
        <v>3146</v>
      </c>
      <c r="N848" s="2163" t="s">
        <v>3181</v>
      </c>
      <c r="O848" s="2191">
        <v>0.8</v>
      </c>
      <c r="P848" s="2191">
        <f>O848*H848</f>
        <v>15.200000000000001</v>
      </c>
      <c r="Q848" s="2191">
        <v>0</v>
      </c>
      <c r="R848" s="2191">
        <f>Q848*H848</f>
        <v>0</v>
      </c>
      <c r="S848" s="2191">
        <v>0</v>
      </c>
      <c r="T848" s="2192">
        <f>S848*H848</f>
        <v>0</v>
      </c>
      <c r="AR848" s="2193" t="s">
        <v>2894</v>
      </c>
      <c r="AT848" s="2193" t="s">
        <v>3286</v>
      </c>
      <c r="AU848" s="2193" t="s">
        <v>134</v>
      </c>
      <c r="AY848" s="2056" t="s">
        <v>3285</v>
      </c>
      <c r="BE848" s="2194">
        <f>IF(N848="základní",J848,0)</f>
        <v>0</v>
      </c>
      <c r="BF848" s="2194">
        <f>IF(N848="snížená",J848,0)</f>
        <v>0</v>
      </c>
      <c r="BG848" s="2194">
        <f>IF(N848="zákl. přenesená",J848,0)</f>
        <v>0</v>
      </c>
      <c r="BH848" s="2194">
        <f>IF(N848="sníž. přenesená",J848,0)</f>
        <v>0</v>
      </c>
      <c r="BI848" s="2194">
        <f>IF(N848="nulová",J848,0)</f>
        <v>0</v>
      </c>
      <c r="BJ848" s="2056" t="s">
        <v>134</v>
      </c>
      <c r="BK848" s="2194">
        <f>ROUND(I848*H848,2)</f>
        <v>0</v>
      </c>
      <c r="BL848" s="2056" t="s">
        <v>2894</v>
      </c>
      <c r="BM848" s="2193" t="s">
        <v>10910</v>
      </c>
    </row>
    <row r="849" spans="2:65" s="2209" customFormat="1">
      <c r="B849" s="2210"/>
      <c r="D849" s="2197" t="s">
        <v>3303</v>
      </c>
      <c r="E849" s="2211" t="s">
        <v>3146</v>
      </c>
      <c r="F849" s="2212" t="s">
        <v>10911</v>
      </c>
      <c r="H849" s="2213">
        <v>19</v>
      </c>
      <c r="L849" s="2210"/>
      <c r="M849" s="2214"/>
      <c r="T849" s="2215"/>
      <c r="AT849" s="2211" t="s">
        <v>3303</v>
      </c>
      <c r="AU849" s="2211" t="s">
        <v>134</v>
      </c>
      <c r="AV849" s="2209" t="s">
        <v>134</v>
      </c>
      <c r="AW849" s="2209" t="s">
        <v>3171</v>
      </c>
      <c r="AX849" s="2209" t="s">
        <v>133</v>
      </c>
      <c r="AY849" s="2211" t="s">
        <v>3285</v>
      </c>
    </row>
    <row r="850" spans="2:65" s="2070" customFormat="1" ht="16.5" customHeight="1">
      <c r="B850" s="2164"/>
      <c r="C850" s="4614" t="s">
        <v>4119</v>
      </c>
      <c r="D850" s="4614" t="s">
        <v>135</v>
      </c>
      <c r="E850" s="4615" t="s">
        <v>10912</v>
      </c>
      <c r="F850" s="4616" t="s">
        <v>10913</v>
      </c>
      <c r="G850" s="4617" t="s">
        <v>302</v>
      </c>
      <c r="H850" s="4618">
        <v>31.396000000000001</v>
      </c>
      <c r="I850" s="4619"/>
      <c r="J850" s="4619">
        <f>ROUND(I850*H850,2)</f>
        <v>0</v>
      </c>
      <c r="K850" s="4616" t="s">
        <v>142</v>
      </c>
      <c r="L850" s="2223"/>
      <c r="M850" s="2224" t="s">
        <v>3146</v>
      </c>
      <c r="N850" s="2225" t="s">
        <v>3181</v>
      </c>
      <c r="O850" s="2191">
        <v>0</v>
      </c>
      <c r="P850" s="2191">
        <f>O850*H850</f>
        <v>0</v>
      </c>
      <c r="Q850" s="2191">
        <v>1</v>
      </c>
      <c r="R850" s="2191">
        <f>Q850*H850</f>
        <v>31.396000000000001</v>
      </c>
      <c r="S850" s="2191">
        <v>0</v>
      </c>
      <c r="T850" s="2192">
        <f>S850*H850</f>
        <v>0</v>
      </c>
      <c r="AR850" s="2193" t="s">
        <v>3389</v>
      </c>
      <c r="AT850" s="2193" t="s">
        <v>135</v>
      </c>
      <c r="AU850" s="2193" t="s">
        <v>134</v>
      </c>
      <c r="AY850" s="2056" t="s">
        <v>3285</v>
      </c>
      <c r="BE850" s="2194">
        <f>IF(N850="základní",J850,0)</f>
        <v>0</v>
      </c>
      <c r="BF850" s="2194">
        <f>IF(N850="snížená",J850,0)</f>
        <v>0</v>
      </c>
      <c r="BG850" s="2194">
        <f>IF(N850="zákl. přenesená",J850,0)</f>
        <v>0</v>
      </c>
      <c r="BH850" s="2194">
        <f>IF(N850="sníž. přenesená",J850,0)</f>
        <v>0</v>
      </c>
      <c r="BI850" s="2194">
        <f>IF(N850="nulová",J850,0)</f>
        <v>0</v>
      </c>
      <c r="BJ850" s="2056" t="s">
        <v>134</v>
      </c>
      <c r="BK850" s="2194">
        <f>ROUND(I850*H850,2)</f>
        <v>0</v>
      </c>
      <c r="BL850" s="2056" t="s">
        <v>2894</v>
      </c>
      <c r="BM850" s="2193" t="s">
        <v>10914</v>
      </c>
    </row>
    <row r="851" spans="2:65" s="2209" customFormat="1">
      <c r="B851" s="2210"/>
      <c r="D851" s="2197" t="s">
        <v>3303</v>
      </c>
      <c r="F851" s="2212" t="s">
        <v>10915</v>
      </c>
      <c r="H851" s="2213">
        <v>31.396000000000001</v>
      </c>
      <c r="L851" s="2210"/>
      <c r="M851" s="2214"/>
      <c r="T851" s="2215"/>
      <c r="AT851" s="2211" t="s">
        <v>3303</v>
      </c>
      <c r="AU851" s="2211" t="s">
        <v>134</v>
      </c>
      <c r="AV851" s="2209" t="s">
        <v>134</v>
      </c>
      <c r="AW851" s="2209" t="s">
        <v>3148</v>
      </c>
      <c r="AX851" s="2209" t="s">
        <v>133</v>
      </c>
      <c r="AY851" s="2211" t="s">
        <v>3285</v>
      </c>
    </row>
    <row r="852" spans="2:65" s="2070" customFormat="1" ht="24.2" customHeight="1">
      <c r="B852" s="2164"/>
      <c r="C852" s="4608" t="s">
        <v>4123</v>
      </c>
      <c r="D852" s="4608" t="s">
        <v>3286</v>
      </c>
      <c r="E852" s="4609" t="s">
        <v>4717</v>
      </c>
      <c r="F852" s="4610" t="s">
        <v>4718</v>
      </c>
      <c r="G852" s="4611" t="s">
        <v>141</v>
      </c>
      <c r="H852" s="4612">
        <v>190</v>
      </c>
      <c r="I852" s="4613"/>
      <c r="J852" s="4613">
        <f>ROUND(I852*H852,2)</f>
        <v>0</v>
      </c>
      <c r="K852" s="4610" t="s">
        <v>142</v>
      </c>
      <c r="L852" s="2071"/>
      <c r="M852" s="2190" t="s">
        <v>3146</v>
      </c>
      <c r="N852" s="2163" t="s">
        <v>3181</v>
      </c>
      <c r="O852" s="2191">
        <v>8.8999999999999996E-2</v>
      </c>
      <c r="P852" s="2191">
        <f>O852*H852</f>
        <v>16.91</v>
      </c>
      <c r="Q852" s="2191">
        <v>2.0000000000000002E-5</v>
      </c>
      <c r="R852" s="2191">
        <f>Q852*H852</f>
        <v>3.8000000000000004E-3</v>
      </c>
      <c r="S852" s="2191">
        <v>0</v>
      </c>
      <c r="T852" s="2192">
        <f>S852*H852</f>
        <v>0</v>
      </c>
      <c r="AR852" s="2193" t="s">
        <v>2894</v>
      </c>
      <c r="AT852" s="2193" t="s">
        <v>3286</v>
      </c>
      <c r="AU852" s="2193" t="s">
        <v>134</v>
      </c>
      <c r="AY852" s="2056" t="s">
        <v>3285</v>
      </c>
      <c r="BE852" s="2194">
        <f>IF(N852="základní",J852,0)</f>
        <v>0</v>
      </c>
      <c r="BF852" s="2194">
        <f>IF(N852="snížená",J852,0)</f>
        <v>0</v>
      </c>
      <c r="BG852" s="2194">
        <f>IF(N852="zákl. přenesená",J852,0)</f>
        <v>0</v>
      </c>
      <c r="BH852" s="2194">
        <f>IF(N852="sníž. přenesená",J852,0)</f>
        <v>0</v>
      </c>
      <c r="BI852" s="2194">
        <f>IF(N852="nulová",J852,0)</f>
        <v>0</v>
      </c>
      <c r="BJ852" s="2056" t="s">
        <v>134</v>
      </c>
      <c r="BK852" s="2194">
        <f>ROUND(I852*H852,2)</f>
        <v>0</v>
      </c>
      <c r="BL852" s="2056" t="s">
        <v>2894</v>
      </c>
      <c r="BM852" s="2193" t="s">
        <v>10916</v>
      </c>
    </row>
    <row r="853" spans="2:65" s="2209" customFormat="1">
      <c r="B853" s="2210"/>
      <c r="D853" s="2197" t="s">
        <v>3303</v>
      </c>
      <c r="E853" s="2211" t="s">
        <v>3146</v>
      </c>
      <c r="F853" s="2212" t="s">
        <v>10917</v>
      </c>
      <c r="H853" s="2213">
        <v>190</v>
      </c>
      <c r="L853" s="2210"/>
      <c r="M853" s="2214"/>
      <c r="T853" s="2215"/>
      <c r="AT853" s="2211" t="s">
        <v>3303</v>
      </c>
      <c r="AU853" s="2211" t="s">
        <v>134</v>
      </c>
      <c r="AV853" s="2209" t="s">
        <v>134</v>
      </c>
      <c r="AW853" s="2209" t="s">
        <v>3171</v>
      </c>
      <c r="AX853" s="2209" t="s">
        <v>3213</v>
      </c>
      <c r="AY853" s="2211" t="s">
        <v>3285</v>
      </c>
    </row>
    <row r="854" spans="2:65" s="2216" customFormat="1">
      <c r="B854" s="2217"/>
      <c r="D854" s="2197" t="s">
        <v>3303</v>
      </c>
      <c r="E854" s="2218" t="s">
        <v>3146</v>
      </c>
      <c r="F854" s="2219" t="s">
        <v>3306</v>
      </c>
      <c r="H854" s="2220">
        <v>190</v>
      </c>
      <c r="L854" s="2217"/>
      <c r="M854" s="2221"/>
      <c r="T854" s="2222"/>
      <c r="AT854" s="2218" t="s">
        <v>3303</v>
      </c>
      <c r="AU854" s="2218" t="s">
        <v>134</v>
      </c>
      <c r="AV854" s="2216" t="s">
        <v>856</v>
      </c>
      <c r="AW854" s="2216" t="s">
        <v>3171</v>
      </c>
      <c r="AX854" s="2216" t="s">
        <v>133</v>
      </c>
      <c r="AY854" s="2218" t="s">
        <v>3285</v>
      </c>
    </row>
    <row r="855" spans="2:65" s="2070" customFormat="1" ht="16.5" customHeight="1">
      <c r="B855" s="2164"/>
      <c r="C855" s="4614" t="s">
        <v>4128</v>
      </c>
      <c r="D855" s="4614" t="s">
        <v>135</v>
      </c>
      <c r="E855" s="4615" t="s">
        <v>10918</v>
      </c>
      <c r="F855" s="4616" t="s">
        <v>10919</v>
      </c>
      <c r="G855" s="4617" t="s">
        <v>141</v>
      </c>
      <c r="H855" s="4618">
        <v>193.8</v>
      </c>
      <c r="I855" s="4619"/>
      <c r="J855" s="4619">
        <f>ROUND(I855*H855,2)</f>
        <v>0</v>
      </c>
      <c r="K855" s="4616" t="s">
        <v>142</v>
      </c>
      <c r="L855" s="2223"/>
      <c r="M855" s="2224" t="s">
        <v>3146</v>
      </c>
      <c r="N855" s="2225" t="s">
        <v>3181</v>
      </c>
      <c r="O855" s="2191">
        <v>0</v>
      </c>
      <c r="P855" s="2191">
        <f>O855*H855</f>
        <v>0</v>
      </c>
      <c r="Q855" s="2191">
        <v>5.0000000000000001E-4</v>
      </c>
      <c r="R855" s="2191">
        <f>Q855*H855</f>
        <v>9.6900000000000014E-2</v>
      </c>
      <c r="S855" s="2191">
        <v>0</v>
      </c>
      <c r="T855" s="2192">
        <f>S855*H855</f>
        <v>0</v>
      </c>
      <c r="AR855" s="2193" t="s">
        <v>3389</v>
      </c>
      <c r="AT855" s="2193" t="s">
        <v>135</v>
      </c>
      <c r="AU855" s="2193" t="s">
        <v>134</v>
      </c>
      <c r="AY855" s="2056" t="s">
        <v>3285</v>
      </c>
      <c r="BE855" s="2194">
        <f>IF(N855="základní",J855,0)</f>
        <v>0</v>
      </c>
      <c r="BF855" s="2194">
        <f>IF(N855="snížená",J855,0)</f>
        <v>0</v>
      </c>
      <c r="BG855" s="2194">
        <f>IF(N855="zákl. přenesená",J855,0)</f>
        <v>0</v>
      </c>
      <c r="BH855" s="2194">
        <f>IF(N855="sníž. přenesená",J855,0)</f>
        <v>0</v>
      </c>
      <c r="BI855" s="2194">
        <f>IF(N855="nulová",J855,0)</f>
        <v>0</v>
      </c>
      <c r="BJ855" s="2056" t="s">
        <v>134</v>
      </c>
      <c r="BK855" s="2194">
        <f>ROUND(I855*H855,2)</f>
        <v>0</v>
      </c>
      <c r="BL855" s="2056" t="s">
        <v>2894</v>
      </c>
      <c r="BM855" s="2193" t="s">
        <v>10920</v>
      </c>
    </row>
    <row r="856" spans="2:65" s="2209" customFormat="1">
      <c r="B856" s="2210"/>
      <c r="D856" s="2197" t="s">
        <v>3303</v>
      </c>
      <c r="F856" s="2212" t="s">
        <v>10921</v>
      </c>
      <c r="H856" s="2213">
        <v>193.8</v>
      </c>
      <c r="L856" s="2210"/>
      <c r="M856" s="2214"/>
      <c r="T856" s="2215"/>
      <c r="AT856" s="2211" t="s">
        <v>3303</v>
      </c>
      <c r="AU856" s="2211" t="s">
        <v>134</v>
      </c>
      <c r="AV856" s="2209" t="s">
        <v>134</v>
      </c>
      <c r="AW856" s="2209" t="s">
        <v>3148</v>
      </c>
      <c r="AX856" s="2209" t="s">
        <v>133</v>
      </c>
      <c r="AY856" s="2211" t="s">
        <v>3285</v>
      </c>
    </row>
    <row r="857" spans="2:65" s="2070" customFormat="1" ht="24.2" customHeight="1">
      <c r="B857" s="2164"/>
      <c r="C857" s="4608" t="s">
        <v>4135</v>
      </c>
      <c r="D857" s="4608" t="s">
        <v>3286</v>
      </c>
      <c r="E857" s="4609" t="s">
        <v>4352</v>
      </c>
      <c r="F857" s="4610" t="s">
        <v>4353</v>
      </c>
      <c r="G857" s="4611" t="s">
        <v>302</v>
      </c>
      <c r="H857" s="4612">
        <v>184.88300000000001</v>
      </c>
      <c r="I857" s="4613"/>
      <c r="J857" s="4613">
        <f>ROUND(I857*H857,2)</f>
        <v>0</v>
      </c>
      <c r="K857" s="4610" t="s">
        <v>142</v>
      </c>
      <c r="L857" s="2071"/>
      <c r="M857" s="2190" t="s">
        <v>3146</v>
      </c>
      <c r="N857" s="2163" t="s">
        <v>3181</v>
      </c>
      <c r="O857" s="2191">
        <v>1.6850000000000001</v>
      </c>
      <c r="P857" s="2191">
        <f>O857*H857</f>
        <v>311.52785500000005</v>
      </c>
      <c r="Q857" s="2191">
        <v>0</v>
      </c>
      <c r="R857" s="2191">
        <f>Q857*H857</f>
        <v>0</v>
      </c>
      <c r="S857" s="2191">
        <v>0</v>
      </c>
      <c r="T857" s="2192">
        <f>S857*H857</f>
        <v>0</v>
      </c>
      <c r="AR857" s="2193" t="s">
        <v>2894</v>
      </c>
      <c r="AT857" s="2193" t="s">
        <v>3286</v>
      </c>
      <c r="AU857" s="2193" t="s">
        <v>134</v>
      </c>
      <c r="AY857" s="2056" t="s">
        <v>3285</v>
      </c>
      <c r="BE857" s="2194">
        <f>IF(N857="základní",J857,0)</f>
        <v>0</v>
      </c>
      <c r="BF857" s="2194">
        <f>IF(N857="snížená",J857,0)</f>
        <v>0</v>
      </c>
      <c r="BG857" s="2194">
        <f>IF(N857="zákl. přenesená",J857,0)</f>
        <v>0</v>
      </c>
      <c r="BH857" s="2194">
        <f>IF(N857="sníž. přenesená",J857,0)</f>
        <v>0</v>
      </c>
      <c r="BI857" s="2194">
        <f>IF(N857="nulová",J857,0)</f>
        <v>0</v>
      </c>
      <c r="BJ857" s="2056" t="s">
        <v>134</v>
      </c>
      <c r="BK857" s="2194">
        <f>ROUND(I857*H857,2)</f>
        <v>0</v>
      </c>
      <c r="BL857" s="2056" t="s">
        <v>2894</v>
      </c>
      <c r="BM857" s="2193" t="s">
        <v>10922</v>
      </c>
    </row>
    <row r="858" spans="2:65" s="2070" customFormat="1" ht="24.2" customHeight="1">
      <c r="B858" s="2164"/>
      <c r="C858" s="4608" t="s">
        <v>4139</v>
      </c>
      <c r="D858" s="4608" t="s">
        <v>3286</v>
      </c>
      <c r="E858" s="4609" t="s">
        <v>4355</v>
      </c>
      <c r="F858" s="4610" t="s">
        <v>4356</v>
      </c>
      <c r="G858" s="4611" t="s">
        <v>302</v>
      </c>
      <c r="H858" s="4612">
        <v>184.88300000000001</v>
      </c>
      <c r="I858" s="4613"/>
      <c r="J858" s="4613">
        <f>ROUND(I858*H858,2)</f>
        <v>0</v>
      </c>
      <c r="K858" s="4610" t="s">
        <v>142</v>
      </c>
      <c r="L858" s="2071"/>
      <c r="M858" s="2190" t="s">
        <v>3146</v>
      </c>
      <c r="N858" s="2163" t="s">
        <v>3181</v>
      </c>
      <c r="O858" s="2191">
        <v>1.61</v>
      </c>
      <c r="P858" s="2191">
        <f>O858*H858</f>
        <v>297.66163000000006</v>
      </c>
      <c r="Q858" s="2191">
        <v>0</v>
      </c>
      <c r="R858" s="2191">
        <f>Q858*H858</f>
        <v>0</v>
      </c>
      <c r="S858" s="2191">
        <v>0</v>
      </c>
      <c r="T858" s="2192">
        <f>S858*H858</f>
        <v>0</v>
      </c>
      <c r="AR858" s="2193" t="s">
        <v>2894</v>
      </c>
      <c r="AT858" s="2193" t="s">
        <v>3286</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10923</v>
      </c>
    </row>
    <row r="859" spans="2:65" s="2178" customFormat="1" ht="22.9" customHeight="1">
      <c r="B859" s="2179"/>
      <c r="D859" s="2180" t="s">
        <v>3212</v>
      </c>
      <c r="E859" s="2188" t="s">
        <v>4009</v>
      </c>
      <c r="F859" s="2188" t="s">
        <v>4010</v>
      </c>
      <c r="J859" s="2189">
        <f>BK859</f>
        <v>0</v>
      </c>
      <c r="L859" s="2179"/>
      <c r="M859" s="2183"/>
      <c r="P859" s="2184">
        <f>SUM(P860:P949)</f>
        <v>1130.6891989999999</v>
      </c>
      <c r="R859" s="2184">
        <f>SUM(R860:R949)</f>
        <v>34.232292620000003</v>
      </c>
      <c r="T859" s="2185">
        <f>SUM(T860:T949)</f>
        <v>0</v>
      </c>
      <c r="AR859" s="2180" t="s">
        <v>134</v>
      </c>
      <c r="AT859" s="2186" t="s">
        <v>3212</v>
      </c>
      <c r="AU859" s="2186" t="s">
        <v>133</v>
      </c>
      <c r="AY859" s="2180" t="s">
        <v>3285</v>
      </c>
      <c r="BK859" s="2187">
        <f>SUM(BK860:BK949)</f>
        <v>0</v>
      </c>
    </row>
    <row r="860" spans="2:65" s="2070" customFormat="1" ht="24.2" customHeight="1">
      <c r="B860" s="2164"/>
      <c r="C860" s="4608" t="s">
        <v>4143</v>
      </c>
      <c r="D860" s="4608" t="s">
        <v>3286</v>
      </c>
      <c r="E860" s="4609" t="s">
        <v>10924</v>
      </c>
      <c r="F860" s="4610" t="s">
        <v>10925</v>
      </c>
      <c r="G860" s="4611" t="s">
        <v>611</v>
      </c>
      <c r="H860" s="4612">
        <v>530.99</v>
      </c>
      <c r="I860" s="4613"/>
      <c r="J860" s="4613">
        <f>ROUND(I860*H860,2)</f>
        <v>0</v>
      </c>
      <c r="K860" s="4610" t="s">
        <v>142</v>
      </c>
      <c r="L860" s="2071"/>
      <c r="M860" s="2190" t="s">
        <v>3146</v>
      </c>
      <c r="N860" s="2163" t="s">
        <v>3181</v>
      </c>
      <c r="O860" s="2191">
        <v>0.251</v>
      </c>
      <c r="P860" s="2191">
        <f>O860*H860</f>
        <v>133.27849000000001</v>
      </c>
      <c r="Q860" s="2191">
        <v>6.0000000000000001E-3</v>
      </c>
      <c r="R860" s="2191">
        <f>Q860*H860</f>
        <v>3.18594</v>
      </c>
      <c r="S860" s="2191">
        <v>0</v>
      </c>
      <c r="T860" s="2192">
        <f>S860*H860</f>
        <v>0</v>
      </c>
      <c r="AR860" s="2193" t="s">
        <v>2894</v>
      </c>
      <c r="AT860" s="2193" t="s">
        <v>3286</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10926</v>
      </c>
    </row>
    <row r="861" spans="2:65" s="2195" customFormat="1">
      <c r="B861" s="2196"/>
      <c r="D861" s="2197" t="s">
        <v>3303</v>
      </c>
      <c r="E861" s="2198" t="s">
        <v>3146</v>
      </c>
      <c r="F861" s="2199" t="s">
        <v>3517</v>
      </c>
      <c r="H861" s="2198" t="s">
        <v>3146</v>
      </c>
      <c r="L861" s="2196"/>
      <c r="M861" s="2200"/>
      <c r="T861" s="2201"/>
      <c r="AT861" s="2198" t="s">
        <v>3303</v>
      </c>
      <c r="AU861" s="2198" t="s">
        <v>134</v>
      </c>
      <c r="AV861" s="2195" t="s">
        <v>133</v>
      </c>
      <c r="AW861" s="2195" t="s">
        <v>3171</v>
      </c>
      <c r="AX861" s="2195" t="s">
        <v>3213</v>
      </c>
      <c r="AY861" s="2198" t="s">
        <v>3285</v>
      </c>
    </row>
    <row r="862" spans="2:65" s="2209" customFormat="1">
      <c r="B862" s="2210"/>
      <c r="D862" s="2197" t="s">
        <v>3303</v>
      </c>
      <c r="E862" s="2211" t="s">
        <v>3146</v>
      </c>
      <c r="F862" s="2212" t="s">
        <v>10927</v>
      </c>
      <c r="H862" s="2213">
        <v>530.99</v>
      </c>
      <c r="L862" s="2210"/>
      <c r="M862" s="2214"/>
      <c r="T862" s="2215"/>
      <c r="AT862" s="2211" t="s">
        <v>3303</v>
      </c>
      <c r="AU862" s="2211" t="s">
        <v>134</v>
      </c>
      <c r="AV862" s="2209" t="s">
        <v>134</v>
      </c>
      <c r="AW862" s="2209" t="s">
        <v>3171</v>
      </c>
      <c r="AX862" s="2209" t="s">
        <v>3213</v>
      </c>
      <c r="AY862" s="2211" t="s">
        <v>3285</v>
      </c>
    </row>
    <row r="863" spans="2:65" s="2216" customFormat="1">
      <c r="B863" s="2217"/>
      <c r="D863" s="2197" t="s">
        <v>3303</v>
      </c>
      <c r="E863" s="2218" t="s">
        <v>3146</v>
      </c>
      <c r="F863" s="2219" t="s">
        <v>3306</v>
      </c>
      <c r="H863" s="2220">
        <v>530.99</v>
      </c>
      <c r="L863" s="2217"/>
      <c r="M863" s="2221"/>
      <c r="T863" s="2222"/>
      <c r="AT863" s="2218" t="s">
        <v>3303</v>
      </c>
      <c r="AU863" s="2218" t="s">
        <v>134</v>
      </c>
      <c r="AV863" s="2216" t="s">
        <v>856</v>
      </c>
      <c r="AW863" s="2216" t="s">
        <v>3171</v>
      </c>
      <c r="AX863" s="2216" t="s">
        <v>133</v>
      </c>
      <c r="AY863" s="2218" t="s">
        <v>3285</v>
      </c>
    </row>
    <row r="864" spans="2:65" s="2070" customFormat="1" ht="37.9" customHeight="1">
      <c r="B864" s="2164"/>
      <c r="C864" s="4614" t="s">
        <v>4147</v>
      </c>
      <c r="D864" s="4614" t="s">
        <v>135</v>
      </c>
      <c r="E864" s="4615" t="s">
        <v>10928</v>
      </c>
      <c r="F864" s="4616" t="s">
        <v>10929</v>
      </c>
      <c r="G864" s="4617" t="s">
        <v>611</v>
      </c>
      <c r="H864" s="4618">
        <v>557.54</v>
      </c>
      <c r="I864" s="4619"/>
      <c r="J864" s="4619">
        <f>ROUND(I864*H864,2)</f>
        <v>0</v>
      </c>
      <c r="K864" s="4616" t="s">
        <v>142</v>
      </c>
      <c r="L864" s="2223"/>
      <c r="M864" s="2224" t="s">
        <v>3146</v>
      </c>
      <c r="N864" s="2225" t="s">
        <v>3181</v>
      </c>
      <c r="O864" s="2191">
        <v>0</v>
      </c>
      <c r="P864" s="2191">
        <f>O864*H864</f>
        <v>0</v>
      </c>
      <c r="Q864" s="2191">
        <v>2.4E-2</v>
      </c>
      <c r="R864" s="2191">
        <f>Q864*H864</f>
        <v>13.38096</v>
      </c>
      <c r="S864" s="2191">
        <v>0</v>
      </c>
      <c r="T864" s="2192">
        <f>S864*H864</f>
        <v>0</v>
      </c>
      <c r="AR864" s="2193" t="s">
        <v>3389</v>
      </c>
      <c r="AT864" s="2193" t="s">
        <v>135</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10930</v>
      </c>
    </row>
    <row r="865" spans="2:65" s="2209" customFormat="1">
      <c r="B865" s="2210"/>
      <c r="D865" s="2197" t="s">
        <v>3303</v>
      </c>
      <c r="F865" s="2212" t="s">
        <v>10931</v>
      </c>
      <c r="H865" s="2213">
        <v>557.54</v>
      </c>
      <c r="L865" s="2210"/>
      <c r="M865" s="2214"/>
      <c r="T865" s="2215"/>
      <c r="AT865" s="2211" t="s">
        <v>3303</v>
      </c>
      <c r="AU865" s="2211" t="s">
        <v>134</v>
      </c>
      <c r="AV865" s="2209" t="s">
        <v>134</v>
      </c>
      <c r="AW865" s="2209" t="s">
        <v>3148</v>
      </c>
      <c r="AX865" s="2209" t="s">
        <v>133</v>
      </c>
      <c r="AY865" s="2211" t="s">
        <v>3285</v>
      </c>
    </row>
    <row r="866" spans="2:65" s="2070" customFormat="1" ht="37.9" customHeight="1">
      <c r="B866" s="2164"/>
      <c r="C866" s="4608" t="s">
        <v>4151</v>
      </c>
      <c r="D866" s="4608" t="s">
        <v>3286</v>
      </c>
      <c r="E866" s="4609" t="s">
        <v>4012</v>
      </c>
      <c r="F866" s="4610" t="s">
        <v>4013</v>
      </c>
      <c r="G866" s="4611" t="s">
        <v>611</v>
      </c>
      <c r="H866" s="4612">
        <v>174.797</v>
      </c>
      <c r="I866" s="4613"/>
      <c r="J866" s="4613">
        <f>ROUND(I866*H866,2)</f>
        <v>0</v>
      </c>
      <c r="K866" s="4610" t="s">
        <v>142</v>
      </c>
      <c r="L866" s="2071"/>
      <c r="M866" s="2190" t="s">
        <v>3146</v>
      </c>
      <c r="N866" s="2163" t="s">
        <v>3181</v>
      </c>
      <c r="O866" s="2191">
        <v>0.311</v>
      </c>
      <c r="P866" s="2191">
        <f>O866*H866</f>
        <v>54.361866999999997</v>
      </c>
      <c r="Q866" s="2191">
        <v>6.0600000000000003E-3</v>
      </c>
      <c r="R866" s="2191">
        <f>Q866*H866</f>
        <v>1.0592698200000001</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4014</v>
      </c>
    </row>
    <row r="867" spans="2:65" s="2195" customFormat="1">
      <c r="B867" s="2196"/>
      <c r="D867" s="2197" t="s">
        <v>3303</v>
      </c>
      <c r="E867" s="2198" t="s">
        <v>3146</v>
      </c>
      <c r="F867" s="2199" t="s">
        <v>4015</v>
      </c>
      <c r="H867" s="2198" t="s">
        <v>3146</v>
      </c>
      <c r="L867" s="2196"/>
      <c r="M867" s="2200"/>
      <c r="T867" s="2201"/>
      <c r="AT867" s="2198" t="s">
        <v>3303</v>
      </c>
      <c r="AU867" s="2198" t="s">
        <v>134</v>
      </c>
      <c r="AV867" s="2195" t="s">
        <v>133</v>
      </c>
      <c r="AW867" s="2195" t="s">
        <v>3171</v>
      </c>
      <c r="AX867" s="2195" t="s">
        <v>3213</v>
      </c>
      <c r="AY867" s="2198" t="s">
        <v>3285</v>
      </c>
    </row>
    <row r="868" spans="2:65" s="2195" customFormat="1">
      <c r="B868" s="2196"/>
      <c r="D868" s="2197" t="s">
        <v>3303</v>
      </c>
      <c r="E868" s="2198" t="s">
        <v>3146</v>
      </c>
      <c r="F868" s="2199" t="s">
        <v>4016</v>
      </c>
      <c r="H868" s="2198" t="s">
        <v>3146</v>
      </c>
      <c r="L868" s="2196"/>
      <c r="M868" s="2200"/>
      <c r="T868" s="2201"/>
      <c r="AT868" s="2198" t="s">
        <v>3303</v>
      </c>
      <c r="AU868" s="2198" t="s">
        <v>134</v>
      </c>
      <c r="AV868" s="2195" t="s">
        <v>133</v>
      </c>
      <c r="AW868" s="2195" t="s">
        <v>3171</v>
      </c>
      <c r="AX868" s="2195" t="s">
        <v>3213</v>
      </c>
      <c r="AY868" s="2198" t="s">
        <v>3285</v>
      </c>
    </row>
    <row r="869" spans="2:65" s="2209" customFormat="1">
      <c r="B869" s="2210"/>
      <c r="D869" s="2197" t="s">
        <v>3303</v>
      </c>
      <c r="E869" s="2211" t="s">
        <v>3146</v>
      </c>
      <c r="F869" s="2212" t="s">
        <v>4017</v>
      </c>
      <c r="H869" s="2213">
        <v>73.516999999999996</v>
      </c>
      <c r="L869" s="2210"/>
      <c r="M869" s="2214"/>
      <c r="T869" s="2215"/>
      <c r="AT869" s="2211" t="s">
        <v>3303</v>
      </c>
      <c r="AU869" s="2211" t="s">
        <v>134</v>
      </c>
      <c r="AV869" s="2209" t="s">
        <v>134</v>
      </c>
      <c r="AW869" s="2209" t="s">
        <v>3171</v>
      </c>
      <c r="AX869" s="2209" t="s">
        <v>3213</v>
      </c>
      <c r="AY869" s="2211" t="s">
        <v>3285</v>
      </c>
    </row>
    <row r="870" spans="2:65" s="2195" customFormat="1">
      <c r="B870" s="2196"/>
      <c r="D870" s="2197" t="s">
        <v>3303</v>
      </c>
      <c r="E870" s="2198" t="s">
        <v>3146</v>
      </c>
      <c r="F870" s="2199" t="s">
        <v>4018</v>
      </c>
      <c r="H870" s="2198" t="s">
        <v>3146</v>
      </c>
      <c r="L870" s="2196"/>
      <c r="M870" s="2200"/>
      <c r="T870" s="2201"/>
      <c r="AT870" s="2198" t="s">
        <v>3303</v>
      </c>
      <c r="AU870" s="2198" t="s">
        <v>134</v>
      </c>
      <c r="AV870" s="2195" t="s">
        <v>133</v>
      </c>
      <c r="AW870" s="2195" t="s">
        <v>3171</v>
      </c>
      <c r="AX870" s="2195" t="s">
        <v>3213</v>
      </c>
      <c r="AY870" s="2198" t="s">
        <v>3285</v>
      </c>
    </row>
    <row r="871" spans="2:65" s="2209" customFormat="1">
      <c r="B871" s="2210"/>
      <c r="D871" s="2197" t="s">
        <v>3303</v>
      </c>
      <c r="E871" s="2211" t="s">
        <v>3146</v>
      </c>
      <c r="F871" s="2212" t="s">
        <v>4019</v>
      </c>
      <c r="H871" s="2213">
        <v>25.8</v>
      </c>
      <c r="L871" s="2210"/>
      <c r="M871" s="2214"/>
      <c r="T871" s="2215"/>
      <c r="AT871" s="2211" t="s">
        <v>3303</v>
      </c>
      <c r="AU871" s="2211" t="s">
        <v>134</v>
      </c>
      <c r="AV871" s="2209" t="s">
        <v>134</v>
      </c>
      <c r="AW871" s="2209" t="s">
        <v>3171</v>
      </c>
      <c r="AX871" s="2209" t="s">
        <v>3213</v>
      </c>
      <c r="AY871" s="2211" t="s">
        <v>3285</v>
      </c>
    </row>
    <row r="872" spans="2:65" s="2209" customFormat="1">
      <c r="B872" s="2210"/>
      <c r="D872" s="2197" t="s">
        <v>3303</v>
      </c>
      <c r="E872" s="2211" t="s">
        <v>3146</v>
      </c>
      <c r="F872" s="2212" t="s">
        <v>4020</v>
      </c>
      <c r="H872" s="2213">
        <v>73.5</v>
      </c>
      <c r="L872" s="2210"/>
      <c r="M872" s="2214"/>
      <c r="T872" s="2215"/>
      <c r="AT872" s="2211" t="s">
        <v>3303</v>
      </c>
      <c r="AU872" s="2211" t="s">
        <v>134</v>
      </c>
      <c r="AV872" s="2209" t="s">
        <v>134</v>
      </c>
      <c r="AW872" s="2209" t="s">
        <v>3171</v>
      </c>
      <c r="AX872" s="2209" t="s">
        <v>3213</v>
      </c>
      <c r="AY872" s="2211" t="s">
        <v>3285</v>
      </c>
    </row>
    <row r="873" spans="2:65" s="2209" customFormat="1">
      <c r="B873" s="2210"/>
      <c r="D873" s="2197" t="s">
        <v>3303</v>
      </c>
      <c r="E873" s="2211" t="s">
        <v>3146</v>
      </c>
      <c r="F873" s="2212" t="s">
        <v>3711</v>
      </c>
      <c r="H873" s="2213">
        <v>1.98</v>
      </c>
      <c r="L873" s="2210"/>
      <c r="M873" s="2214"/>
      <c r="T873" s="2215"/>
      <c r="AT873" s="2211" t="s">
        <v>3303</v>
      </c>
      <c r="AU873" s="2211" t="s">
        <v>134</v>
      </c>
      <c r="AV873" s="2209" t="s">
        <v>134</v>
      </c>
      <c r="AW873" s="2209" t="s">
        <v>3171</v>
      </c>
      <c r="AX873" s="2209" t="s">
        <v>3213</v>
      </c>
      <c r="AY873" s="2211" t="s">
        <v>3285</v>
      </c>
    </row>
    <row r="874" spans="2:65" s="2216" customFormat="1">
      <c r="B874" s="2217"/>
      <c r="D874" s="2197" t="s">
        <v>3303</v>
      </c>
      <c r="E874" s="2218" t="s">
        <v>3146</v>
      </c>
      <c r="F874" s="2219" t="s">
        <v>3306</v>
      </c>
      <c r="H874" s="2220">
        <v>174.797</v>
      </c>
      <c r="L874" s="2217"/>
      <c r="M874" s="2221"/>
      <c r="T874" s="2222"/>
      <c r="AT874" s="2218" t="s">
        <v>3303</v>
      </c>
      <c r="AU874" s="2218" t="s">
        <v>134</v>
      </c>
      <c r="AV874" s="2216" t="s">
        <v>856</v>
      </c>
      <c r="AW874" s="2216" t="s">
        <v>3171</v>
      </c>
      <c r="AX874" s="2216" t="s">
        <v>133</v>
      </c>
      <c r="AY874" s="2218" t="s">
        <v>3285</v>
      </c>
    </row>
    <row r="875" spans="2:65" s="2070" customFormat="1" ht="33" customHeight="1">
      <c r="B875" s="2164"/>
      <c r="C875" s="4614" t="s">
        <v>4155</v>
      </c>
      <c r="D875" s="4614" t="s">
        <v>135</v>
      </c>
      <c r="E875" s="4615" t="s">
        <v>4027</v>
      </c>
      <c r="F875" s="4616" t="s">
        <v>4028</v>
      </c>
      <c r="G875" s="4617" t="s">
        <v>611</v>
      </c>
      <c r="H875" s="4618">
        <v>77.192999999999998</v>
      </c>
      <c r="I875" s="4619"/>
      <c r="J875" s="4619">
        <f>ROUND(I875*H875,2)</f>
        <v>0</v>
      </c>
      <c r="K875" s="4616" t="s">
        <v>142</v>
      </c>
      <c r="L875" s="2223"/>
      <c r="M875" s="2224" t="s">
        <v>3146</v>
      </c>
      <c r="N875" s="2225" t="s">
        <v>3181</v>
      </c>
      <c r="O875" s="2191">
        <v>0</v>
      </c>
      <c r="P875" s="2191">
        <f>O875*H875</f>
        <v>0</v>
      </c>
      <c r="Q875" s="2191">
        <v>2.1000000000000001E-2</v>
      </c>
      <c r="R875" s="2191">
        <f>Q875*H875</f>
        <v>1.6210530000000001</v>
      </c>
      <c r="S875" s="2191">
        <v>0</v>
      </c>
      <c r="T875" s="2192">
        <f>S875*H875</f>
        <v>0</v>
      </c>
      <c r="AR875" s="2193" t="s">
        <v>3389</v>
      </c>
      <c r="AT875" s="2193" t="s">
        <v>135</v>
      </c>
      <c r="AU875" s="2193" t="s">
        <v>134</v>
      </c>
      <c r="AY875" s="2056" t="s">
        <v>3285</v>
      </c>
      <c r="BE875" s="2194">
        <f>IF(N875="základní",J875,0)</f>
        <v>0</v>
      </c>
      <c r="BF875" s="2194">
        <f>IF(N875="snížená",J875,0)</f>
        <v>0</v>
      </c>
      <c r="BG875" s="2194">
        <f>IF(N875="zákl. přenesená",J875,0)</f>
        <v>0</v>
      </c>
      <c r="BH875" s="2194">
        <f>IF(N875="sníž. přenesená",J875,0)</f>
        <v>0</v>
      </c>
      <c r="BI875" s="2194">
        <f>IF(N875="nulová",J875,0)</f>
        <v>0</v>
      </c>
      <c r="BJ875" s="2056" t="s">
        <v>134</v>
      </c>
      <c r="BK875" s="2194">
        <f>ROUND(I875*H875,2)</f>
        <v>0</v>
      </c>
      <c r="BL875" s="2056" t="s">
        <v>2894</v>
      </c>
      <c r="BM875" s="2193" t="s">
        <v>4029</v>
      </c>
    </row>
    <row r="876" spans="2:65" s="2195" customFormat="1">
      <c r="B876" s="2196"/>
      <c r="D876" s="2197" t="s">
        <v>3303</v>
      </c>
      <c r="E876" s="2198" t="s">
        <v>3146</v>
      </c>
      <c r="F876" s="2199" t="s">
        <v>4015</v>
      </c>
      <c r="H876" s="2198" t="s">
        <v>3146</v>
      </c>
      <c r="L876" s="2196"/>
      <c r="M876" s="2200"/>
      <c r="T876" s="2201"/>
      <c r="AT876" s="2198" t="s">
        <v>3303</v>
      </c>
      <c r="AU876" s="2198" t="s">
        <v>134</v>
      </c>
      <c r="AV876" s="2195" t="s">
        <v>133</v>
      </c>
      <c r="AW876" s="2195" t="s">
        <v>3171</v>
      </c>
      <c r="AX876" s="2195" t="s">
        <v>3213</v>
      </c>
      <c r="AY876" s="2198" t="s">
        <v>3285</v>
      </c>
    </row>
    <row r="877" spans="2:65" s="2195" customFormat="1">
      <c r="B877" s="2196"/>
      <c r="D877" s="2197" t="s">
        <v>3303</v>
      </c>
      <c r="E877" s="2198" t="s">
        <v>3146</v>
      </c>
      <c r="F877" s="2199" t="s">
        <v>4016</v>
      </c>
      <c r="H877" s="2198" t="s">
        <v>3146</v>
      </c>
      <c r="L877" s="2196"/>
      <c r="M877" s="2200"/>
      <c r="T877" s="2201"/>
      <c r="AT877" s="2198" t="s">
        <v>3303</v>
      </c>
      <c r="AU877" s="2198" t="s">
        <v>134</v>
      </c>
      <c r="AV877" s="2195" t="s">
        <v>133</v>
      </c>
      <c r="AW877" s="2195" t="s">
        <v>3171</v>
      </c>
      <c r="AX877" s="2195" t="s">
        <v>3213</v>
      </c>
      <c r="AY877" s="2198" t="s">
        <v>3285</v>
      </c>
    </row>
    <row r="878" spans="2:65" s="2209" customFormat="1">
      <c r="B878" s="2210"/>
      <c r="D878" s="2197" t="s">
        <v>3303</v>
      </c>
      <c r="E878" s="2211" t="s">
        <v>3146</v>
      </c>
      <c r="F878" s="2212" t="s">
        <v>4017</v>
      </c>
      <c r="H878" s="2213">
        <v>73.516999999999996</v>
      </c>
      <c r="L878" s="2210"/>
      <c r="M878" s="2214"/>
      <c r="T878" s="2215"/>
      <c r="AT878" s="2211" t="s">
        <v>3303</v>
      </c>
      <c r="AU878" s="2211" t="s">
        <v>134</v>
      </c>
      <c r="AV878" s="2209" t="s">
        <v>134</v>
      </c>
      <c r="AW878" s="2209" t="s">
        <v>3171</v>
      </c>
      <c r="AX878" s="2209" t="s">
        <v>3213</v>
      </c>
      <c r="AY878" s="2211" t="s">
        <v>3285</v>
      </c>
    </row>
    <row r="879" spans="2:65" s="2216" customFormat="1">
      <c r="B879" s="2217"/>
      <c r="D879" s="2197" t="s">
        <v>3303</v>
      </c>
      <c r="E879" s="2218" t="s">
        <v>3146</v>
      </c>
      <c r="F879" s="2219" t="s">
        <v>3306</v>
      </c>
      <c r="H879" s="2220">
        <v>73.516999999999996</v>
      </c>
      <c r="L879" s="2217"/>
      <c r="M879" s="2221"/>
      <c r="T879" s="2222"/>
      <c r="AT879" s="2218" t="s">
        <v>3303</v>
      </c>
      <c r="AU879" s="2218" t="s">
        <v>134</v>
      </c>
      <c r="AV879" s="2216" t="s">
        <v>856</v>
      </c>
      <c r="AW879" s="2216" t="s">
        <v>3171</v>
      </c>
      <c r="AX879" s="2216" t="s">
        <v>133</v>
      </c>
      <c r="AY879" s="2218" t="s">
        <v>3285</v>
      </c>
    </row>
    <row r="880" spans="2:65" s="2209" customFormat="1">
      <c r="B880" s="2210"/>
      <c r="D880" s="2197" t="s">
        <v>3303</v>
      </c>
      <c r="F880" s="2212" t="s">
        <v>4030</v>
      </c>
      <c r="H880" s="2213">
        <v>77.192999999999998</v>
      </c>
      <c r="L880" s="2210"/>
      <c r="M880" s="2214"/>
      <c r="T880" s="2215"/>
      <c r="AT880" s="2211" t="s">
        <v>3303</v>
      </c>
      <c r="AU880" s="2211" t="s">
        <v>134</v>
      </c>
      <c r="AV880" s="2209" t="s">
        <v>134</v>
      </c>
      <c r="AW880" s="2209" t="s">
        <v>3148</v>
      </c>
      <c r="AX880" s="2209" t="s">
        <v>133</v>
      </c>
      <c r="AY880" s="2211" t="s">
        <v>3285</v>
      </c>
    </row>
    <row r="881" spans="2:65" s="2070" customFormat="1" ht="37.9" customHeight="1">
      <c r="B881" s="2164"/>
      <c r="C881" s="4608" t="s">
        <v>4159</v>
      </c>
      <c r="D881" s="4608" t="s">
        <v>3286</v>
      </c>
      <c r="E881" s="4609" t="s">
        <v>4012</v>
      </c>
      <c r="F881" s="4610" t="s">
        <v>4013</v>
      </c>
      <c r="G881" s="4611" t="s">
        <v>611</v>
      </c>
      <c r="H881" s="4612">
        <v>101.28</v>
      </c>
      <c r="I881" s="4613"/>
      <c r="J881" s="4613">
        <f>ROUND(I881*H881,2)</f>
        <v>0</v>
      </c>
      <c r="K881" s="4610" t="s">
        <v>142</v>
      </c>
      <c r="L881" s="2071"/>
      <c r="M881" s="2190" t="s">
        <v>3146</v>
      </c>
      <c r="N881" s="2163" t="s">
        <v>3181</v>
      </c>
      <c r="O881" s="2191">
        <v>0.311</v>
      </c>
      <c r="P881" s="2191">
        <f>O881*H881</f>
        <v>31.498080000000002</v>
      </c>
      <c r="Q881" s="2191">
        <v>6.0600000000000003E-3</v>
      </c>
      <c r="R881" s="2191">
        <f>Q881*H881</f>
        <v>0.61375679999999999</v>
      </c>
      <c r="S881" s="2191">
        <v>0</v>
      </c>
      <c r="T881" s="2192">
        <f>S881*H881</f>
        <v>0</v>
      </c>
      <c r="AR881" s="2193" t="s">
        <v>2894</v>
      </c>
      <c r="AT881" s="2193" t="s">
        <v>3286</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4032</v>
      </c>
    </row>
    <row r="882" spans="2:65" s="2195" customFormat="1">
      <c r="B882" s="2196"/>
      <c r="D882" s="2197" t="s">
        <v>3303</v>
      </c>
      <c r="E882" s="2198" t="s">
        <v>3146</v>
      </c>
      <c r="F882" s="2199" t="s">
        <v>4033</v>
      </c>
      <c r="H882" s="2198" t="s">
        <v>3146</v>
      </c>
      <c r="L882" s="2196"/>
      <c r="M882" s="2200"/>
      <c r="T882" s="2201"/>
      <c r="AT882" s="2198" t="s">
        <v>3303</v>
      </c>
      <c r="AU882" s="2198" t="s">
        <v>134</v>
      </c>
      <c r="AV882" s="2195" t="s">
        <v>133</v>
      </c>
      <c r="AW882" s="2195" t="s">
        <v>3171</v>
      </c>
      <c r="AX882" s="2195" t="s">
        <v>3213</v>
      </c>
      <c r="AY882" s="2198" t="s">
        <v>3285</v>
      </c>
    </row>
    <row r="883" spans="2:65" s="2209" customFormat="1">
      <c r="B883" s="2210"/>
      <c r="D883" s="2197" t="s">
        <v>3303</v>
      </c>
      <c r="E883" s="2211" t="s">
        <v>3146</v>
      </c>
      <c r="F883" s="2212" t="s">
        <v>4019</v>
      </c>
      <c r="H883" s="2213">
        <v>25.8</v>
      </c>
      <c r="L883" s="2210"/>
      <c r="M883" s="2214"/>
      <c r="T883" s="2215"/>
      <c r="AT883" s="2211" t="s">
        <v>3303</v>
      </c>
      <c r="AU883" s="2211" t="s">
        <v>134</v>
      </c>
      <c r="AV883" s="2209" t="s">
        <v>134</v>
      </c>
      <c r="AW883" s="2209" t="s">
        <v>3171</v>
      </c>
      <c r="AX883" s="2209" t="s">
        <v>3213</v>
      </c>
      <c r="AY883" s="2211" t="s">
        <v>3285</v>
      </c>
    </row>
    <row r="884" spans="2:65" s="2209" customFormat="1">
      <c r="B884" s="2210"/>
      <c r="D884" s="2197" t="s">
        <v>3303</v>
      </c>
      <c r="E884" s="2211" t="s">
        <v>3146</v>
      </c>
      <c r="F884" s="2212" t="s">
        <v>4020</v>
      </c>
      <c r="H884" s="2213">
        <v>73.5</v>
      </c>
      <c r="L884" s="2210"/>
      <c r="M884" s="2214"/>
      <c r="T884" s="2215"/>
      <c r="AT884" s="2211" t="s">
        <v>3303</v>
      </c>
      <c r="AU884" s="2211" t="s">
        <v>134</v>
      </c>
      <c r="AV884" s="2209" t="s">
        <v>134</v>
      </c>
      <c r="AW884" s="2209" t="s">
        <v>3171</v>
      </c>
      <c r="AX884" s="2209" t="s">
        <v>3213</v>
      </c>
      <c r="AY884" s="2211" t="s">
        <v>3285</v>
      </c>
    </row>
    <row r="885" spans="2:65" s="2209" customFormat="1">
      <c r="B885" s="2210"/>
      <c r="D885" s="2197" t="s">
        <v>3303</v>
      </c>
      <c r="E885" s="2211" t="s">
        <v>3146</v>
      </c>
      <c r="F885" s="2212" t="s">
        <v>3711</v>
      </c>
      <c r="H885" s="2213">
        <v>1.98</v>
      </c>
      <c r="L885" s="2210"/>
      <c r="M885" s="2214"/>
      <c r="T885" s="2215"/>
      <c r="AT885" s="2211" t="s">
        <v>3303</v>
      </c>
      <c r="AU885" s="2211" t="s">
        <v>134</v>
      </c>
      <c r="AV885" s="2209" t="s">
        <v>134</v>
      </c>
      <c r="AW885" s="2209" t="s">
        <v>3171</v>
      </c>
      <c r="AX885" s="2209" t="s">
        <v>3213</v>
      </c>
      <c r="AY885" s="2211" t="s">
        <v>3285</v>
      </c>
    </row>
    <row r="886" spans="2:65" s="2216" customFormat="1">
      <c r="B886" s="2217"/>
      <c r="D886" s="2197" t="s">
        <v>3303</v>
      </c>
      <c r="E886" s="2218" t="s">
        <v>3146</v>
      </c>
      <c r="F886" s="2219" t="s">
        <v>3306</v>
      </c>
      <c r="H886" s="2220">
        <v>101.28</v>
      </c>
      <c r="L886" s="2217"/>
      <c r="M886" s="2221"/>
      <c r="T886" s="2222"/>
      <c r="AT886" s="2218" t="s">
        <v>3303</v>
      </c>
      <c r="AU886" s="2218" t="s">
        <v>134</v>
      </c>
      <c r="AV886" s="2216" t="s">
        <v>856</v>
      </c>
      <c r="AW886" s="2216" t="s">
        <v>3171</v>
      </c>
      <c r="AX886" s="2216" t="s">
        <v>133</v>
      </c>
      <c r="AY886" s="2218" t="s">
        <v>3285</v>
      </c>
    </row>
    <row r="887" spans="2:65" s="2070" customFormat="1" ht="24.2" customHeight="1">
      <c r="B887" s="2164"/>
      <c r="C887" s="4614" t="s">
        <v>4163</v>
      </c>
      <c r="D887" s="4614" t="s">
        <v>135</v>
      </c>
      <c r="E887" s="4615" t="s">
        <v>4022</v>
      </c>
      <c r="F887" s="4616" t="s">
        <v>4023</v>
      </c>
      <c r="G887" s="4617" t="s">
        <v>611</v>
      </c>
      <c r="H887" s="4618">
        <v>106.34399999999999</v>
      </c>
      <c r="I887" s="4619"/>
      <c r="J887" s="4619">
        <f>ROUND(I887*H887,2)</f>
        <v>0</v>
      </c>
      <c r="K887" s="4616" t="s">
        <v>142</v>
      </c>
      <c r="L887" s="2223"/>
      <c r="M887" s="2224" t="s">
        <v>3146</v>
      </c>
      <c r="N887" s="2225" t="s">
        <v>3181</v>
      </c>
      <c r="O887" s="2191">
        <v>0</v>
      </c>
      <c r="P887" s="2191">
        <f>O887*H887</f>
        <v>0</v>
      </c>
      <c r="Q887" s="2191">
        <v>2.8E-3</v>
      </c>
      <c r="R887" s="2191">
        <f>Q887*H887</f>
        <v>0.29776320000000001</v>
      </c>
      <c r="S887" s="2191">
        <v>0</v>
      </c>
      <c r="T887" s="2192">
        <f>S887*H887</f>
        <v>0</v>
      </c>
      <c r="AR887" s="2193" t="s">
        <v>3389</v>
      </c>
      <c r="AT887" s="2193" t="s">
        <v>135</v>
      </c>
      <c r="AU887" s="2193" t="s">
        <v>134</v>
      </c>
      <c r="AY887" s="2056" t="s">
        <v>3285</v>
      </c>
      <c r="BE887" s="2194">
        <f>IF(N887="základní",J887,0)</f>
        <v>0</v>
      </c>
      <c r="BF887" s="2194">
        <f>IF(N887="snížená",J887,0)</f>
        <v>0</v>
      </c>
      <c r="BG887" s="2194">
        <f>IF(N887="zákl. přenesená",J887,0)</f>
        <v>0</v>
      </c>
      <c r="BH887" s="2194">
        <f>IF(N887="sníž. přenesená",J887,0)</f>
        <v>0</v>
      </c>
      <c r="BI887" s="2194">
        <f>IF(N887="nulová",J887,0)</f>
        <v>0</v>
      </c>
      <c r="BJ887" s="2056" t="s">
        <v>134</v>
      </c>
      <c r="BK887" s="2194">
        <f>ROUND(I887*H887,2)</f>
        <v>0</v>
      </c>
      <c r="BL887" s="2056" t="s">
        <v>2894</v>
      </c>
      <c r="BM887" s="2193" t="s">
        <v>4024</v>
      </c>
    </row>
    <row r="888" spans="2:65" s="2195" customFormat="1">
      <c r="B888" s="2196"/>
      <c r="D888" s="2197" t="s">
        <v>3303</v>
      </c>
      <c r="E888" s="2198" t="s">
        <v>3146</v>
      </c>
      <c r="F888" s="2199" t="s">
        <v>4018</v>
      </c>
      <c r="H888" s="2198" t="s">
        <v>3146</v>
      </c>
      <c r="L888" s="2196"/>
      <c r="M888" s="2200"/>
      <c r="T888" s="2201"/>
      <c r="AT888" s="2198" t="s">
        <v>3303</v>
      </c>
      <c r="AU888" s="2198" t="s">
        <v>134</v>
      </c>
      <c r="AV888" s="2195" t="s">
        <v>133</v>
      </c>
      <c r="AW888" s="2195" t="s">
        <v>3171</v>
      </c>
      <c r="AX888" s="2195" t="s">
        <v>3213</v>
      </c>
      <c r="AY888" s="2198" t="s">
        <v>3285</v>
      </c>
    </row>
    <row r="889" spans="2:65" s="2209" customFormat="1">
      <c r="B889" s="2210"/>
      <c r="D889" s="2197" t="s">
        <v>3303</v>
      </c>
      <c r="E889" s="2211" t="s">
        <v>3146</v>
      </c>
      <c r="F889" s="2212" t="s">
        <v>4019</v>
      </c>
      <c r="H889" s="2213">
        <v>25.8</v>
      </c>
      <c r="L889" s="2210"/>
      <c r="M889" s="2214"/>
      <c r="T889" s="2215"/>
      <c r="AT889" s="2211" t="s">
        <v>3303</v>
      </c>
      <c r="AU889" s="2211" t="s">
        <v>134</v>
      </c>
      <c r="AV889" s="2209" t="s">
        <v>134</v>
      </c>
      <c r="AW889" s="2209" t="s">
        <v>3171</v>
      </c>
      <c r="AX889" s="2209" t="s">
        <v>3213</v>
      </c>
      <c r="AY889" s="2211" t="s">
        <v>3285</v>
      </c>
    </row>
    <row r="890" spans="2:65" s="2209" customFormat="1">
      <c r="B890" s="2210"/>
      <c r="D890" s="2197" t="s">
        <v>3303</v>
      </c>
      <c r="E890" s="2211" t="s">
        <v>3146</v>
      </c>
      <c r="F890" s="2212" t="s">
        <v>4020</v>
      </c>
      <c r="H890" s="2213">
        <v>73.5</v>
      </c>
      <c r="L890" s="2210"/>
      <c r="M890" s="2214"/>
      <c r="T890" s="2215"/>
      <c r="AT890" s="2211" t="s">
        <v>3303</v>
      </c>
      <c r="AU890" s="2211" t="s">
        <v>134</v>
      </c>
      <c r="AV890" s="2209" t="s">
        <v>134</v>
      </c>
      <c r="AW890" s="2209" t="s">
        <v>3171</v>
      </c>
      <c r="AX890" s="2209" t="s">
        <v>3213</v>
      </c>
      <c r="AY890" s="2211" t="s">
        <v>3285</v>
      </c>
    </row>
    <row r="891" spans="2:65" s="2209" customFormat="1">
      <c r="B891" s="2210"/>
      <c r="D891" s="2197" t="s">
        <v>3303</v>
      </c>
      <c r="E891" s="2211" t="s">
        <v>3146</v>
      </c>
      <c r="F891" s="2212" t="s">
        <v>3711</v>
      </c>
      <c r="H891" s="2213">
        <v>1.98</v>
      </c>
      <c r="L891" s="2210"/>
      <c r="M891" s="2214"/>
      <c r="T891" s="2215"/>
      <c r="AT891" s="2211" t="s">
        <v>3303</v>
      </c>
      <c r="AU891" s="2211" t="s">
        <v>134</v>
      </c>
      <c r="AV891" s="2209" t="s">
        <v>134</v>
      </c>
      <c r="AW891" s="2209" t="s">
        <v>3171</v>
      </c>
      <c r="AX891" s="2209" t="s">
        <v>3213</v>
      </c>
      <c r="AY891" s="2211" t="s">
        <v>3285</v>
      </c>
    </row>
    <row r="892" spans="2:65" s="2216" customFormat="1">
      <c r="B892" s="2217"/>
      <c r="D892" s="2197" t="s">
        <v>3303</v>
      </c>
      <c r="E892" s="2218" t="s">
        <v>3146</v>
      </c>
      <c r="F892" s="2219" t="s">
        <v>3306</v>
      </c>
      <c r="H892" s="2220">
        <v>101.28</v>
      </c>
      <c r="L892" s="2217"/>
      <c r="M892" s="2221"/>
      <c r="T892" s="2222"/>
      <c r="AT892" s="2218" t="s">
        <v>3303</v>
      </c>
      <c r="AU892" s="2218" t="s">
        <v>134</v>
      </c>
      <c r="AV892" s="2216" t="s">
        <v>856</v>
      </c>
      <c r="AW892" s="2216" t="s">
        <v>3171</v>
      </c>
      <c r="AX892" s="2216" t="s">
        <v>133</v>
      </c>
      <c r="AY892" s="2218" t="s">
        <v>3285</v>
      </c>
    </row>
    <row r="893" spans="2:65" s="2209" customFormat="1">
      <c r="B893" s="2210"/>
      <c r="D893" s="2197" t="s">
        <v>3303</v>
      </c>
      <c r="F893" s="2212" t="s">
        <v>4025</v>
      </c>
      <c r="H893" s="2213">
        <v>106.34399999999999</v>
      </c>
      <c r="L893" s="2210"/>
      <c r="M893" s="2214"/>
      <c r="T893" s="2215"/>
      <c r="AT893" s="2211" t="s">
        <v>3303</v>
      </c>
      <c r="AU893" s="2211" t="s">
        <v>134</v>
      </c>
      <c r="AV893" s="2209" t="s">
        <v>134</v>
      </c>
      <c r="AW893" s="2209" t="s">
        <v>3148</v>
      </c>
      <c r="AX893" s="2209" t="s">
        <v>133</v>
      </c>
      <c r="AY893" s="2211" t="s">
        <v>3285</v>
      </c>
    </row>
    <row r="894" spans="2:65" s="2070" customFormat="1" ht="33" customHeight="1">
      <c r="B894" s="2164"/>
      <c r="C894" s="4608" t="s">
        <v>4169</v>
      </c>
      <c r="D894" s="4608" t="s">
        <v>3286</v>
      </c>
      <c r="E894" s="4609" t="s">
        <v>10932</v>
      </c>
      <c r="F894" s="4610" t="s">
        <v>10933</v>
      </c>
      <c r="G894" s="4611" t="s">
        <v>611</v>
      </c>
      <c r="H894" s="4612">
        <v>2661.42</v>
      </c>
      <c r="I894" s="4613"/>
      <c r="J894" s="4613">
        <f>ROUND(I894*H894,2)</f>
        <v>0</v>
      </c>
      <c r="K894" s="4610" t="s">
        <v>142</v>
      </c>
      <c r="L894" s="2071"/>
      <c r="M894" s="2190" t="s">
        <v>3146</v>
      </c>
      <c r="N894" s="2163" t="s">
        <v>3181</v>
      </c>
      <c r="O894" s="2191">
        <v>0.14199999999999999</v>
      </c>
      <c r="P894" s="2191">
        <f>O894*H894</f>
        <v>377.92163999999997</v>
      </c>
      <c r="Q894" s="2191">
        <v>1.2E-4</v>
      </c>
      <c r="R894" s="2191">
        <f>Q894*H894</f>
        <v>0.3193704</v>
      </c>
      <c r="S894" s="2191">
        <v>0</v>
      </c>
      <c r="T894" s="2192">
        <f>S894*H894</f>
        <v>0</v>
      </c>
      <c r="AR894" s="2193" t="s">
        <v>2894</v>
      </c>
      <c r="AT894" s="2193" t="s">
        <v>3286</v>
      </c>
      <c r="AU894" s="2193" t="s">
        <v>134</v>
      </c>
      <c r="AY894" s="2056" t="s">
        <v>3285</v>
      </c>
      <c r="BE894" s="2194">
        <f>IF(N894="základní",J894,0)</f>
        <v>0</v>
      </c>
      <c r="BF894" s="2194">
        <f>IF(N894="snížená",J894,0)</f>
        <v>0</v>
      </c>
      <c r="BG894" s="2194">
        <f>IF(N894="zákl. přenesená",J894,0)</f>
        <v>0</v>
      </c>
      <c r="BH894" s="2194">
        <f>IF(N894="sníž. přenesená",J894,0)</f>
        <v>0</v>
      </c>
      <c r="BI894" s="2194">
        <f>IF(N894="nulová",J894,0)</f>
        <v>0</v>
      </c>
      <c r="BJ894" s="2056" t="s">
        <v>134</v>
      </c>
      <c r="BK894" s="2194">
        <f>ROUND(I894*H894,2)</f>
        <v>0</v>
      </c>
      <c r="BL894" s="2056" t="s">
        <v>2894</v>
      </c>
      <c r="BM894" s="2193" t="s">
        <v>10934</v>
      </c>
    </row>
    <row r="895" spans="2:65" s="2209" customFormat="1">
      <c r="B895" s="2210"/>
      <c r="D895" s="2197" t="s">
        <v>3303</v>
      </c>
      <c r="F895" s="2212" t="s">
        <v>10847</v>
      </c>
      <c r="H895" s="2213">
        <v>2661.42</v>
      </c>
      <c r="L895" s="2210"/>
      <c r="M895" s="2214"/>
      <c r="T895" s="2215"/>
      <c r="AT895" s="2211" t="s">
        <v>3303</v>
      </c>
      <c r="AU895" s="2211" t="s">
        <v>134</v>
      </c>
      <c r="AV895" s="2209" t="s">
        <v>134</v>
      </c>
      <c r="AW895" s="2209" t="s">
        <v>3148</v>
      </c>
      <c r="AX895" s="2209" t="s">
        <v>133</v>
      </c>
      <c r="AY895" s="2211" t="s">
        <v>3285</v>
      </c>
    </row>
    <row r="896" spans="2:65" s="2070" customFormat="1" ht="24.2" customHeight="1">
      <c r="B896" s="2164"/>
      <c r="C896" s="4614" t="s">
        <v>4173</v>
      </c>
      <c r="D896" s="4614" t="s">
        <v>135</v>
      </c>
      <c r="E896" s="4615" t="s">
        <v>10935</v>
      </c>
      <c r="F896" s="4616" t="s">
        <v>10936</v>
      </c>
      <c r="G896" s="4617" t="s">
        <v>611</v>
      </c>
      <c r="H896" s="4618">
        <v>22.690999999999999</v>
      </c>
      <c r="I896" s="4619"/>
      <c r="J896" s="4619">
        <f>ROUND(I896*H896,2)</f>
        <v>0</v>
      </c>
      <c r="K896" s="4616" t="s">
        <v>142</v>
      </c>
      <c r="L896" s="2223"/>
      <c r="M896" s="2224" t="s">
        <v>3146</v>
      </c>
      <c r="N896" s="2225" t="s">
        <v>3181</v>
      </c>
      <c r="O896" s="2191">
        <v>0</v>
      </c>
      <c r="P896" s="2191">
        <f>O896*H896</f>
        <v>0</v>
      </c>
      <c r="Q896" s="2191">
        <v>6.0000000000000001E-3</v>
      </c>
      <c r="R896" s="2191">
        <f>Q896*H896</f>
        <v>0.13614599999999999</v>
      </c>
      <c r="S896" s="2191">
        <v>0</v>
      </c>
      <c r="T896" s="2192">
        <f>S896*H896</f>
        <v>0</v>
      </c>
      <c r="AR896" s="2193" t="s">
        <v>3389</v>
      </c>
      <c r="AT896" s="2193" t="s">
        <v>135</v>
      </c>
      <c r="AU896" s="2193" t="s">
        <v>134</v>
      </c>
      <c r="AY896" s="2056" t="s">
        <v>3285</v>
      </c>
      <c r="BE896" s="2194">
        <f>IF(N896="základní",J896,0)</f>
        <v>0</v>
      </c>
      <c r="BF896" s="2194">
        <f>IF(N896="snížená",J896,0)</f>
        <v>0</v>
      </c>
      <c r="BG896" s="2194">
        <f>IF(N896="zákl. přenesená",J896,0)</f>
        <v>0</v>
      </c>
      <c r="BH896" s="2194">
        <f>IF(N896="sníž. přenesená",J896,0)</f>
        <v>0</v>
      </c>
      <c r="BI896" s="2194">
        <f>IF(N896="nulová",J896,0)</f>
        <v>0</v>
      </c>
      <c r="BJ896" s="2056" t="s">
        <v>134</v>
      </c>
      <c r="BK896" s="2194">
        <f>ROUND(I896*H896,2)</f>
        <v>0</v>
      </c>
      <c r="BL896" s="2056" t="s">
        <v>2894</v>
      </c>
      <c r="BM896" s="2193" t="s">
        <v>10937</v>
      </c>
    </row>
    <row r="897" spans="2:65" s="2209" customFormat="1">
      <c r="B897" s="2210"/>
      <c r="D897" s="2197" t="s">
        <v>3303</v>
      </c>
      <c r="E897" s="2211" t="s">
        <v>3146</v>
      </c>
      <c r="F897" s="2212" t="s">
        <v>10938</v>
      </c>
      <c r="H897" s="2213">
        <v>21.61</v>
      </c>
      <c r="L897" s="2210"/>
      <c r="M897" s="2214"/>
      <c r="T897" s="2215"/>
      <c r="AT897" s="2211" t="s">
        <v>3303</v>
      </c>
      <c r="AU897" s="2211" t="s">
        <v>134</v>
      </c>
      <c r="AV897" s="2209" t="s">
        <v>134</v>
      </c>
      <c r="AW897" s="2209" t="s">
        <v>3171</v>
      </c>
      <c r="AX897" s="2209" t="s">
        <v>3213</v>
      </c>
      <c r="AY897" s="2211" t="s">
        <v>3285</v>
      </c>
    </row>
    <row r="898" spans="2:65" s="2216" customFormat="1">
      <c r="B898" s="2217"/>
      <c r="D898" s="2197" t="s">
        <v>3303</v>
      </c>
      <c r="E898" s="2218" t="s">
        <v>3146</v>
      </c>
      <c r="F898" s="2219" t="s">
        <v>3306</v>
      </c>
      <c r="H898" s="2220">
        <v>21.61</v>
      </c>
      <c r="L898" s="2217"/>
      <c r="M898" s="2221"/>
      <c r="T898" s="2222"/>
      <c r="AT898" s="2218" t="s">
        <v>3303</v>
      </c>
      <c r="AU898" s="2218" t="s">
        <v>134</v>
      </c>
      <c r="AV898" s="2216" t="s">
        <v>856</v>
      </c>
      <c r="AW898" s="2216" t="s">
        <v>3171</v>
      </c>
      <c r="AX898" s="2216" t="s">
        <v>133</v>
      </c>
      <c r="AY898" s="2218" t="s">
        <v>3285</v>
      </c>
    </row>
    <row r="899" spans="2:65" s="2209" customFormat="1">
      <c r="B899" s="2210"/>
      <c r="D899" s="2197" t="s">
        <v>3303</v>
      </c>
      <c r="F899" s="2212" t="s">
        <v>10939</v>
      </c>
      <c r="H899" s="2213">
        <v>22.690999999999999</v>
      </c>
      <c r="L899" s="2210"/>
      <c r="M899" s="2214"/>
      <c r="T899" s="2215"/>
      <c r="AT899" s="2211" t="s">
        <v>3303</v>
      </c>
      <c r="AU899" s="2211" t="s">
        <v>134</v>
      </c>
      <c r="AV899" s="2209" t="s">
        <v>134</v>
      </c>
      <c r="AW899" s="2209" t="s">
        <v>3148</v>
      </c>
      <c r="AX899" s="2209" t="s">
        <v>133</v>
      </c>
      <c r="AY899" s="2211" t="s">
        <v>3285</v>
      </c>
    </row>
    <row r="900" spans="2:65" s="2070" customFormat="1" ht="33" customHeight="1">
      <c r="B900" s="2164"/>
      <c r="C900" s="4614" t="s">
        <v>4177</v>
      </c>
      <c r="D900" s="4614" t="s">
        <v>135</v>
      </c>
      <c r="E900" s="4615" t="s">
        <v>10940</v>
      </c>
      <c r="F900" s="4616" t="s">
        <v>10941</v>
      </c>
      <c r="G900" s="4617" t="s">
        <v>611</v>
      </c>
      <c r="H900" s="4618">
        <v>1231.6500000000001</v>
      </c>
      <c r="I900" s="4619"/>
      <c r="J900" s="4619">
        <f>ROUND(I900*H900,2)</f>
        <v>0</v>
      </c>
      <c r="K900" s="4616" t="s">
        <v>142</v>
      </c>
      <c r="L900" s="2223"/>
      <c r="M900" s="2224" t="s">
        <v>3146</v>
      </c>
      <c r="N900" s="2225" t="s">
        <v>3181</v>
      </c>
      <c r="O900" s="2191">
        <v>0</v>
      </c>
      <c r="P900" s="2191">
        <f>O900*H900</f>
        <v>0</v>
      </c>
      <c r="Q900" s="2191">
        <v>4.7999999999999996E-3</v>
      </c>
      <c r="R900" s="2191">
        <f>Q900*H900</f>
        <v>5.9119200000000003</v>
      </c>
      <c r="S900" s="2191">
        <v>0</v>
      </c>
      <c r="T900" s="2192">
        <f>S900*H900</f>
        <v>0</v>
      </c>
      <c r="AR900" s="2193" t="s">
        <v>3389</v>
      </c>
      <c r="AT900" s="2193" t="s">
        <v>135</v>
      </c>
      <c r="AU900" s="2193" t="s">
        <v>134</v>
      </c>
      <c r="AY900" s="2056" t="s">
        <v>3285</v>
      </c>
      <c r="BE900" s="2194">
        <f>IF(N900="základní",J900,0)</f>
        <v>0</v>
      </c>
      <c r="BF900" s="2194">
        <f>IF(N900="snížená",J900,0)</f>
        <v>0</v>
      </c>
      <c r="BG900" s="2194">
        <f>IF(N900="zákl. přenesená",J900,0)</f>
        <v>0</v>
      </c>
      <c r="BH900" s="2194">
        <f>IF(N900="sníž. přenesená",J900,0)</f>
        <v>0</v>
      </c>
      <c r="BI900" s="2194">
        <f>IF(N900="nulová",J900,0)</f>
        <v>0</v>
      </c>
      <c r="BJ900" s="2056" t="s">
        <v>134</v>
      </c>
      <c r="BK900" s="2194">
        <f>ROUND(I900*H900,2)</f>
        <v>0</v>
      </c>
      <c r="BL900" s="2056" t="s">
        <v>2894</v>
      </c>
      <c r="BM900" s="2193" t="s">
        <v>10942</v>
      </c>
    </row>
    <row r="901" spans="2:65" s="2195" customFormat="1">
      <c r="B901" s="2196"/>
      <c r="D901" s="2197" t="s">
        <v>3303</v>
      </c>
      <c r="E901" s="2198" t="s">
        <v>3146</v>
      </c>
      <c r="F901" s="2199" t="s">
        <v>10837</v>
      </c>
      <c r="H901" s="2198" t="s">
        <v>3146</v>
      </c>
      <c r="L901" s="2196"/>
      <c r="M901" s="2200"/>
      <c r="T901" s="2201"/>
      <c r="AT901" s="2198" t="s">
        <v>3303</v>
      </c>
      <c r="AU901" s="2198" t="s">
        <v>134</v>
      </c>
      <c r="AV901" s="2195" t="s">
        <v>133</v>
      </c>
      <c r="AW901" s="2195" t="s">
        <v>3171</v>
      </c>
      <c r="AX901" s="2195" t="s">
        <v>3213</v>
      </c>
      <c r="AY901" s="2198" t="s">
        <v>3285</v>
      </c>
    </row>
    <row r="902" spans="2:65" s="2209" customFormat="1">
      <c r="B902" s="2210"/>
      <c r="D902" s="2197" t="s">
        <v>3303</v>
      </c>
      <c r="E902" s="2211" t="s">
        <v>3146</v>
      </c>
      <c r="F902" s="2212" t="s">
        <v>10838</v>
      </c>
      <c r="H902" s="2213">
        <v>890</v>
      </c>
      <c r="L902" s="2210"/>
      <c r="M902" s="2214"/>
      <c r="T902" s="2215"/>
      <c r="AT902" s="2211" t="s">
        <v>3303</v>
      </c>
      <c r="AU902" s="2211" t="s">
        <v>134</v>
      </c>
      <c r="AV902" s="2209" t="s">
        <v>134</v>
      </c>
      <c r="AW902" s="2209" t="s">
        <v>3171</v>
      </c>
      <c r="AX902" s="2209" t="s">
        <v>3213</v>
      </c>
      <c r="AY902" s="2211" t="s">
        <v>3285</v>
      </c>
    </row>
    <row r="903" spans="2:65" s="2209" customFormat="1">
      <c r="B903" s="2210"/>
      <c r="D903" s="2197" t="s">
        <v>3303</v>
      </c>
      <c r="E903" s="2211" t="s">
        <v>3146</v>
      </c>
      <c r="F903" s="2212" t="s">
        <v>5234</v>
      </c>
      <c r="H903" s="2213">
        <v>245</v>
      </c>
      <c r="L903" s="2210"/>
      <c r="M903" s="2214"/>
      <c r="T903" s="2215"/>
      <c r="AT903" s="2211" t="s">
        <v>3303</v>
      </c>
      <c r="AU903" s="2211" t="s">
        <v>134</v>
      </c>
      <c r="AV903" s="2209" t="s">
        <v>134</v>
      </c>
      <c r="AW903" s="2209" t="s">
        <v>3171</v>
      </c>
      <c r="AX903" s="2209" t="s">
        <v>3213</v>
      </c>
      <c r="AY903" s="2211" t="s">
        <v>3285</v>
      </c>
    </row>
    <row r="904" spans="2:65" s="2195" customFormat="1">
      <c r="B904" s="2196"/>
      <c r="D904" s="2197" t="s">
        <v>3303</v>
      </c>
      <c r="E904" s="2198" t="s">
        <v>3146</v>
      </c>
      <c r="F904" s="2199" t="s">
        <v>10839</v>
      </c>
      <c r="H904" s="2198" t="s">
        <v>3146</v>
      </c>
      <c r="L904" s="2196"/>
      <c r="M904" s="2200"/>
      <c r="T904" s="2201"/>
      <c r="AT904" s="2198" t="s">
        <v>3303</v>
      </c>
      <c r="AU904" s="2198" t="s">
        <v>134</v>
      </c>
      <c r="AV904" s="2195" t="s">
        <v>133</v>
      </c>
      <c r="AW904" s="2195" t="s">
        <v>3171</v>
      </c>
      <c r="AX904" s="2195" t="s">
        <v>3213</v>
      </c>
      <c r="AY904" s="2198" t="s">
        <v>3285</v>
      </c>
    </row>
    <row r="905" spans="2:65" s="2209" customFormat="1">
      <c r="B905" s="2210"/>
      <c r="D905" s="2197" t="s">
        <v>3303</v>
      </c>
      <c r="E905" s="2211" t="s">
        <v>3146</v>
      </c>
      <c r="F905" s="2212" t="s">
        <v>685</v>
      </c>
      <c r="H905" s="2213">
        <v>38</v>
      </c>
      <c r="L905" s="2210"/>
      <c r="M905" s="2214"/>
      <c r="T905" s="2215"/>
      <c r="AT905" s="2211" t="s">
        <v>3303</v>
      </c>
      <c r="AU905" s="2211" t="s">
        <v>134</v>
      </c>
      <c r="AV905" s="2209" t="s">
        <v>134</v>
      </c>
      <c r="AW905" s="2209" t="s">
        <v>3171</v>
      </c>
      <c r="AX905" s="2209" t="s">
        <v>3213</v>
      </c>
      <c r="AY905" s="2211" t="s">
        <v>3285</v>
      </c>
    </row>
    <row r="906" spans="2:65" s="2216" customFormat="1">
      <c r="B906" s="2217"/>
      <c r="D906" s="2197" t="s">
        <v>3303</v>
      </c>
      <c r="E906" s="2218" t="s">
        <v>3146</v>
      </c>
      <c r="F906" s="2219" t="s">
        <v>3306</v>
      </c>
      <c r="H906" s="2220">
        <v>1173</v>
      </c>
      <c r="L906" s="2217"/>
      <c r="M906" s="2221"/>
      <c r="T906" s="2222"/>
      <c r="AT906" s="2218" t="s">
        <v>3303</v>
      </c>
      <c r="AU906" s="2218" t="s">
        <v>134</v>
      </c>
      <c r="AV906" s="2216" t="s">
        <v>856</v>
      </c>
      <c r="AW906" s="2216" t="s">
        <v>3171</v>
      </c>
      <c r="AX906" s="2216" t="s">
        <v>133</v>
      </c>
      <c r="AY906" s="2218" t="s">
        <v>3285</v>
      </c>
    </row>
    <row r="907" spans="2:65" s="2209" customFormat="1">
      <c r="B907" s="2210"/>
      <c r="D907" s="2197" t="s">
        <v>3303</v>
      </c>
      <c r="F907" s="2212" t="s">
        <v>10943</v>
      </c>
      <c r="H907" s="2213">
        <v>1231.6500000000001</v>
      </c>
      <c r="L907" s="2210"/>
      <c r="M907" s="2214"/>
      <c r="T907" s="2215"/>
      <c r="AT907" s="2211" t="s">
        <v>3303</v>
      </c>
      <c r="AU907" s="2211" t="s">
        <v>134</v>
      </c>
      <c r="AV907" s="2209" t="s">
        <v>134</v>
      </c>
      <c r="AW907" s="2209" t="s">
        <v>3148</v>
      </c>
      <c r="AX907" s="2209" t="s">
        <v>133</v>
      </c>
      <c r="AY907" s="2211" t="s">
        <v>3285</v>
      </c>
    </row>
    <row r="908" spans="2:65" s="2070" customFormat="1" ht="33" customHeight="1">
      <c r="B908" s="2164"/>
      <c r="C908" s="4614" t="s">
        <v>4183</v>
      </c>
      <c r="D908" s="4614" t="s">
        <v>135</v>
      </c>
      <c r="E908" s="4615" t="s">
        <v>10944</v>
      </c>
      <c r="F908" s="4616" t="s">
        <v>10945</v>
      </c>
      <c r="G908" s="4617" t="s">
        <v>611</v>
      </c>
      <c r="H908" s="4618">
        <v>142.905</v>
      </c>
      <c r="I908" s="4619"/>
      <c r="J908" s="4619">
        <f>ROUND(I908*H908,2)</f>
        <v>0</v>
      </c>
      <c r="K908" s="4616" t="s">
        <v>142</v>
      </c>
      <c r="L908" s="2223"/>
      <c r="M908" s="2224" t="s">
        <v>3146</v>
      </c>
      <c r="N908" s="2225" t="s">
        <v>3181</v>
      </c>
      <c r="O908" s="2191">
        <v>0</v>
      </c>
      <c r="P908" s="2191">
        <f>O908*H908</f>
        <v>0</v>
      </c>
      <c r="Q908" s="2191">
        <v>3.5999999999999999E-3</v>
      </c>
      <c r="R908" s="2191">
        <f>Q908*H908</f>
        <v>0.51445799999999997</v>
      </c>
      <c r="S908" s="2191">
        <v>0</v>
      </c>
      <c r="T908" s="2192">
        <f>S908*H908</f>
        <v>0</v>
      </c>
      <c r="AR908" s="2193" t="s">
        <v>3389</v>
      </c>
      <c r="AT908" s="2193" t="s">
        <v>135</v>
      </c>
      <c r="AU908" s="2193" t="s">
        <v>134</v>
      </c>
      <c r="AY908" s="2056" t="s">
        <v>3285</v>
      </c>
      <c r="BE908" s="2194">
        <f>IF(N908="základní",J908,0)</f>
        <v>0</v>
      </c>
      <c r="BF908" s="2194">
        <f>IF(N908="snížená",J908,0)</f>
        <v>0</v>
      </c>
      <c r="BG908" s="2194">
        <f>IF(N908="zákl. přenesená",J908,0)</f>
        <v>0</v>
      </c>
      <c r="BH908" s="2194">
        <f>IF(N908="sníž. přenesená",J908,0)</f>
        <v>0</v>
      </c>
      <c r="BI908" s="2194">
        <f>IF(N908="nulová",J908,0)</f>
        <v>0</v>
      </c>
      <c r="BJ908" s="2056" t="s">
        <v>134</v>
      </c>
      <c r="BK908" s="2194">
        <f>ROUND(I908*H908,2)</f>
        <v>0</v>
      </c>
      <c r="BL908" s="2056" t="s">
        <v>2894</v>
      </c>
      <c r="BM908" s="2193" t="s">
        <v>10946</v>
      </c>
    </row>
    <row r="909" spans="2:65" s="2195" customFormat="1">
      <c r="B909" s="2196"/>
      <c r="D909" s="2197" t="s">
        <v>3303</v>
      </c>
      <c r="E909" s="2198" t="s">
        <v>3146</v>
      </c>
      <c r="F909" s="2199" t="s">
        <v>10840</v>
      </c>
      <c r="H909" s="2198" t="s">
        <v>3146</v>
      </c>
      <c r="L909" s="2196"/>
      <c r="M909" s="2200"/>
      <c r="T909" s="2201"/>
      <c r="AT909" s="2198" t="s">
        <v>3303</v>
      </c>
      <c r="AU909" s="2198" t="s">
        <v>134</v>
      </c>
      <c r="AV909" s="2195" t="s">
        <v>133</v>
      </c>
      <c r="AW909" s="2195" t="s">
        <v>3171</v>
      </c>
      <c r="AX909" s="2195" t="s">
        <v>3213</v>
      </c>
      <c r="AY909" s="2198" t="s">
        <v>3285</v>
      </c>
    </row>
    <row r="910" spans="2:65" s="2209" customFormat="1">
      <c r="B910" s="2210"/>
      <c r="D910" s="2197" t="s">
        <v>3303</v>
      </c>
      <c r="E910" s="2211" t="s">
        <v>3146</v>
      </c>
      <c r="F910" s="2212" t="s">
        <v>10841</v>
      </c>
      <c r="H910" s="2213">
        <v>116.1</v>
      </c>
      <c r="L910" s="2210"/>
      <c r="M910" s="2214"/>
      <c r="T910" s="2215"/>
      <c r="AT910" s="2211" t="s">
        <v>3303</v>
      </c>
      <c r="AU910" s="2211" t="s">
        <v>134</v>
      </c>
      <c r="AV910" s="2209" t="s">
        <v>134</v>
      </c>
      <c r="AW910" s="2209" t="s">
        <v>3171</v>
      </c>
      <c r="AX910" s="2209" t="s">
        <v>3213</v>
      </c>
      <c r="AY910" s="2211" t="s">
        <v>3285</v>
      </c>
    </row>
    <row r="911" spans="2:65" s="2209" customFormat="1">
      <c r="B911" s="2210"/>
      <c r="D911" s="2197" t="s">
        <v>3303</v>
      </c>
      <c r="E911" s="2211" t="s">
        <v>3146</v>
      </c>
      <c r="F911" s="2212" t="s">
        <v>2272</v>
      </c>
      <c r="H911" s="2213">
        <v>20</v>
      </c>
      <c r="L911" s="2210"/>
      <c r="M911" s="2214"/>
      <c r="T911" s="2215"/>
      <c r="AT911" s="2211" t="s">
        <v>3303</v>
      </c>
      <c r="AU911" s="2211" t="s">
        <v>134</v>
      </c>
      <c r="AV911" s="2209" t="s">
        <v>134</v>
      </c>
      <c r="AW911" s="2209" t="s">
        <v>3171</v>
      </c>
      <c r="AX911" s="2209" t="s">
        <v>3213</v>
      </c>
      <c r="AY911" s="2211" t="s">
        <v>3285</v>
      </c>
    </row>
    <row r="912" spans="2:65" s="2216" customFormat="1">
      <c r="B912" s="2217"/>
      <c r="D912" s="2197" t="s">
        <v>3303</v>
      </c>
      <c r="E912" s="2218" t="s">
        <v>3146</v>
      </c>
      <c r="F912" s="2219" t="s">
        <v>3306</v>
      </c>
      <c r="H912" s="2220">
        <v>136.1</v>
      </c>
      <c r="L912" s="2217"/>
      <c r="M912" s="2221"/>
      <c r="T912" s="2222"/>
      <c r="AT912" s="2218" t="s">
        <v>3303</v>
      </c>
      <c r="AU912" s="2218" t="s">
        <v>134</v>
      </c>
      <c r="AV912" s="2216" t="s">
        <v>856</v>
      </c>
      <c r="AW912" s="2216" t="s">
        <v>3171</v>
      </c>
      <c r="AX912" s="2216" t="s">
        <v>133</v>
      </c>
      <c r="AY912" s="2218" t="s">
        <v>3285</v>
      </c>
    </row>
    <row r="913" spans="2:65" s="2209" customFormat="1">
      <c r="B913" s="2210"/>
      <c r="D913" s="2197" t="s">
        <v>3303</v>
      </c>
      <c r="F913" s="2212" t="s">
        <v>10947</v>
      </c>
      <c r="H913" s="2213">
        <v>142.905</v>
      </c>
      <c r="L913" s="2210"/>
      <c r="M913" s="2214"/>
      <c r="T913" s="2215"/>
      <c r="AT913" s="2211" t="s">
        <v>3303</v>
      </c>
      <c r="AU913" s="2211" t="s">
        <v>134</v>
      </c>
      <c r="AV913" s="2209" t="s">
        <v>134</v>
      </c>
      <c r="AW913" s="2209" t="s">
        <v>3148</v>
      </c>
      <c r="AX913" s="2209" t="s">
        <v>133</v>
      </c>
      <c r="AY913" s="2211" t="s">
        <v>3285</v>
      </c>
    </row>
    <row r="914" spans="2:65" s="2070" customFormat="1" ht="33" customHeight="1">
      <c r="B914" s="2164"/>
      <c r="C914" s="4614" t="s">
        <v>4187</v>
      </c>
      <c r="D914" s="4614" t="s">
        <v>135</v>
      </c>
      <c r="E914" s="4615" t="s">
        <v>10948</v>
      </c>
      <c r="F914" s="4616" t="s">
        <v>10949</v>
      </c>
      <c r="G914" s="4617" t="s">
        <v>611</v>
      </c>
      <c r="H914" s="4618">
        <v>1948.8</v>
      </c>
      <c r="I914" s="4619"/>
      <c r="J914" s="4619">
        <f>ROUND(I914*H914,2)</f>
        <v>0</v>
      </c>
      <c r="K914" s="4616" t="s">
        <v>142</v>
      </c>
      <c r="L914" s="2223"/>
      <c r="M914" s="2224" t="s">
        <v>3146</v>
      </c>
      <c r="N914" s="2225" t="s">
        <v>3181</v>
      </c>
      <c r="O914" s="2191">
        <v>0</v>
      </c>
      <c r="P914" s="2191">
        <f>O914*H914</f>
        <v>0</v>
      </c>
      <c r="Q914" s="2191">
        <v>3.0000000000000001E-3</v>
      </c>
      <c r="R914" s="2191">
        <f>Q914*H914</f>
        <v>5.8464</v>
      </c>
      <c r="S914" s="2191">
        <v>0</v>
      </c>
      <c r="T914" s="2192">
        <f>S914*H914</f>
        <v>0</v>
      </c>
      <c r="AR914" s="2193" t="s">
        <v>3389</v>
      </c>
      <c r="AT914" s="2193" t="s">
        <v>135</v>
      </c>
      <c r="AU914" s="2193" t="s">
        <v>134</v>
      </c>
      <c r="AY914" s="2056" t="s">
        <v>3285</v>
      </c>
      <c r="BE914" s="2194">
        <f>IF(N914="základní",J914,0)</f>
        <v>0</v>
      </c>
      <c r="BF914" s="2194">
        <f>IF(N914="snížená",J914,0)</f>
        <v>0</v>
      </c>
      <c r="BG914" s="2194">
        <f>IF(N914="zákl. přenesená",J914,0)</f>
        <v>0</v>
      </c>
      <c r="BH914" s="2194">
        <f>IF(N914="sníž. přenesená",J914,0)</f>
        <v>0</v>
      </c>
      <c r="BI914" s="2194">
        <f>IF(N914="nulová",J914,0)</f>
        <v>0</v>
      </c>
      <c r="BJ914" s="2056" t="s">
        <v>134</v>
      </c>
      <c r="BK914" s="2194">
        <f>ROUND(I914*H914,2)</f>
        <v>0</v>
      </c>
      <c r="BL914" s="2056" t="s">
        <v>2894</v>
      </c>
      <c r="BM914" s="2193" t="s">
        <v>10950</v>
      </c>
    </row>
    <row r="915" spans="2:65" s="2195" customFormat="1">
      <c r="B915" s="2196"/>
      <c r="D915" s="2197" t="s">
        <v>3303</v>
      </c>
      <c r="E915" s="2198" t="s">
        <v>3146</v>
      </c>
      <c r="F915" s="2199" t="s">
        <v>10837</v>
      </c>
      <c r="H915" s="2198" t="s">
        <v>3146</v>
      </c>
      <c r="L915" s="2196"/>
      <c r="M915" s="2200"/>
      <c r="T915" s="2201"/>
      <c r="AT915" s="2198" t="s">
        <v>3303</v>
      </c>
      <c r="AU915" s="2198" t="s">
        <v>134</v>
      </c>
      <c r="AV915" s="2195" t="s">
        <v>133</v>
      </c>
      <c r="AW915" s="2195" t="s">
        <v>3171</v>
      </c>
      <c r="AX915" s="2195" t="s">
        <v>3213</v>
      </c>
      <c r="AY915" s="2198" t="s">
        <v>3285</v>
      </c>
    </row>
    <row r="916" spans="2:65" s="2209" customFormat="1">
      <c r="B916" s="2210"/>
      <c r="D916" s="2197" t="s">
        <v>3303</v>
      </c>
      <c r="E916" s="2211" t="s">
        <v>3146</v>
      </c>
      <c r="F916" s="2212" t="s">
        <v>10951</v>
      </c>
      <c r="H916" s="2213">
        <v>1780</v>
      </c>
      <c r="L916" s="2210"/>
      <c r="M916" s="2214"/>
      <c r="T916" s="2215"/>
      <c r="AT916" s="2211" t="s">
        <v>3303</v>
      </c>
      <c r="AU916" s="2211" t="s">
        <v>134</v>
      </c>
      <c r="AV916" s="2209" t="s">
        <v>134</v>
      </c>
      <c r="AW916" s="2209" t="s">
        <v>3171</v>
      </c>
      <c r="AX916" s="2209" t="s">
        <v>3213</v>
      </c>
      <c r="AY916" s="2211" t="s">
        <v>3285</v>
      </c>
    </row>
    <row r="917" spans="2:65" s="2195" customFormat="1">
      <c r="B917" s="2196"/>
      <c r="D917" s="2197" t="s">
        <v>3303</v>
      </c>
      <c r="E917" s="2198" t="s">
        <v>3146</v>
      </c>
      <c r="F917" s="2199" t="s">
        <v>10839</v>
      </c>
      <c r="H917" s="2198" t="s">
        <v>3146</v>
      </c>
      <c r="L917" s="2196"/>
      <c r="M917" s="2200"/>
      <c r="T917" s="2201"/>
      <c r="AT917" s="2198" t="s">
        <v>3303</v>
      </c>
      <c r="AU917" s="2198" t="s">
        <v>134</v>
      </c>
      <c r="AV917" s="2195" t="s">
        <v>133</v>
      </c>
      <c r="AW917" s="2195" t="s">
        <v>3171</v>
      </c>
      <c r="AX917" s="2195" t="s">
        <v>3213</v>
      </c>
      <c r="AY917" s="2198" t="s">
        <v>3285</v>
      </c>
    </row>
    <row r="918" spans="2:65" s="2209" customFormat="1">
      <c r="B918" s="2210"/>
      <c r="D918" s="2197" t="s">
        <v>3303</v>
      </c>
      <c r="E918" s="2211" t="s">
        <v>3146</v>
      </c>
      <c r="F918" s="2212" t="s">
        <v>10952</v>
      </c>
      <c r="H918" s="2213">
        <v>76</v>
      </c>
      <c r="L918" s="2210"/>
      <c r="M918" s="2214"/>
      <c r="T918" s="2215"/>
      <c r="AT918" s="2211" t="s">
        <v>3303</v>
      </c>
      <c r="AU918" s="2211" t="s">
        <v>134</v>
      </c>
      <c r="AV918" s="2209" t="s">
        <v>134</v>
      </c>
      <c r="AW918" s="2209" t="s">
        <v>3171</v>
      </c>
      <c r="AX918" s="2209" t="s">
        <v>3213</v>
      </c>
      <c r="AY918" s="2211" t="s">
        <v>3285</v>
      </c>
    </row>
    <row r="919" spans="2:65" s="2216" customFormat="1">
      <c r="B919" s="2217"/>
      <c r="D919" s="2197" t="s">
        <v>3303</v>
      </c>
      <c r="E919" s="2218" t="s">
        <v>3146</v>
      </c>
      <c r="F919" s="2219" t="s">
        <v>3306</v>
      </c>
      <c r="H919" s="2220">
        <v>1856</v>
      </c>
      <c r="L919" s="2217"/>
      <c r="M919" s="2221"/>
      <c r="T919" s="2222"/>
      <c r="AT919" s="2218" t="s">
        <v>3303</v>
      </c>
      <c r="AU919" s="2218" t="s">
        <v>134</v>
      </c>
      <c r="AV919" s="2216" t="s">
        <v>856</v>
      </c>
      <c r="AW919" s="2216" t="s">
        <v>3171</v>
      </c>
      <c r="AX919" s="2216" t="s">
        <v>133</v>
      </c>
      <c r="AY919" s="2218" t="s">
        <v>3285</v>
      </c>
    </row>
    <row r="920" spans="2:65" s="2209" customFormat="1">
      <c r="B920" s="2210"/>
      <c r="D920" s="2197" t="s">
        <v>3303</v>
      </c>
      <c r="F920" s="2212" t="s">
        <v>10953</v>
      </c>
      <c r="H920" s="2213">
        <v>1948.8</v>
      </c>
      <c r="L920" s="2210"/>
      <c r="M920" s="2214"/>
      <c r="T920" s="2215"/>
      <c r="AT920" s="2211" t="s">
        <v>3303</v>
      </c>
      <c r="AU920" s="2211" t="s">
        <v>134</v>
      </c>
      <c r="AV920" s="2209" t="s">
        <v>134</v>
      </c>
      <c r="AW920" s="2209" t="s">
        <v>3148</v>
      </c>
      <c r="AX920" s="2209" t="s">
        <v>133</v>
      </c>
      <c r="AY920" s="2211" t="s">
        <v>3285</v>
      </c>
    </row>
    <row r="921" spans="2:65" s="2070" customFormat="1" ht="24.2" customHeight="1">
      <c r="B921" s="2164"/>
      <c r="C921" s="4608" t="s">
        <v>4198</v>
      </c>
      <c r="D921" s="4608" t="s">
        <v>3286</v>
      </c>
      <c r="E921" s="4609" t="s">
        <v>10954</v>
      </c>
      <c r="F921" s="4610" t="s">
        <v>10955</v>
      </c>
      <c r="G921" s="4611" t="s">
        <v>611</v>
      </c>
      <c r="H921" s="4612">
        <v>116.1</v>
      </c>
      <c r="I921" s="4613"/>
      <c r="J921" s="4613">
        <f>ROUND(I921*H921,2)</f>
        <v>0</v>
      </c>
      <c r="K921" s="4610" t="s">
        <v>142</v>
      </c>
      <c r="L921" s="2071"/>
      <c r="M921" s="2190" t="s">
        <v>3146</v>
      </c>
      <c r="N921" s="2163" t="s">
        <v>3181</v>
      </c>
      <c r="O921" s="2191">
        <v>0.159</v>
      </c>
      <c r="P921" s="2191">
        <f>O921*H921</f>
        <v>18.459900000000001</v>
      </c>
      <c r="Q921" s="2191">
        <v>5.0000000000000002E-5</v>
      </c>
      <c r="R921" s="2191">
        <f>Q921*H921</f>
        <v>5.8050000000000003E-3</v>
      </c>
      <c r="S921" s="2191">
        <v>0</v>
      </c>
      <c r="T921" s="2192">
        <f>S921*H921</f>
        <v>0</v>
      </c>
      <c r="AR921" s="2193" t="s">
        <v>2894</v>
      </c>
      <c r="AT921" s="2193" t="s">
        <v>3286</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10956</v>
      </c>
    </row>
    <row r="922" spans="2:65" s="2209" customFormat="1">
      <c r="B922" s="2210"/>
      <c r="D922" s="2197" t="s">
        <v>3303</v>
      </c>
      <c r="E922" s="2211" t="s">
        <v>3146</v>
      </c>
      <c r="F922" s="2212" t="s">
        <v>10957</v>
      </c>
      <c r="H922" s="2213">
        <v>116.1</v>
      </c>
      <c r="L922" s="2210"/>
      <c r="M922" s="2214"/>
      <c r="T922" s="2215"/>
      <c r="AT922" s="2211" t="s">
        <v>3303</v>
      </c>
      <c r="AU922" s="2211" t="s">
        <v>134</v>
      </c>
      <c r="AV922" s="2209" t="s">
        <v>134</v>
      </c>
      <c r="AW922" s="2209" t="s">
        <v>3171</v>
      </c>
      <c r="AX922" s="2209" t="s">
        <v>3213</v>
      </c>
      <c r="AY922" s="2211" t="s">
        <v>3285</v>
      </c>
    </row>
    <row r="923" spans="2:65" s="2216" customFormat="1">
      <c r="B923" s="2217"/>
      <c r="D923" s="2197" t="s">
        <v>3303</v>
      </c>
      <c r="E923" s="2218" t="s">
        <v>3146</v>
      </c>
      <c r="F923" s="2219" t="s">
        <v>3306</v>
      </c>
      <c r="H923" s="2220">
        <v>116.1</v>
      </c>
      <c r="L923" s="2217"/>
      <c r="M923" s="2221"/>
      <c r="T923" s="2222"/>
      <c r="AT923" s="2218" t="s">
        <v>3303</v>
      </c>
      <c r="AU923" s="2218" t="s">
        <v>134</v>
      </c>
      <c r="AV923" s="2216" t="s">
        <v>856</v>
      </c>
      <c r="AW923" s="2216" t="s">
        <v>3171</v>
      </c>
      <c r="AX923" s="2216" t="s">
        <v>133</v>
      </c>
      <c r="AY923" s="2218" t="s">
        <v>3285</v>
      </c>
    </row>
    <row r="924" spans="2:65" s="2070" customFormat="1" ht="24.2" customHeight="1">
      <c r="B924" s="2164"/>
      <c r="C924" s="4608" t="s">
        <v>4204</v>
      </c>
      <c r="D924" s="4608" t="s">
        <v>3286</v>
      </c>
      <c r="E924" s="4609" t="s">
        <v>10958</v>
      </c>
      <c r="F924" s="4610" t="s">
        <v>10959</v>
      </c>
      <c r="G924" s="4611" t="s">
        <v>611</v>
      </c>
      <c r="H924" s="4612">
        <v>21.61</v>
      </c>
      <c r="I924" s="4613"/>
      <c r="J924" s="4613">
        <f>ROUND(I924*H924,2)</f>
        <v>0</v>
      </c>
      <c r="K924" s="4610" t="s">
        <v>142</v>
      </c>
      <c r="L924" s="2071"/>
      <c r="M924" s="2190" t="s">
        <v>3146</v>
      </c>
      <c r="N924" s="2163" t="s">
        <v>3181</v>
      </c>
      <c r="O924" s="2191">
        <v>0.159</v>
      </c>
      <c r="P924" s="2191">
        <f>O924*H924</f>
        <v>3.4359899999999999</v>
      </c>
      <c r="Q924" s="2191">
        <v>6.9999999999999994E-5</v>
      </c>
      <c r="R924" s="2191">
        <f>Q924*H924</f>
        <v>1.5126999999999999E-3</v>
      </c>
      <c r="S924" s="2191">
        <v>0</v>
      </c>
      <c r="T924" s="2192">
        <f>S924*H924</f>
        <v>0</v>
      </c>
      <c r="AR924" s="2193" t="s">
        <v>2894</v>
      </c>
      <c r="AT924" s="2193" t="s">
        <v>3286</v>
      </c>
      <c r="AU924" s="2193" t="s">
        <v>134</v>
      </c>
      <c r="AY924" s="2056" t="s">
        <v>3285</v>
      </c>
      <c r="BE924" s="2194">
        <f>IF(N924="základní",J924,0)</f>
        <v>0</v>
      </c>
      <c r="BF924" s="2194">
        <f>IF(N924="snížená",J924,0)</f>
        <v>0</v>
      </c>
      <c r="BG924" s="2194">
        <f>IF(N924="zákl. přenesená",J924,0)</f>
        <v>0</v>
      </c>
      <c r="BH924" s="2194">
        <f>IF(N924="sníž. přenesená",J924,0)</f>
        <v>0</v>
      </c>
      <c r="BI924" s="2194">
        <f>IF(N924="nulová",J924,0)</f>
        <v>0</v>
      </c>
      <c r="BJ924" s="2056" t="s">
        <v>134</v>
      </c>
      <c r="BK924" s="2194">
        <f>ROUND(I924*H924,2)</f>
        <v>0</v>
      </c>
      <c r="BL924" s="2056" t="s">
        <v>2894</v>
      </c>
      <c r="BM924" s="2193" t="s">
        <v>10960</v>
      </c>
    </row>
    <row r="925" spans="2:65" s="2209" customFormat="1">
      <c r="B925" s="2210"/>
      <c r="D925" s="2197" t="s">
        <v>3303</v>
      </c>
      <c r="E925" s="2211" t="s">
        <v>3146</v>
      </c>
      <c r="F925" s="2212" t="s">
        <v>10938</v>
      </c>
      <c r="H925" s="2213">
        <v>21.61</v>
      </c>
      <c r="L925" s="2210"/>
      <c r="M925" s="2214"/>
      <c r="T925" s="2215"/>
      <c r="AT925" s="2211" t="s">
        <v>3303</v>
      </c>
      <c r="AU925" s="2211" t="s">
        <v>134</v>
      </c>
      <c r="AV925" s="2209" t="s">
        <v>134</v>
      </c>
      <c r="AW925" s="2209" t="s">
        <v>3171</v>
      </c>
      <c r="AX925" s="2209" t="s">
        <v>3213</v>
      </c>
      <c r="AY925" s="2211" t="s">
        <v>3285</v>
      </c>
    </row>
    <row r="926" spans="2:65" s="2216" customFormat="1">
      <c r="B926" s="2217"/>
      <c r="D926" s="2197" t="s">
        <v>3303</v>
      </c>
      <c r="E926" s="2218" t="s">
        <v>3146</v>
      </c>
      <c r="F926" s="2219" t="s">
        <v>3306</v>
      </c>
      <c r="H926" s="2220">
        <v>21.61</v>
      </c>
      <c r="L926" s="2217"/>
      <c r="M926" s="2221"/>
      <c r="T926" s="2222"/>
      <c r="AT926" s="2218" t="s">
        <v>3303</v>
      </c>
      <c r="AU926" s="2218" t="s">
        <v>134</v>
      </c>
      <c r="AV926" s="2216" t="s">
        <v>856</v>
      </c>
      <c r="AW926" s="2216" t="s">
        <v>3171</v>
      </c>
      <c r="AX926" s="2216" t="s">
        <v>133</v>
      </c>
      <c r="AY926" s="2218" t="s">
        <v>3285</v>
      </c>
    </row>
    <row r="927" spans="2:65" s="2070" customFormat="1" ht="24.2" customHeight="1">
      <c r="B927" s="2164"/>
      <c r="C927" s="4608" t="s">
        <v>4209</v>
      </c>
      <c r="D927" s="4608" t="s">
        <v>3286</v>
      </c>
      <c r="E927" s="4609" t="s">
        <v>10961</v>
      </c>
      <c r="F927" s="4610" t="s">
        <v>10962</v>
      </c>
      <c r="G927" s="4611" t="s">
        <v>611</v>
      </c>
      <c r="H927" s="4612">
        <v>928</v>
      </c>
      <c r="I927" s="4613"/>
      <c r="J927" s="4613">
        <f>ROUND(I927*H927,2)</f>
        <v>0</v>
      </c>
      <c r="K927" s="4610" t="s">
        <v>142</v>
      </c>
      <c r="L927" s="2071"/>
      <c r="M927" s="2190" t="s">
        <v>3146</v>
      </c>
      <c r="N927" s="2163" t="s">
        <v>3181</v>
      </c>
      <c r="O927" s="2191">
        <v>0.159</v>
      </c>
      <c r="P927" s="2191">
        <f>O927*H927</f>
        <v>147.55199999999999</v>
      </c>
      <c r="Q927" s="2191">
        <v>1E-4</v>
      </c>
      <c r="R927" s="2191">
        <f>Q927*H927</f>
        <v>9.2800000000000007E-2</v>
      </c>
      <c r="S927" s="2191">
        <v>0</v>
      </c>
      <c r="T927" s="2192">
        <f>S927*H927</f>
        <v>0</v>
      </c>
      <c r="AR927" s="2193" t="s">
        <v>2894</v>
      </c>
      <c r="AT927" s="2193" t="s">
        <v>3286</v>
      </c>
      <c r="AU927" s="2193" t="s">
        <v>134</v>
      </c>
      <c r="AY927" s="2056" t="s">
        <v>3285</v>
      </c>
      <c r="BE927" s="2194">
        <f>IF(N927="základní",J927,0)</f>
        <v>0</v>
      </c>
      <c r="BF927" s="2194">
        <f>IF(N927="snížená",J927,0)</f>
        <v>0</v>
      </c>
      <c r="BG927" s="2194">
        <f>IF(N927="zákl. přenesená",J927,0)</f>
        <v>0</v>
      </c>
      <c r="BH927" s="2194">
        <f>IF(N927="sníž. přenesená",J927,0)</f>
        <v>0</v>
      </c>
      <c r="BI927" s="2194">
        <f>IF(N927="nulová",J927,0)</f>
        <v>0</v>
      </c>
      <c r="BJ927" s="2056" t="s">
        <v>134</v>
      </c>
      <c r="BK927" s="2194">
        <f>ROUND(I927*H927,2)</f>
        <v>0</v>
      </c>
      <c r="BL927" s="2056" t="s">
        <v>2894</v>
      </c>
      <c r="BM927" s="2193" t="s">
        <v>10963</v>
      </c>
    </row>
    <row r="928" spans="2:65" s="2209" customFormat="1">
      <c r="B928" s="2210"/>
      <c r="D928" s="2197" t="s">
        <v>3303</v>
      </c>
      <c r="E928" s="2211" t="s">
        <v>3146</v>
      </c>
      <c r="F928" s="2212" t="s">
        <v>10964</v>
      </c>
      <c r="H928" s="2213">
        <v>890</v>
      </c>
      <c r="L928" s="2210"/>
      <c r="M928" s="2214"/>
      <c r="T928" s="2215"/>
      <c r="AT928" s="2211" t="s">
        <v>3303</v>
      </c>
      <c r="AU928" s="2211" t="s">
        <v>134</v>
      </c>
      <c r="AV928" s="2209" t="s">
        <v>134</v>
      </c>
      <c r="AW928" s="2209" t="s">
        <v>3171</v>
      </c>
      <c r="AX928" s="2209" t="s">
        <v>3213</v>
      </c>
      <c r="AY928" s="2211" t="s">
        <v>3285</v>
      </c>
    </row>
    <row r="929" spans="2:65" s="2209" customFormat="1">
      <c r="B929" s="2210"/>
      <c r="D929" s="2197" t="s">
        <v>3303</v>
      </c>
      <c r="E929" s="2211" t="s">
        <v>3146</v>
      </c>
      <c r="F929" s="2212" t="s">
        <v>10965</v>
      </c>
      <c r="H929" s="2213">
        <v>38</v>
      </c>
      <c r="L929" s="2210"/>
      <c r="M929" s="2214"/>
      <c r="T929" s="2215"/>
      <c r="AT929" s="2211" t="s">
        <v>3303</v>
      </c>
      <c r="AU929" s="2211" t="s">
        <v>134</v>
      </c>
      <c r="AV929" s="2209" t="s">
        <v>134</v>
      </c>
      <c r="AW929" s="2209" t="s">
        <v>3171</v>
      </c>
      <c r="AX929" s="2209" t="s">
        <v>3213</v>
      </c>
      <c r="AY929" s="2211" t="s">
        <v>3285</v>
      </c>
    </row>
    <row r="930" spans="2:65" s="2216" customFormat="1">
      <c r="B930" s="2217"/>
      <c r="D930" s="2197" t="s">
        <v>3303</v>
      </c>
      <c r="E930" s="2218" t="s">
        <v>3146</v>
      </c>
      <c r="F930" s="2219" t="s">
        <v>3306</v>
      </c>
      <c r="H930" s="2220">
        <v>928</v>
      </c>
      <c r="L930" s="2217"/>
      <c r="M930" s="2221"/>
      <c r="T930" s="2222"/>
      <c r="AT930" s="2218" t="s">
        <v>3303</v>
      </c>
      <c r="AU930" s="2218" t="s">
        <v>134</v>
      </c>
      <c r="AV930" s="2216" t="s">
        <v>856</v>
      </c>
      <c r="AW930" s="2216" t="s">
        <v>3171</v>
      </c>
      <c r="AX930" s="2216" t="s">
        <v>133</v>
      </c>
      <c r="AY930" s="2218" t="s">
        <v>3285</v>
      </c>
    </row>
    <row r="931" spans="2:65" s="2070" customFormat="1" ht="33" customHeight="1">
      <c r="B931" s="2164"/>
      <c r="C931" s="4608" t="s">
        <v>2092</v>
      </c>
      <c r="D931" s="4608" t="s">
        <v>3286</v>
      </c>
      <c r="E931" s="4609" t="s">
        <v>10966</v>
      </c>
      <c r="F931" s="4610" t="s">
        <v>10967</v>
      </c>
      <c r="G931" s="4611" t="s">
        <v>611</v>
      </c>
      <c r="H931" s="4612">
        <v>1065.71</v>
      </c>
      <c r="I931" s="4613"/>
      <c r="J931" s="4613">
        <f>ROUND(I931*H931,2)</f>
        <v>0</v>
      </c>
      <c r="K931" s="4610" t="s">
        <v>142</v>
      </c>
      <c r="L931" s="2071"/>
      <c r="M931" s="2190" t="s">
        <v>3146</v>
      </c>
      <c r="N931" s="2163" t="s">
        <v>3181</v>
      </c>
      <c r="O931" s="2191">
        <v>0.23200000000000001</v>
      </c>
      <c r="P931" s="2191">
        <f>O931*H931</f>
        <v>247.24472000000003</v>
      </c>
      <c r="Q931" s="2191">
        <v>1.2E-4</v>
      </c>
      <c r="R931" s="2191">
        <f>Q931*H931</f>
        <v>0.1278852</v>
      </c>
      <c r="S931" s="2191">
        <v>0</v>
      </c>
      <c r="T931" s="2192">
        <f>S931*H931</f>
        <v>0</v>
      </c>
      <c r="AR931" s="2193" t="s">
        <v>2894</v>
      </c>
      <c r="AT931" s="2193" t="s">
        <v>3286</v>
      </c>
      <c r="AU931" s="2193" t="s">
        <v>134</v>
      </c>
      <c r="AY931" s="2056" t="s">
        <v>3285</v>
      </c>
      <c r="BE931" s="2194">
        <f>IF(N931="základní",J931,0)</f>
        <v>0</v>
      </c>
      <c r="BF931" s="2194">
        <f>IF(N931="snížená",J931,0)</f>
        <v>0</v>
      </c>
      <c r="BG931" s="2194">
        <f>IF(N931="zákl. přenesená",J931,0)</f>
        <v>0</v>
      </c>
      <c r="BH931" s="2194">
        <f>IF(N931="sníž. přenesená",J931,0)</f>
        <v>0</v>
      </c>
      <c r="BI931" s="2194">
        <f>IF(N931="nulová",J931,0)</f>
        <v>0</v>
      </c>
      <c r="BJ931" s="2056" t="s">
        <v>134</v>
      </c>
      <c r="BK931" s="2194">
        <f>ROUND(I931*H931,2)</f>
        <v>0</v>
      </c>
      <c r="BL931" s="2056" t="s">
        <v>2894</v>
      </c>
      <c r="BM931" s="2193" t="s">
        <v>10968</v>
      </c>
    </row>
    <row r="932" spans="2:65" s="2195" customFormat="1">
      <c r="B932" s="2196"/>
      <c r="D932" s="2197" t="s">
        <v>3303</v>
      </c>
      <c r="E932" s="2198" t="s">
        <v>3146</v>
      </c>
      <c r="F932" s="2199" t="s">
        <v>10837</v>
      </c>
      <c r="H932" s="2198" t="s">
        <v>3146</v>
      </c>
      <c r="L932" s="2196"/>
      <c r="M932" s="2200"/>
      <c r="T932" s="2201"/>
      <c r="AT932" s="2198" t="s">
        <v>3303</v>
      </c>
      <c r="AU932" s="2198" t="s">
        <v>134</v>
      </c>
      <c r="AV932" s="2195" t="s">
        <v>133</v>
      </c>
      <c r="AW932" s="2195" t="s">
        <v>3171</v>
      </c>
      <c r="AX932" s="2195" t="s">
        <v>3213</v>
      </c>
      <c r="AY932" s="2198" t="s">
        <v>3285</v>
      </c>
    </row>
    <row r="933" spans="2:65" s="2209" customFormat="1">
      <c r="B933" s="2210"/>
      <c r="D933" s="2197" t="s">
        <v>3303</v>
      </c>
      <c r="E933" s="2211" t="s">
        <v>3146</v>
      </c>
      <c r="F933" s="2212" t="s">
        <v>10838</v>
      </c>
      <c r="H933" s="2213">
        <v>890</v>
      </c>
      <c r="L933" s="2210"/>
      <c r="M933" s="2214"/>
      <c r="T933" s="2215"/>
      <c r="AT933" s="2211" t="s">
        <v>3303</v>
      </c>
      <c r="AU933" s="2211" t="s">
        <v>134</v>
      </c>
      <c r="AV933" s="2209" t="s">
        <v>134</v>
      </c>
      <c r="AW933" s="2209" t="s">
        <v>3171</v>
      </c>
      <c r="AX933" s="2209" t="s">
        <v>3213</v>
      </c>
      <c r="AY933" s="2211" t="s">
        <v>3285</v>
      </c>
    </row>
    <row r="934" spans="2:65" s="2195" customFormat="1">
      <c r="B934" s="2196"/>
      <c r="D934" s="2197" t="s">
        <v>3303</v>
      </c>
      <c r="E934" s="2198" t="s">
        <v>3146</v>
      </c>
      <c r="F934" s="2199" t="s">
        <v>10839</v>
      </c>
      <c r="H934" s="2198" t="s">
        <v>3146</v>
      </c>
      <c r="L934" s="2196"/>
      <c r="M934" s="2200"/>
      <c r="T934" s="2201"/>
      <c r="AT934" s="2198" t="s">
        <v>3303</v>
      </c>
      <c r="AU934" s="2198" t="s">
        <v>134</v>
      </c>
      <c r="AV934" s="2195" t="s">
        <v>133</v>
      </c>
      <c r="AW934" s="2195" t="s">
        <v>3171</v>
      </c>
      <c r="AX934" s="2195" t="s">
        <v>3213</v>
      </c>
      <c r="AY934" s="2198" t="s">
        <v>3285</v>
      </c>
    </row>
    <row r="935" spans="2:65" s="2209" customFormat="1">
      <c r="B935" s="2210"/>
      <c r="D935" s="2197" t="s">
        <v>3303</v>
      </c>
      <c r="E935" s="2211" t="s">
        <v>3146</v>
      </c>
      <c r="F935" s="2212" t="s">
        <v>685</v>
      </c>
      <c r="H935" s="2213">
        <v>38</v>
      </c>
      <c r="L935" s="2210"/>
      <c r="M935" s="2214"/>
      <c r="T935" s="2215"/>
      <c r="AT935" s="2211" t="s">
        <v>3303</v>
      </c>
      <c r="AU935" s="2211" t="s">
        <v>134</v>
      </c>
      <c r="AV935" s="2209" t="s">
        <v>134</v>
      </c>
      <c r="AW935" s="2209" t="s">
        <v>3171</v>
      </c>
      <c r="AX935" s="2209" t="s">
        <v>3213</v>
      </c>
      <c r="AY935" s="2211" t="s">
        <v>3285</v>
      </c>
    </row>
    <row r="936" spans="2:65" s="2195" customFormat="1">
      <c r="B936" s="2196"/>
      <c r="D936" s="2197" t="s">
        <v>3303</v>
      </c>
      <c r="E936" s="2198" t="s">
        <v>3146</v>
      </c>
      <c r="F936" s="2199" t="s">
        <v>10840</v>
      </c>
      <c r="H936" s="2198" t="s">
        <v>3146</v>
      </c>
      <c r="L936" s="2196"/>
      <c r="M936" s="2200"/>
      <c r="T936" s="2201"/>
      <c r="AT936" s="2198" t="s">
        <v>3303</v>
      </c>
      <c r="AU936" s="2198" t="s">
        <v>134</v>
      </c>
      <c r="AV936" s="2195" t="s">
        <v>133</v>
      </c>
      <c r="AW936" s="2195" t="s">
        <v>3171</v>
      </c>
      <c r="AX936" s="2195" t="s">
        <v>3213</v>
      </c>
      <c r="AY936" s="2198" t="s">
        <v>3285</v>
      </c>
    </row>
    <row r="937" spans="2:65" s="2209" customFormat="1">
      <c r="B937" s="2210"/>
      <c r="D937" s="2197" t="s">
        <v>3303</v>
      </c>
      <c r="E937" s="2211" t="s">
        <v>3146</v>
      </c>
      <c r="F937" s="2212" t="s">
        <v>10841</v>
      </c>
      <c r="H937" s="2213">
        <v>116.1</v>
      </c>
      <c r="L937" s="2210"/>
      <c r="M937" s="2214"/>
      <c r="T937" s="2215"/>
      <c r="AT937" s="2211" t="s">
        <v>3303</v>
      </c>
      <c r="AU937" s="2211" t="s">
        <v>134</v>
      </c>
      <c r="AV937" s="2209" t="s">
        <v>134</v>
      </c>
      <c r="AW937" s="2209" t="s">
        <v>3171</v>
      </c>
      <c r="AX937" s="2209" t="s">
        <v>3213</v>
      </c>
      <c r="AY937" s="2211" t="s">
        <v>3285</v>
      </c>
    </row>
    <row r="938" spans="2:65" s="2195" customFormat="1">
      <c r="B938" s="2196"/>
      <c r="D938" s="2197" t="s">
        <v>3303</v>
      </c>
      <c r="E938" s="2198" t="s">
        <v>3146</v>
      </c>
      <c r="F938" s="2199" t="s">
        <v>10842</v>
      </c>
      <c r="H938" s="2198" t="s">
        <v>3146</v>
      </c>
      <c r="L938" s="2196"/>
      <c r="M938" s="2200"/>
      <c r="T938" s="2201"/>
      <c r="AT938" s="2198" t="s">
        <v>3303</v>
      </c>
      <c r="AU938" s="2198" t="s">
        <v>134</v>
      </c>
      <c r="AV938" s="2195" t="s">
        <v>133</v>
      </c>
      <c r="AW938" s="2195" t="s">
        <v>3171</v>
      </c>
      <c r="AX938" s="2195" t="s">
        <v>3213</v>
      </c>
      <c r="AY938" s="2198" t="s">
        <v>3285</v>
      </c>
    </row>
    <row r="939" spans="2:65" s="2209" customFormat="1">
      <c r="B939" s="2210"/>
      <c r="D939" s="2197" t="s">
        <v>3303</v>
      </c>
      <c r="E939" s="2211" t="s">
        <v>3146</v>
      </c>
      <c r="F939" s="2212" t="s">
        <v>10843</v>
      </c>
      <c r="H939" s="2213">
        <v>21.61</v>
      </c>
      <c r="L939" s="2210"/>
      <c r="M939" s="2214"/>
      <c r="T939" s="2215"/>
      <c r="AT939" s="2211" t="s">
        <v>3303</v>
      </c>
      <c r="AU939" s="2211" t="s">
        <v>134</v>
      </c>
      <c r="AV939" s="2209" t="s">
        <v>134</v>
      </c>
      <c r="AW939" s="2209" t="s">
        <v>3171</v>
      </c>
      <c r="AX939" s="2209" t="s">
        <v>3213</v>
      </c>
      <c r="AY939" s="2211" t="s">
        <v>3285</v>
      </c>
    </row>
    <row r="940" spans="2:65" s="2216" customFormat="1">
      <c r="B940" s="2217"/>
      <c r="D940" s="2197" t="s">
        <v>3303</v>
      </c>
      <c r="E940" s="2218" t="s">
        <v>3146</v>
      </c>
      <c r="F940" s="2219" t="s">
        <v>3306</v>
      </c>
      <c r="H940" s="2220">
        <v>1065.71</v>
      </c>
      <c r="L940" s="2217"/>
      <c r="M940" s="2221"/>
      <c r="T940" s="2222"/>
      <c r="AT940" s="2218" t="s">
        <v>3303</v>
      </c>
      <c r="AU940" s="2218" t="s">
        <v>134</v>
      </c>
      <c r="AV940" s="2216" t="s">
        <v>856</v>
      </c>
      <c r="AW940" s="2216" t="s">
        <v>3171</v>
      </c>
      <c r="AX940" s="2216" t="s">
        <v>133</v>
      </c>
      <c r="AY940" s="2218" t="s">
        <v>3285</v>
      </c>
    </row>
    <row r="941" spans="2:65" s="2070" customFormat="1" ht="16.5" customHeight="1">
      <c r="B941" s="2164"/>
      <c r="C941" s="4614" t="s">
        <v>4222</v>
      </c>
      <c r="D941" s="4614" t="s">
        <v>135</v>
      </c>
      <c r="E941" s="4615" t="s">
        <v>10969</v>
      </c>
      <c r="F941" s="4616" t="s">
        <v>10970</v>
      </c>
      <c r="G941" s="4617" t="s">
        <v>221</v>
      </c>
      <c r="H941" s="4618">
        <v>148.96700000000001</v>
      </c>
      <c r="I941" s="4619"/>
      <c r="J941" s="4619">
        <f>ROUND(I941*H941,2)</f>
        <v>0</v>
      </c>
      <c r="K941" s="4616" t="s">
        <v>3146</v>
      </c>
      <c r="L941" s="2223"/>
      <c r="M941" s="2224" t="s">
        <v>3146</v>
      </c>
      <c r="N941" s="2225" t="s">
        <v>3181</v>
      </c>
      <c r="O941" s="2191">
        <v>0</v>
      </c>
      <c r="P941" s="2191">
        <f>O941*H941</f>
        <v>0</v>
      </c>
      <c r="Q941" s="2191">
        <v>7.4999999999999997E-3</v>
      </c>
      <c r="R941" s="2191">
        <f>Q941*H941</f>
        <v>1.1172525</v>
      </c>
      <c r="S941" s="2191">
        <v>0</v>
      </c>
      <c r="T941" s="2192">
        <f>S941*H941</f>
        <v>0</v>
      </c>
      <c r="AR941" s="2193" t="s">
        <v>3389</v>
      </c>
      <c r="AT941" s="2193" t="s">
        <v>135</v>
      </c>
      <c r="AU941" s="2193" t="s">
        <v>134</v>
      </c>
      <c r="AY941" s="2056" t="s">
        <v>3285</v>
      </c>
      <c r="BE941" s="2194">
        <f>IF(N941="základní",J941,0)</f>
        <v>0</v>
      </c>
      <c r="BF941" s="2194">
        <f>IF(N941="snížená",J941,0)</f>
        <v>0</v>
      </c>
      <c r="BG941" s="2194">
        <f>IF(N941="zákl. přenesená",J941,0)</f>
        <v>0</v>
      </c>
      <c r="BH941" s="2194">
        <f>IF(N941="sníž. přenesená",J941,0)</f>
        <v>0</v>
      </c>
      <c r="BI941" s="2194">
        <f>IF(N941="nulová",J941,0)</f>
        <v>0</v>
      </c>
      <c r="BJ941" s="2056" t="s">
        <v>134</v>
      </c>
      <c r="BK941" s="2194">
        <f>ROUND(I941*H941,2)</f>
        <v>0</v>
      </c>
      <c r="BL941" s="2056" t="s">
        <v>2894</v>
      </c>
      <c r="BM941" s="2193" t="s">
        <v>10971</v>
      </c>
    </row>
    <row r="942" spans="2:65" s="2209" customFormat="1">
      <c r="B942" s="2210"/>
      <c r="D942" s="2197" t="s">
        <v>3303</v>
      </c>
      <c r="E942" s="2211" t="s">
        <v>3146</v>
      </c>
      <c r="F942" s="2212" t="s">
        <v>10972</v>
      </c>
      <c r="H942" s="2213">
        <v>124.6</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10973</v>
      </c>
      <c r="H943" s="2213">
        <v>5.32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10974</v>
      </c>
      <c r="H944" s="2213">
        <v>10.44</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10975</v>
      </c>
      <c r="H945" s="2213">
        <v>1.5129999999999999</v>
      </c>
      <c r="L945" s="2210"/>
      <c r="M945" s="2214"/>
      <c r="T945" s="2215"/>
      <c r="AT945" s="2211" t="s">
        <v>3303</v>
      </c>
      <c r="AU945" s="2211" t="s">
        <v>134</v>
      </c>
      <c r="AV945" s="2209" t="s">
        <v>134</v>
      </c>
      <c r="AW945" s="2209" t="s">
        <v>3171</v>
      </c>
      <c r="AX945" s="2209" t="s">
        <v>3213</v>
      </c>
      <c r="AY945" s="2211" t="s">
        <v>3285</v>
      </c>
    </row>
    <row r="946" spans="2:65" s="2216" customFormat="1">
      <c r="B946" s="2217"/>
      <c r="D946" s="2197" t="s">
        <v>3303</v>
      </c>
      <c r="E946" s="2218" t="s">
        <v>3146</v>
      </c>
      <c r="F946" s="2219" t="s">
        <v>3306</v>
      </c>
      <c r="H946" s="2220">
        <v>141.87299999999999</v>
      </c>
      <c r="L946" s="2217"/>
      <c r="M946" s="2221"/>
      <c r="T946" s="2222"/>
      <c r="AT946" s="2218" t="s">
        <v>3303</v>
      </c>
      <c r="AU946" s="2218" t="s">
        <v>134</v>
      </c>
      <c r="AV946" s="2216" t="s">
        <v>856</v>
      </c>
      <c r="AW946" s="2216" t="s">
        <v>3171</v>
      </c>
      <c r="AX946" s="2216" t="s">
        <v>133</v>
      </c>
      <c r="AY946" s="2218" t="s">
        <v>3285</v>
      </c>
    </row>
    <row r="947" spans="2:65" s="2209" customFormat="1">
      <c r="B947" s="2210"/>
      <c r="D947" s="2197" t="s">
        <v>3303</v>
      </c>
      <c r="F947" s="2212" t="s">
        <v>10976</v>
      </c>
      <c r="H947" s="2213">
        <v>148.96700000000001</v>
      </c>
      <c r="L947" s="2210"/>
      <c r="M947" s="2214"/>
      <c r="T947" s="2215"/>
      <c r="AT947" s="2211" t="s">
        <v>3303</v>
      </c>
      <c r="AU947" s="2211" t="s">
        <v>134</v>
      </c>
      <c r="AV947" s="2209" t="s">
        <v>134</v>
      </c>
      <c r="AW947" s="2209" t="s">
        <v>3148</v>
      </c>
      <c r="AX947" s="2209" t="s">
        <v>133</v>
      </c>
      <c r="AY947" s="2211" t="s">
        <v>3285</v>
      </c>
    </row>
    <row r="948" spans="2:65" s="2070" customFormat="1" ht="24.2" customHeight="1">
      <c r="B948" s="2164"/>
      <c r="C948" s="4608" t="s">
        <v>4226</v>
      </c>
      <c r="D948" s="4608" t="s">
        <v>3286</v>
      </c>
      <c r="E948" s="4609" t="s">
        <v>4385</v>
      </c>
      <c r="F948" s="4610" t="s">
        <v>4386</v>
      </c>
      <c r="G948" s="4611" t="s">
        <v>302</v>
      </c>
      <c r="H948" s="4612">
        <v>34.231999999999999</v>
      </c>
      <c r="I948" s="4613"/>
      <c r="J948" s="4613">
        <f>ROUND(I948*H948,2)</f>
        <v>0</v>
      </c>
      <c r="K948" s="4610" t="s">
        <v>142</v>
      </c>
      <c r="L948" s="2071"/>
      <c r="M948" s="2190" t="s">
        <v>3146</v>
      </c>
      <c r="N948" s="2163" t="s">
        <v>3181</v>
      </c>
      <c r="O948" s="2191">
        <v>1.966</v>
      </c>
      <c r="P948" s="2191">
        <f>O948*H948</f>
        <v>67.300111999999999</v>
      </c>
      <c r="Q948" s="2191">
        <v>0</v>
      </c>
      <c r="R948" s="2191">
        <f>Q948*H948</f>
        <v>0</v>
      </c>
      <c r="S948" s="2191">
        <v>0</v>
      </c>
      <c r="T948" s="2192">
        <f>S948*H948</f>
        <v>0</v>
      </c>
      <c r="AR948" s="2193" t="s">
        <v>2894</v>
      </c>
      <c r="AT948" s="2193" t="s">
        <v>3286</v>
      </c>
      <c r="AU948" s="2193" t="s">
        <v>134</v>
      </c>
      <c r="AY948" s="2056" t="s">
        <v>3285</v>
      </c>
      <c r="BE948" s="2194">
        <f>IF(N948="základní",J948,0)</f>
        <v>0</v>
      </c>
      <c r="BF948" s="2194">
        <f>IF(N948="snížená",J948,0)</f>
        <v>0</v>
      </c>
      <c r="BG948" s="2194">
        <f>IF(N948="zákl. přenesená",J948,0)</f>
        <v>0</v>
      </c>
      <c r="BH948" s="2194">
        <f>IF(N948="sníž. přenesená",J948,0)</f>
        <v>0</v>
      </c>
      <c r="BI948" s="2194">
        <f>IF(N948="nulová",J948,0)</f>
        <v>0</v>
      </c>
      <c r="BJ948" s="2056" t="s">
        <v>134</v>
      </c>
      <c r="BK948" s="2194">
        <f>ROUND(I948*H948,2)</f>
        <v>0</v>
      </c>
      <c r="BL948" s="2056" t="s">
        <v>2894</v>
      </c>
      <c r="BM948" s="2193" t="s">
        <v>10977</v>
      </c>
    </row>
    <row r="949" spans="2:65" s="2070" customFormat="1" ht="24.2" customHeight="1">
      <c r="B949" s="2164"/>
      <c r="C949" s="4608" t="s">
        <v>4230</v>
      </c>
      <c r="D949" s="4608" t="s">
        <v>3286</v>
      </c>
      <c r="E949" s="4609" t="s">
        <v>4388</v>
      </c>
      <c r="F949" s="4610" t="s">
        <v>4389</v>
      </c>
      <c r="G949" s="4611" t="s">
        <v>302</v>
      </c>
      <c r="H949" s="4612">
        <v>34.231999999999999</v>
      </c>
      <c r="I949" s="4613"/>
      <c r="J949" s="4613">
        <f>ROUND(I949*H949,2)</f>
        <v>0</v>
      </c>
      <c r="K949" s="4610" t="s">
        <v>142</v>
      </c>
      <c r="L949" s="2071"/>
      <c r="M949" s="2190" t="s">
        <v>3146</v>
      </c>
      <c r="N949" s="2163" t="s">
        <v>3181</v>
      </c>
      <c r="O949" s="2191">
        <v>1.45</v>
      </c>
      <c r="P949" s="2191">
        <f>O949*H949</f>
        <v>49.636399999999995</v>
      </c>
      <c r="Q949" s="2191">
        <v>0</v>
      </c>
      <c r="R949" s="2191">
        <f>Q949*H949</f>
        <v>0</v>
      </c>
      <c r="S949" s="2191">
        <v>0</v>
      </c>
      <c r="T949" s="2192">
        <f>S949*H949</f>
        <v>0</v>
      </c>
      <c r="AR949" s="2193" t="s">
        <v>2894</v>
      </c>
      <c r="AT949" s="2193" t="s">
        <v>3286</v>
      </c>
      <c r="AU949" s="2193" t="s">
        <v>134</v>
      </c>
      <c r="AY949" s="2056" t="s">
        <v>3285</v>
      </c>
      <c r="BE949" s="2194">
        <f>IF(N949="základní",J949,0)</f>
        <v>0</v>
      </c>
      <c r="BF949" s="2194">
        <f>IF(N949="snížená",J949,0)</f>
        <v>0</v>
      </c>
      <c r="BG949" s="2194">
        <f>IF(N949="zákl. přenesená",J949,0)</f>
        <v>0</v>
      </c>
      <c r="BH949" s="2194">
        <f>IF(N949="sníž. přenesená",J949,0)</f>
        <v>0</v>
      </c>
      <c r="BI949" s="2194">
        <f>IF(N949="nulová",J949,0)</f>
        <v>0</v>
      </c>
      <c r="BJ949" s="2056" t="s">
        <v>134</v>
      </c>
      <c r="BK949" s="2194">
        <f>ROUND(I949*H949,2)</f>
        <v>0</v>
      </c>
      <c r="BL949" s="2056" t="s">
        <v>2894</v>
      </c>
      <c r="BM949" s="2193" t="s">
        <v>10978</v>
      </c>
    </row>
    <row r="950" spans="2:65" s="2178" customFormat="1" ht="22.9" customHeight="1">
      <c r="B950" s="2179"/>
      <c r="D950" s="2180" t="s">
        <v>3212</v>
      </c>
      <c r="E950" s="2188" t="s">
        <v>4038</v>
      </c>
      <c r="F950" s="2188" t="s">
        <v>4039</v>
      </c>
      <c r="J950" s="2189">
        <f>BK950</f>
        <v>0</v>
      </c>
      <c r="L950" s="2179"/>
      <c r="M950" s="2183"/>
      <c r="P950" s="2184">
        <f>SUM(P951:P1018)</f>
        <v>2570.5105400000002</v>
      </c>
      <c r="R950" s="2184">
        <f>SUM(R951:R1018)</f>
        <v>25.375224480000004</v>
      </c>
      <c r="T950" s="2185">
        <f>SUM(T951:T1018)</f>
        <v>0</v>
      </c>
      <c r="AR950" s="2180" t="s">
        <v>134</v>
      </c>
      <c r="AT950" s="2186" t="s">
        <v>3212</v>
      </c>
      <c r="AU950" s="2186" t="s">
        <v>133</v>
      </c>
      <c r="AY950" s="2180" t="s">
        <v>3285</v>
      </c>
      <c r="BK950" s="2187">
        <f>SUM(BK951:BK1018)</f>
        <v>0</v>
      </c>
    </row>
    <row r="951" spans="2:65" s="2070" customFormat="1" ht="24.2" customHeight="1">
      <c r="B951" s="2164"/>
      <c r="C951" s="4608" t="s">
        <v>4234</v>
      </c>
      <c r="D951" s="4608" t="s">
        <v>3286</v>
      </c>
      <c r="E951" s="4609" t="s">
        <v>4041</v>
      </c>
      <c r="F951" s="4610" t="s">
        <v>4042</v>
      </c>
      <c r="G951" s="4611" t="s">
        <v>611</v>
      </c>
      <c r="H951" s="4612">
        <v>73.575999999999993</v>
      </c>
      <c r="I951" s="4613"/>
      <c r="J951" s="4613">
        <f>ROUND(I951*H951,2)</f>
        <v>0</v>
      </c>
      <c r="K951" s="4610" t="s">
        <v>142</v>
      </c>
      <c r="L951" s="2071"/>
      <c r="M951" s="2190" t="s">
        <v>3146</v>
      </c>
      <c r="N951" s="2163" t="s">
        <v>3181</v>
      </c>
      <c r="O951" s="2191">
        <v>0.96799999999999997</v>
      </c>
      <c r="P951" s="2191">
        <f>O951*H951</f>
        <v>71.221567999999991</v>
      </c>
      <c r="Q951" s="2191">
        <v>1.3849999999999999E-2</v>
      </c>
      <c r="R951" s="2191">
        <f>Q951*H951</f>
        <v>1.0190275999999998</v>
      </c>
      <c r="S951" s="2191">
        <v>0</v>
      </c>
      <c r="T951" s="2192">
        <f>S951*H951</f>
        <v>0</v>
      </c>
      <c r="AR951" s="2193" t="s">
        <v>2894</v>
      </c>
      <c r="AT951" s="2193" t="s">
        <v>3286</v>
      </c>
      <c r="AU951" s="2193" t="s">
        <v>134</v>
      </c>
      <c r="AY951" s="2056" t="s">
        <v>3285</v>
      </c>
      <c r="BE951" s="2194">
        <f>IF(N951="základní",J951,0)</f>
        <v>0</v>
      </c>
      <c r="BF951" s="2194">
        <f>IF(N951="snížená",J951,0)</f>
        <v>0</v>
      </c>
      <c r="BG951" s="2194">
        <f>IF(N951="zákl. přenesená",J951,0)</f>
        <v>0</v>
      </c>
      <c r="BH951" s="2194">
        <f>IF(N951="sníž. přenesená",J951,0)</f>
        <v>0</v>
      </c>
      <c r="BI951" s="2194">
        <f>IF(N951="nulová",J951,0)</f>
        <v>0</v>
      </c>
      <c r="BJ951" s="2056" t="s">
        <v>134</v>
      </c>
      <c r="BK951" s="2194">
        <f>ROUND(I951*H951,2)</f>
        <v>0</v>
      </c>
      <c r="BL951" s="2056" t="s">
        <v>2894</v>
      </c>
      <c r="BM951" s="2193" t="s">
        <v>4043</v>
      </c>
    </row>
    <row r="952" spans="2:65" s="2195" customFormat="1">
      <c r="B952" s="2196"/>
      <c r="D952" s="2197" t="s">
        <v>3303</v>
      </c>
      <c r="E952" s="2198" t="s">
        <v>3146</v>
      </c>
      <c r="F952" s="2199" t="s">
        <v>3580</v>
      </c>
      <c r="H952" s="2198" t="s">
        <v>3146</v>
      </c>
      <c r="L952" s="2196"/>
      <c r="M952" s="2200"/>
      <c r="T952" s="2201"/>
      <c r="AT952" s="2198" t="s">
        <v>3303</v>
      </c>
      <c r="AU952" s="2198" t="s">
        <v>134</v>
      </c>
      <c r="AV952" s="2195" t="s">
        <v>133</v>
      </c>
      <c r="AW952" s="2195" t="s">
        <v>3171</v>
      </c>
      <c r="AX952" s="2195" t="s">
        <v>3213</v>
      </c>
      <c r="AY952" s="2198" t="s">
        <v>3285</v>
      </c>
    </row>
    <row r="953" spans="2:65" s="2209" customFormat="1">
      <c r="B953" s="2210"/>
      <c r="D953" s="2197" t="s">
        <v>3303</v>
      </c>
      <c r="E953" s="2211" t="s">
        <v>3146</v>
      </c>
      <c r="F953" s="2212" t="s">
        <v>4044</v>
      </c>
      <c r="H953" s="2213">
        <v>73.575999999999993</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73.575999999999993</v>
      </c>
      <c r="L954" s="2217"/>
      <c r="M954" s="2221"/>
      <c r="T954" s="2222"/>
      <c r="AT954" s="2218" t="s">
        <v>3303</v>
      </c>
      <c r="AU954" s="2218" t="s">
        <v>134</v>
      </c>
      <c r="AV954" s="2216" t="s">
        <v>856</v>
      </c>
      <c r="AW954" s="2216" t="s">
        <v>3171</v>
      </c>
      <c r="AX954" s="2216" t="s">
        <v>133</v>
      </c>
      <c r="AY954" s="2218" t="s">
        <v>3285</v>
      </c>
    </row>
    <row r="955" spans="2:65" s="2070" customFormat="1" ht="24.2" customHeight="1">
      <c r="B955" s="2164"/>
      <c r="C955" s="4608" t="s">
        <v>4238</v>
      </c>
      <c r="D955" s="4608" t="s">
        <v>3286</v>
      </c>
      <c r="E955" s="4609" t="s">
        <v>4054</v>
      </c>
      <c r="F955" s="4610" t="s">
        <v>4055</v>
      </c>
      <c r="G955" s="4611" t="s">
        <v>611</v>
      </c>
      <c r="H955" s="4612">
        <v>126.68</v>
      </c>
      <c r="I955" s="4613"/>
      <c r="J955" s="4613">
        <f>ROUND(I955*H955,2)</f>
        <v>0</v>
      </c>
      <c r="K955" s="4610" t="s">
        <v>142</v>
      </c>
      <c r="L955" s="2071"/>
      <c r="M955" s="2190" t="s">
        <v>3146</v>
      </c>
      <c r="N955" s="2163" t="s">
        <v>3181</v>
      </c>
      <c r="O955" s="2191">
        <v>1.04</v>
      </c>
      <c r="P955" s="2191">
        <f>O955*H955</f>
        <v>131.74720000000002</v>
      </c>
      <c r="Q955" s="2191">
        <v>1.6080000000000001E-2</v>
      </c>
      <c r="R955" s="2191">
        <f>Q955*H955</f>
        <v>2.0370144000000003</v>
      </c>
      <c r="S955" s="2191">
        <v>0</v>
      </c>
      <c r="T955" s="2192">
        <f>S955*H955</f>
        <v>0</v>
      </c>
      <c r="AR955" s="2193" t="s">
        <v>2894</v>
      </c>
      <c r="AT955" s="2193" t="s">
        <v>3286</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4056</v>
      </c>
    </row>
    <row r="956" spans="2:65" s="2195" customFormat="1">
      <c r="B956" s="2196"/>
      <c r="D956" s="2197" t="s">
        <v>3303</v>
      </c>
      <c r="E956" s="2198" t="s">
        <v>3146</v>
      </c>
      <c r="F956" s="2199" t="s">
        <v>3661</v>
      </c>
      <c r="H956" s="2198" t="s">
        <v>3146</v>
      </c>
      <c r="L956" s="2196"/>
      <c r="M956" s="2200"/>
      <c r="T956" s="2201"/>
      <c r="AT956" s="2198" t="s">
        <v>3303</v>
      </c>
      <c r="AU956" s="2198" t="s">
        <v>134</v>
      </c>
      <c r="AV956" s="2195" t="s">
        <v>133</v>
      </c>
      <c r="AW956" s="2195" t="s">
        <v>3171</v>
      </c>
      <c r="AX956" s="2195" t="s">
        <v>3213</v>
      </c>
      <c r="AY956" s="2198" t="s">
        <v>3285</v>
      </c>
    </row>
    <row r="957" spans="2:65" s="2209" customFormat="1">
      <c r="B957" s="2210"/>
      <c r="D957" s="2197" t="s">
        <v>3303</v>
      </c>
      <c r="E957" s="2211" t="s">
        <v>3146</v>
      </c>
      <c r="F957" s="2212" t="s">
        <v>4057</v>
      </c>
      <c r="H957" s="2213">
        <v>43.027999999999999</v>
      </c>
      <c r="L957" s="2210"/>
      <c r="M957" s="2214"/>
      <c r="T957" s="2215"/>
      <c r="AT957" s="2211" t="s">
        <v>3303</v>
      </c>
      <c r="AU957" s="2211" t="s">
        <v>134</v>
      </c>
      <c r="AV957" s="2209" t="s">
        <v>134</v>
      </c>
      <c r="AW957" s="2209" t="s">
        <v>3171</v>
      </c>
      <c r="AX957" s="2209" t="s">
        <v>3213</v>
      </c>
      <c r="AY957" s="2211" t="s">
        <v>3285</v>
      </c>
    </row>
    <row r="958" spans="2:65" s="2195" customFormat="1">
      <c r="B958" s="2196"/>
      <c r="D958" s="2197" t="s">
        <v>3303</v>
      </c>
      <c r="E958" s="2198" t="s">
        <v>3146</v>
      </c>
      <c r="F958" s="2199" t="s">
        <v>3578</v>
      </c>
      <c r="H958" s="2198" t="s">
        <v>3146</v>
      </c>
      <c r="L958" s="2196"/>
      <c r="M958" s="2200"/>
      <c r="T958" s="2201"/>
      <c r="AT958" s="2198" t="s">
        <v>3303</v>
      </c>
      <c r="AU958" s="2198" t="s">
        <v>134</v>
      </c>
      <c r="AV958" s="2195" t="s">
        <v>133</v>
      </c>
      <c r="AW958" s="2195" t="s">
        <v>3171</v>
      </c>
      <c r="AX958" s="2195" t="s">
        <v>3213</v>
      </c>
      <c r="AY958" s="2198" t="s">
        <v>3285</v>
      </c>
    </row>
    <row r="959" spans="2:65" s="2209" customFormat="1">
      <c r="B959" s="2210"/>
      <c r="D959" s="2197" t="s">
        <v>3303</v>
      </c>
      <c r="E959" s="2211" t="s">
        <v>3146</v>
      </c>
      <c r="F959" s="2212" t="s">
        <v>4058</v>
      </c>
      <c r="H959" s="2213">
        <v>83.652000000000001</v>
      </c>
      <c r="L959" s="2210"/>
      <c r="M959" s="2214"/>
      <c r="T959" s="2215"/>
      <c r="AT959" s="2211" t="s">
        <v>3303</v>
      </c>
      <c r="AU959" s="2211" t="s">
        <v>134</v>
      </c>
      <c r="AV959" s="2209" t="s">
        <v>134</v>
      </c>
      <c r="AW959" s="2209" t="s">
        <v>3171</v>
      </c>
      <c r="AX959" s="2209" t="s">
        <v>3213</v>
      </c>
      <c r="AY959" s="2211" t="s">
        <v>3285</v>
      </c>
    </row>
    <row r="960" spans="2:65" s="2195" customFormat="1">
      <c r="B960" s="2196"/>
      <c r="D960" s="2197" t="s">
        <v>3303</v>
      </c>
      <c r="E960" s="2198" t="s">
        <v>3146</v>
      </c>
      <c r="F960" s="2199" t="s">
        <v>4059</v>
      </c>
      <c r="H960" s="2198" t="s">
        <v>3146</v>
      </c>
      <c r="L960" s="2196"/>
      <c r="M960" s="2200"/>
      <c r="T960" s="2201"/>
      <c r="AT960" s="2198" t="s">
        <v>3303</v>
      </c>
      <c r="AU960" s="2198" t="s">
        <v>134</v>
      </c>
      <c r="AV960" s="2195" t="s">
        <v>133</v>
      </c>
      <c r="AW960" s="2195" t="s">
        <v>3171</v>
      </c>
      <c r="AX960" s="2195" t="s">
        <v>3213</v>
      </c>
      <c r="AY960" s="2198" t="s">
        <v>3285</v>
      </c>
    </row>
    <row r="961" spans="2:65" s="2216" customFormat="1">
      <c r="B961" s="2217"/>
      <c r="D961" s="2197" t="s">
        <v>3303</v>
      </c>
      <c r="E961" s="2218" t="s">
        <v>3146</v>
      </c>
      <c r="F961" s="2219" t="s">
        <v>3306</v>
      </c>
      <c r="H961" s="2220">
        <v>126.68</v>
      </c>
      <c r="L961" s="2217"/>
      <c r="M961" s="2221"/>
      <c r="T961" s="2222"/>
      <c r="AT961" s="2218" t="s">
        <v>3303</v>
      </c>
      <c r="AU961" s="2218" t="s">
        <v>134</v>
      </c>
      <c r="AV961" s="2216" t="s">
        <v>856</v>
      </c>
      <c r="AW961" s="2216" t="s">
        <v>3171</v>
      </c>
      <c r="AX961" s="2216" t="s">
        <v>133</v>
      </c>
      <c r="AY961" s="2218" t="s">
        <v>3285</v>
      </c>
    </row>
    <row r="962" spans="2:65" s="2070" customFormat="1" ht="33" customHeight="1">
      <c r="B962" s="2164"/>
      <c r="C962" s="4608" t="s">
        <v>4244</v>
      </c>
      <c r="D962" s="4608" t="s">
        <v>3286</v>
      </c>
      <c r="E962" s="4609" t="s">
        <v>4061</v>
      </c>
      <c r="F962" s="4610" t="s">
        <v>4062</v>
      </c>
      <c r="G962" s="4611" t="s">
        <v>611</v>
      </c>
      <c r="H962" s="4612">
        <v>926.29899999999998</v>
      </c>
      <c r="I962" s="4613"/>
      <c r="J962" s="4613">
        <f>ROUND(I962*H962,2)</f>
        <v>0</v>
      </c>
      <c r="K962" s="4610" t="s">
        <v>142</v>
      </c>
      <c r="L962" s="2071"/>
      <c r="M962" s="2190" t="s">
        <v>3146</v>
      </c>
      <c r="N962" s="2163" t="s">
        <v>3181</v>
      </c>
      <c r="O962" s="2191">
        <v>1.04</v>
      </c>
      <c r="P962" s="2191">
        <f>O962*H962</f>
        <v>963.35095999999999</v>
      </c>
      <c r="Q962" s="2191">
        <v>1.525E-2</v>
      </c>
      <c r="R962" s="2191">
        <f>Q962*H962</f>
        <v>14.12605975</v>
      </c>
      <c r="S962" s="2191">
        <v>0</v>
      </c>
      <c r="T962" s="2192">
        <f>S962*H962</f>
        <v>0</v>
      </c>
      <c r="AR962" s="2193" t="s">
        <v>2894</v>
      </c>
      <c r="AT962" s="2193" t="s">
        <v>3286</v>
      </c>
      <c r="AU962" s="2193" t="s">
        <v>134</v>
      </c>
      <c r="AY962" s="2056" t="s">
        <v>3285</v>
      </c>
      <c r="BE962" s="2194">
        <f>IF(N962="základní",J962,0)</f>
        <v>0</v>
      </c>
      <c r="BF962" s="2194">
        <f>IF(N962="snížená",J962,0)</f>
        <v>0</v>
      </c>
      <c r="BG962" s="2194">
        <f>IF(N962="zákl. přenesená",J962,0)</f>
        <v>0</v>
      </c>
      <c r="BH962" s="2194">
        <f>IF(N962="sníž. přenesená",J962,0)</f>
        <v>0</v>
      </c>
      <c r="BI962" s="2194">
        <f>IF(N962="nulová",J962,0)</f>
        <v>0</v>
      </c>
      <c r="BJ962" s="2056" t="s">
        <v>134</v>
      </c>
      <c r="BK962" s="2194">
        <f>ROUND(I962*H962,2)</f>
        <v>0</v>
      </c>
      <c r="BL962" s="2056" t="s">
        <v>2894</v>
      </c>
      <c r="BM962" s="2193" t="s">
        <v>4063</v>
      </c>
    </row>
    <row r="963" spans="2:65" s="2195" customFormat="1">
      <c r="B963" s="2196"/>
      <c r="D963" s="2197" t="s">
        <v>3303</v>
      </c>
      <c r="E963" s="2198" t="s">
        <v>3146</v>
      </c>
      <c r="F963" s="2199" t="s">
        <v>3661</v>
      </c>
      <c r="H963" s="2198" t="s">
        <v>3146</v>
      </c>
      <c r="L963" s="2196"/>
      <c r="M963" s="2200"/>
      <c r="T963" s="2201"/>
      <c r="AT963" s="2198" t="s">
        <v>3303</v>
      </c>
      <c r="AU963" s="2198" t="s">
        <v>134</v>
      </c>
      <c r="AV963" s="2195" t="s">
        <v>133</v>
      </c>
      <c r="AW963" s="2195" t="s">
        <v>3171</v>
      </c>
      <c r="AX963" s="2195" t="s">
        <v>3213</v>
      </c>
      <c r="AY963" s="2198" t="s">
        <v>3285</v>
      </c>
    </row>
    <row r="964" spans="2:65" s="2209" customFormat="1">
      <c r="B964" s="2210"/>
      <c r="D964" s="2197" t="s">
        <v>3303</v>
      </c>
      <c r="E964" s="2211" t="s">
        <v>3146</v>
      </c>
      <c r="F964" s="2212" t="s">
        <v>4064</v>
      </c>
      <c r="H964" s="2213">
        <v>330.221</v>
      </c>
      <c r="L964" s="2210"/>
      <c r="M964" s="2214"/>
      <c r="T964" s="2215"/>
      <c r="AT964" s="2211" t="s">
        <v>3303</v>
      </c>
      <c r="AU964" s="2211" t="s">
        <v>134</v>
      </c>
      <c r="AV964" s="2209" t="s">
        <v>134</v>
      </c>
      <c r="AW964" s="2209" t="s">
        <v>3171</v>
      </c>
      <c r="AX964" s="2209" t="s">
        <v>3213</v>
      </c>
      <c r="AY964" s="2211" t="s">
        <v>3285</v>
      </c>
    </row>
    <row r="965" spans="2:65" s="2195" customFormat="1">
      <c r="B965" s="2196"/>
      <c r="D965" s="2197" t="s">
        <v>3303</v>
      </c>
      <c r="E965" s="2198" t="s">
        <v>3146</v>
      </c>
      <c r="F965" s="2199" t="s">
        <v>3578</v>
      </c>
      <c r="H965" s="2198" t="s">
        <v>3146</v>
      </c>
      <c r="L965" s="2196"/>
      <c r="M965" s="2200"/>
      <c r="T965" s="2201"/>
      <c r="AT965" s="2198" t="s">
        <v>3303</v>
      </c>
      <c r="AU965" s="2198" t="s">
        <v>134</v>
      </c>
      <c r="AV965" s="2195" t="s">
        <v>133</v>
      </c>
      <c r="AW965" s="2195" t="s">
        <v>3171</v>
      </c>
      <c r="AX965" s="2195" t="s">
        <v>3213</v>
      </c>
      <c r="AY965" s="2198" t="s">
        <v>3285</v>
      </c>
    </row>
    <row r="966" spans="2:65" s="2209" customFormat="1">
      <c r="B966" s="2210"/>
      <c r="D966" s="2197" t="s">
        <v>3303</v>
      </c>
      <c r="E966" s="2211" t="s">
        <v>3146</v>
      </c>
      <c r="F966" s="2212" t="s">
        <v>4065</v>
      </c>
      <c r="H966" s="2213">
        <v>287.33699999999999</v>
      </c>
      <c r="L966" s="2210"/>
      <c r="M966" s="2214"/>
      <c r="T966" s="2215"/>
      <c r="AT966" s="2211" t="s">
        <v>3303</v>
      </c>
      <c r="AU966" s="2211" t="s">
        <v>134</v>
      </c>
      <c r="AV966" s="2209" t="s">
        <v>134</v>
      </c>
      <c r="AW966" s="2209" t="s">
        <v>3171</v>
      </c>
      <c r="AX966" s="2209" t="s">
        <v>3213</v>
      </c>
      <c r="AY966" s="2211" t="s">
        <v>3285</v>
      </c>
    </row>
    <row r="967" spans="2:65" s="2195" customFormat="1">
      <c r="B967" s="2196"/>
      <c r="D967" s="2197" t="s">
        <v>3303</v>
      </c>
      <c r="E967" s="2198" t="s">
        <v>3146</v>
      </c>
      <c r="F967" s="2199" t="s">
        <v>3580</v>
      </c>
      <c r="H967" s="2198" t="s">
        <v>3146</v>
      </c>
      <c r="L967" s="2196"/>
      <c r="M967" s="2200"/>
      <c r="T967" s="2201"/>
      <c r="AT967" s="2198" t="s">
        <v>3303</v>
      </c>
      <c r="AU967" s="2198" t="s">
        <v>134</v>
      </c>
      <c r="AV967" s="2195" t="s">
        <v>133</v>
      </c>
      <c r="AW967" s="2195" t="s">
        <v>3171</v>
      </c>
      <c r="AX967" s="2195" t="s">
        <v>3213</v>
      </c>
      <c r="AY967" s="2198" t="s">
        <v>3285</v>
      </c>
    </row>
    <row r="968" spans="2:65" s="2209" customFormat="1">
      <c r="B968" s="2210"/>
      <c r="D968" s="2197" t="s">
        <v>3303</v>
      </c>
      <c r="E968" s="2211" t="s">
        <v>3146</v>
      </c>
      <c r="F968" s="2212" t="s">
        <v>4066</v>
      </c>
      <c r="H968" s="2213">
        <v>308.74099999999999</v>
      </c>
      <c r="L968" s="2210"/>
      <c r="M968" s="2214"/>
      <c r="T968" s="2215"/>
      <c r="AT968" s="2211" t="s">
        <v>3303</v>
      </c>
      <c r="AU968" s="2211" t="s">
        <v>134</v>
      </c>
      <c r="AV968" s="2209" t="s">
        <v>134</v>
      </c>
      <c r="AW968" s="2209" t="s">
        <v>3171</v>
      </c>
      <c r="AX968" s="2209" t="s">
        <v>3213</v>
      </c>
      <c r="AY968" s="2211" t="s">
        <v>3285</v>
      </c>
    </row>
    <row r="969" spans="2:65" s="2216" customFormat="1">
      <c r="B969" s="2217"/>
      <c r="D969" s="2197" t="s">
        <v>3303</v>
      </c>
      <c r="E969" s="2218" t="s">
        <v>3146</v>
      </c>
      <c r="F969" s="2219" t="s">
        <v>3306</v>
      </c>
      <c r="H969" s="2220">
        <v>926.29899999999998</v>
      </c>
      <c r="L969" s="2217"/>
      <c r="M969" s="2221"/>
      <c r="T969" s="2222"/>
      <c r="AT969" s="2218" t="s">
        <v>3303</v>
      </c>
      <c r="AU969" s="2218" t="s">
        <v>134</v>
      </c>
      <c r="AV969" s="2216" t="s">
        <v>856</v>
      </c>
      <c r="AW969" s="2216" t="s">
        <v>3171</v>
      </c>
      <c r="AX969" s="2216" t="s">
        <v>133</v>
      </c>
      <c r="AY969" s="2218" t="s">
        <v>3285</v>
      </c>
    </row>
    <row r="970" spans="2:65" s="2070" customFormat="1" ht="16.5" customHeight="1">
      <c r="B970" s="2164"/>
      <c r="C970" s="4608" t="s">
        <v>4248</v>
      </c>
      <c r="D970" s="4608" t="s">
        <v>3286</v>
      </c>
      <c r="E970" s="4609" t="s">
        <v>4068</v>
      </c>
      <c r="F970" s="4610" t="s">
        <v>4069</v>
      </c>
      <c r="G970" s="4611" t="s">
        <v>611</v>
      </c>
      <c r="H970" s="4612">
        <v>1126.5350000000001</v>
      </c>
      <c r="I970" s="4613"/>
      <c r="J970" s="4613">
        <f>ROUND(I970*H970,2)</f>
        <v>0</v>
      </c>
      <c r="K970" s="4610" t="s">
        <v>142</v>
      </c>
      <c r="L970" s="2071"/>
      <c r="M970" s="2190" t="s">
        <v>3146</v>
      </c>
      <c r="N970" s="2163" t="s">
        <v>3181</v>
      </c>
      <c r="O970" s="2191">
        <v>0.04</v>
      </c>
      <c r="P970" s="2191">
        <f>O970*H970</f>
        <v>45.061400000000006</v>
      </c>
      <c r="Q970" s="2191">
        <v>1E-4</v>
      </c>
      <c r="R970" s="2191">
        <f>Q970*H970</f>
        <v>0.11265350000000002</v>
      </c>
      <c r="S970" s="2191">
        <v>0</v>
      </c>
      <c r="T970" s="2192">
        <f>S970*H970</f>
        <v>0</v>
      </c>
      <c r="AR970" s="2193" t="s">
        <v>2894</v>
      </c>
      <c r="AT970" s="2193" t="s">
        <v>3286</v>
      </c>
      <c r="AU970" s="2193" t="s">
        <v>134</v>
      </c>
      <c r="AY970" s="2056" t="s">
        <v>3285</v>
      </c>
      <c r="BE970" s="2194">
        <f>IF(N970="základní",J970,0)</f>
        <v>0</v>
      </c>
      <c r="BF970" s="2194">
        <f>IF(N970="snížená",J970,0)</f>
        <v>0</v>
      </c>
      <c r="BG970" s="2194">
        <f>IF(N970="zákl. přenesená",J970,0)</f>
        <v>0</v>
      </c>
      <c r="BH970" s="2194">
        <f>IF(N970="sníž. přenesená",J970,0)</f>
        <v>0</v>
      </c>
      <c r="BI970" s="2194">
        <f>IF(N970="nulová",J970,0)</f>
        <v>0</v>
      </c>
      <c r="BJ970" s="2056" t="s">
        <v>134</v>
      </c>
      <c r="BK970" s="2194">
        <f>ROUND(I970*H970,2)</f>
        <v>0</v>
      </c>
      <c r="BL970" s="2056" t="s">
        <v>2894</v>
      </c>
      <c r="BM970" s="2193" t="s">
        <v>4070</v>
      </c>
    </row>
    <row r="971" spans="2:65" s="2209" customFormat="1">
      <c r="B971" s="2210"/>
      <c r="D971" s="2197" t="s">
        <v>3303</v>
      </c>
      <c r="E971" s="2211" t="s">
        <v>3146</v>
      </c>
      <c r="F971" s="2212" t="s">
        <v>4071</v>
      </c>
      <c r="H971" s="2213">
        <v>1126.5350000000001</v>
      </c>
      <c r="L971" s="2210"/>
      <c r="M971" s="2214"/>
      <c r="T971" s="2215"/>
      <c r="AT971" s="2211" t="s">
        <v>3303</v>
      </c>
      <c r="AU971" s="2211" t="s">
        <v>134</v>
      </c>
      <c r="AV971" s="2209" t="s">
        <v>134</v>
      </c>
      <c r="AW971" s="2209" t="s">
        <v>3171</v>
      </c>
      <c r="AX971" s="2209" t="s">
        <v>3213</v>
      </c>
      <c r="AY971" s="2211" t="s">
        <v>3285</v>
      </c>
    </row>
    <row r="972" spans="2:65" s="2216" customFormat="1">
      <c r="B972" s="2217"/>
      <c r="D972" s="2197" t="s">
        <v>3303</v>
      </c>
      <c r="E972" s="2218" t="s">
        <v>3146</v>
      </c>
      <c r="F972" s="2219" t="s">
        <v>3306</v>
      </c>
      <c r="H972" s="2220">
        <v>1126.5350000000001</v>
      </c>
      <c r="L972" s="2217"/>
      <c r="M972" s="2221"/>
      <c r="T972" s="2222"/>
      <c r="AT972" s="2218" t="s">
        <v>3303</v>
      </c>
      <c r="AU972" s="2218" t="s">
        <v>134</v>
      </c>
      <c r="AV972" s="2216" t="s">
        <v>856</v>
      </c>
      <c r="AW972" s="2216" t="s">
        <v>3171</v>
      </c>
      <c r="AX972" s="2216" t="s">
        <v>133</v>
      </c>
      <c r="AY972" s="2218" t="s">
        <v>3285</v>
      </c>
    </row>
    <row r="973" spans="2:65" s="2070" customFormat="1" ht="16.5" customHeight="1">
      <c r="B973" s="2164"/>
      <c r="C973" s="4608" t="s">
        <v>4252</v>
      </c>
      <c r="D973" s="4608" t="s">
        <v>3286</v>
      </c>
      <c r="E973" s="4609" t="s">
        <v>10979</v>
      </c>
      <c r="F973" s="4610" t="s">
        <v>10980</v>
      </c>
      <c r="G973" s="4611" t="s">
        <v>611</v>
      </c>
      <c r="H973" s="4612">
        <v>1581.396</v>
      </c>
      <c r="I973" s="4613"/>
      <c r="J973" s="4613">
        <f>ROUND(I973*H973,2)</f>
        <v>0</v>
      </c>
      <c r="K973" s="4610" t="s">
        <v>142</v>
      </c>
      <c r="L973" s="2071"/>
      <c r="M973" s="2190" t="s">
        <v>3146</v>
      </c>
      <c r="N973" s="2163" t="s">
        <v>3181</v>
      </c>
      <c r="O973" s="2191">
        <v>9.9000000000000005E-2</v>
      </c>
      <c r="P973" s="2191">
        <f>O973*H973</f>
        <v>156.55820399999999</v>
      </c>
      <c r="Q973" s="2191">
        <v>0</v>
      </c>
      <c r="R973" s="2191">
        <f>Q973*H973</f>
        <v>0</v>
      </c>
      <c r="S973" s="2191">
        <v>0</v>
      </c>
      <c r="T973" s="2192">
        <f>S973*H973</f>
        <v>0</v>
      </c>
      <c r="AR973" s="2193" t="s">
        <v>2894</v>
      </c>
      <c r="AT973" s="2193" t="s">
        <v>3286</v>
      </c>
      <c r="AU973" s="2193" t="s">
        <v>134</v>
      </c>
      <c r="AY973" s="2056" t="s">
        <v>3285</v>
      </c>
      <c r="BE973" s="2194">
        <f>IF(N973="základní",J973,0)</f>
        <v>0</v>
      </c>
      <c r="BF973" s="2194">
        <f>IF(N973="snížená",J973,0)</f>
        <v>0</v>
      </c>
      <c r="BG973" s="2194">
        <f>IF(N973="zákl. přenesená",J973,0)</f>
        <v>0</v>
      </c>
      <c r="BH973" s="2194">
        <f>IF(N973="sníž. přenesená",J973,0)</f>
        <v>0</v>
      </c>
      <c r="BI973" s="2194">
        <f>IF(N973="nulová",J973,0)</f>
        <v>0</v>
      </c>
      <c r="BJ973" s="2056" t="s">
        <v>134</v>
      </c>
      <c r="BK973" s="2194">
        <f>ROUND(I973*H973,2)</f>
        <v>0</v>
      </c>
      <c r="BL973" s="2056" t="s">
        <v>2894</v>
      </c>
      <c r="BM973" s="2193" t="s">
        <v>10981</v>
      </c>
    </row>
    <row r="974" spans="2:65" s="2209" customFormat="1">
      <c r="B974" s="2210"/>
      <c r="D974" s="2197" t="s">
        <v>3303</v>
      </c>
      <c r="E974" s="2211" t="s">
        <v>3146</v>
      </c>
      <c r="F974" s="2212" t="s">
        <v>10982</v>
      </c>
      <c r="H974" s="2213">
        <v>655.09699999999998</v>
      </c>
      <c r="L974" s="2210"/>
      <c r="M974" s="2214"/>
      <c r="T974" s="2215"/>
      <c r="AT974" s="2211" t="s">
        <v>3303</v>
      </c>
      <c r="AU974" s="2211" t="s">
        <v>134</v>
      </c>
      <c r="AV974" s="2209" t="s">
        <v>134</v>
      </c>
      <c r="AW974" s="2209" t="s">
        <v>3171</v>
      </c>
      <c r="AX974" s="2209" t="s">
        <v>3213</v>
      </c>
      <c r="AY974" s="2211" t="s">
        <v>3285</v>
      </c>
    </row>
    <row r="975" spans="2:65" s="2209" customFormat="1">
      <c r="B975" s="2210"/>
      <c r="D975" s="2197" t="s">
        <v>3303</v>
      </c>
      <c r="E975" s="2211" t="s">
        <v>3146</v>
      </c>
      <c r="F975" s="2212" t="s">
        <v>10983</v>
      </c>
      <c r="H975" s="2213">
        <v>926.29899999999998</v>
      </c>
      <c r="L975" s="2210"/>
      <c r="M975" s="2214"/>
      <c r="T975" s="2215"/>
      <c r="AT975" s="2211" t="s">
        <v>3303</v>
      </c>
      <c r="AU975" s="2211" t="s">
        <v>134</v>
      </c>
      <c r="AV975" s="2209" t="s">
        <v>134</v>
      </c>
      <c r="AW975" s="2209" t="s">
        <v>3171</v>
      </c>
      <c r="AX975" s="2209" t="s">
        <v>3213</v>
      </c>
      <c r="AY975" s="2211" t="s">
        <v>3285</v>
      </c>
    </row>
    <row r="976" spans="2:65" s="2216" customFormat="1">
      <c r="B976" s="2217"/>
      <c r="D976" s="2197" t="s">
        <v>3303</v>
      </c>
      <c r="E976" s="2218" t="s">
        <v>3146</v>
      </c>
      <c r="F976" s="2219" t="s">
        <v>3306</v>
      </c>
      <c r="H976" s="2220">
        <v>1581.396</v>
      </c>
      <c r="L976" s="2217"/>
      <c r="M976" s="2221"/>
      <c r="T976" s="2222"/>
      <c r="AT976" s="2218" t="s">
        <v>3303</v>
      </c>
      <c r="AU976" s="2218" t="s">
        <v>134</v>
      </c>
      <c r="AV976" s="2216" t="s">
        <v>856</v>
      </c>
      <c r="AW976" s="2216" t="s">
        <v>3171</v>
      </c>
      <c r="AX976" s="2216" t="s">
        <v>133</v>
      </c>
      <c r="AY976" s="2218" t="s">
        <v>3285</v>
      </c>
    </row>
    <row r="977" spans="2:65" s="2070" customFormat="1" ht="24.2" customHeight="1">
      <c r="B977" s="2164"/>
      <c r="C977" s="4614" t="s">
        <v>4256</v>
      </c>
      <c r="D977" s="4614" t="s">
        <v>135</v>
      </c>
      <c r="E977" s="4615" t="s">
        <v>10984</v>
      </c>
      <c r="F977" s="4616" t="s">
        <v>10985</v>
      </c>
      <c r="G977" s="4617" t="s">
        <v>611</v>
      </c>
      <c r="H977" s="4618">
        <v>1776.6980000000001</v>
      </c>
      <c r="I977" s="4619"/>
      <c r="J977" s="4619">
        <f>ROUND(I977*H977,2)</f>
        <v>0</v>
      </c>
      <c r="K977" s="4616" t="s">
        <v>142</v>
      </c>
      <c r="L977" s="2223"/>
      <c r="M977" s="2224" t="s">
        <v>3146</v>
      </c>
      <c r="N977" s="2225" t="s">
        <v>3181</v>
      </c>
      <c r="O977" s="2191">
        <v>0</v>
      </c>
      <c r="P977" s="2191">
        <f>O977*H977</f>
        <v>0</v>
      </c>
      <c r="Q977" s="2191">
        <v>1.6000000000000001E-4</v>
      </c>
      <c r="R977" s="2191">
        <f>Q977*H977</f>
        <v>0.28427168000000003</v>
      </c>
      <c r="S977" s="2191">
        <v>0</v>
      </c>
      <c r="T977" s="2192">
        <f>S977*H977</f>
        <v>0</v>
      </c>
      <c r="AR977" s="2193" t="s">
        <v>3389</v>
      </c>
      <c r="AT977" s="2193" t="s">
        <v>135</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10986</v>
      </c>
    </row>
    <row r="978" spans="2:65" s="2209" customFormat="1">
      <c r="B978" s="2210"/>
      <c r="D978" s="2197" t="s">
        <v>3303</v>
      </c>
      <c r="F978" s="2212" t="s">
        <v>10987</v>
      </c>
      <c r="H978" s="2213">
        <v>1776.6980000000001</v>
      </c>
      <c r="L978" s="2210"/>
      <c r="M978" s="2214"/>
      <c r="T978" s="2215"/>
      <c r="AT978" s="2211" t="s">
        <v>3303</v>
      </c>
      <c r="AU978" s="2211" t="s">
        <v>134</v>
      </c>
      <c r="AV978" s="2209" t="s">
        <v>134</v>
      </c>
      <c r="AW978" s="2209" t="s">
        <v>3148</v>
      </c>
      <c r="AX978" s="2209" t="s">
        <v>133</v>
      </c>
      <c r="AY978" s="2211" t="s">
        <v>3285</v>
      </c>
    </row>
    <row r="979" spans="2:65" s="2070" customFormat="1" ht="21.75" customHeight="1">
      <c r="B979" s="2164"/>
      <c r="C979" s="4608" t="s">
        <v>2724</v>
      </c>
      <c r="D979" s="4608" t="s">
        <v>3286</v>
      </c>
      <c r="E979" s="4609" t="s">
        <v>10988</v>
      </c>
      <c r="F979" s="4610" t="s">
        <v>10989</v>
      </c>
      <c r="G979" s="4611" t="s">
        <v>611</v>
      </c>
      <c r="H979" s="4612">
        <v>1126.5350000000001</v>
      </c>
      <c r="I979" s="4613"/>
      <c r="J979" s="4613">
        <f>ROUND(I979*H979,2)</f>
        <v>0</v>
      </c>
      <c r="K979" s="4610" t="s">
        <v>142</v>
      </c>
      <c r="L979" s="2071"/>
      <c r="M979" s="2190" t="s">
        <v>3146</v>
      </c>
      <c r="N979" s="2163" t="s">
        <v>3181</v>
      </c>
      <c r="O979" s="2191">
        <v>0.12</v>
      </c>
      <c r="P979" s="2191">
        <f>O979*H979</f>
        <v>135.1842</v>
      </c>
      <c r="Q979" s="2191">
        <v>6.9999999999999999E-4</v>
      </c>
      <c r="R979" s="2191">
        <f>Q979*H979</f>
        <v>0.78857450000000007</v>
      </c>
      <c r="S979" s="2191">
        <v>0</v>
      </c>
      <c r="T979" s="2192">
        <f>S979*H979</f>
        <v>0</v>
      </c>
      <c r="AR979" s="2193" t="s">
        <v>2894</v>
      </c>
      <c r="AT979" s="2193" t="s">
        <v>3286</v>
      </c>
      <c r="AU979" s="2193" t="s">
        <v>134</v>
      </c>
      <c r="AY979" s="2056" t="s">
        <v>3285</v>
      </c>
      <c r="BE979" s="2194">
        <f>IF(N979="základní",J979,0)</f>
        <v>0</v>
      </c>
      <c r="BF979" s="2194">
        <f>IF(N979="snížená",J979,0)</f>
        <v>0</v>
      </c>
      <c r="BG979" s="2194">
        <f>IF(N979="zákl. přenesená",J979,0)</f>
        <v>0</v>
      </c>
      <c r="BH979" s="2194">
        <f>IF(N979="sníž. přenesená",J979,0)</f>
        <v>0</v>
      </c>
      <c r="BI979" s="2194">
        <f>IF(N979="nulová",J979,0)</f>
        <v>0</v>
      </c>
      <c r="BJ979" s="2056" t="s">
        <v>134</v>
      </c>
      <c r="BK979" s="2194">
        <f>ROUND(I979*H979,2)</f>
        <v>0</v>
      </c>
      <c r="BL979" s="2056" t="s">
        <v>2894</v>
      </c>
      <c r="BM979" s="2193" t="s">
        <v>10990</v>
      </c>
    </row>
    <row r="980" spans="2:65" s="2070" customFormat="1" ht="33" customHeight="1">
      <c r="B980" s="2164"/>
      <c r="C980" s="4608" t="s">
        <v>5782</v>
      </c>
      <c r="D980" s="4608" t="s">
        <v>3286</v>
      </c>
      <c r="E980" s="4609" t="s">
        <v>4073</v>
      </c>
      <c r="F980" s="4610" t="s">
        <v>4074</v>
      </c>
      <c r="G980" s="4611" t="s">
        <v>611</v>
      </c>
      <c r="H980" s="4612">
        <v>763.11099999999999</v>
      </c>
      <c r="I980" s="4613"/>
      <c r="J980" s="4613">
        <f>ROUND(I980*H980,2)</f>
        <v>0</v>
      </c>
      <c r="K980" s="4610" t="s">
        <v>142</v>
      </c>
      <c r="L980" s="2071"/>
      <c r="M980" s="2190" t="s">
        <v>3146</v>
      </c>
      <c r="N980" s="2163" t="s">
        <v>3181</v>
      </c>
      <c r="O980" s="2191">
        <v>0.51800000000000002</v>
      </c>
      <c r="P980" s="2191">
        <f>O980*H980</f>
        <v>395.29149799999999</v>
      </c>
      <c r="Q980" s="2191">
        <v>1.25E-3</v>
      </c>
      <c r="R980" s="2191">
        <f>Q980*H980</f>
        <v>0.95388874999999995</v>
      </c>
      <c r="S980" s="2191">
        <v>0</v>
      </c>
      <c r="T980" s="2192">
        <f>S980*H980</f>
        <v>0</v>
      </c>
      <c r="AR980" s="2193" t="s">
        <v>2894</v>
      </c>
      <c r="AT980" s="2193" t="s">
        <v>3286</v>
      </c>
      <c r="AU980" s="2193" t="s">
        <v>134</v>
      </c>
      <c r="AY980" s="2056" t="s">
        <v>3285</v>
      </c>
      <c r="BE980" s="2194">
        <f>IF(N980="základní",J980,0)</f>
        <v>0</v>
      </c>
      <c r="BF980" s="2194">
        <f>IF(N980="snížená",J980,0)</f>
        <v>0</v>
      </c>
      <c r="BG980" s="2194">
        <f>IF(N980="zákl. přenesená",J980,0)</f>
        <v>0</v>
      </c>
      <c r="BH980" s="2194">
        <f>IF(N980="sníž. přenesená",J980,0)</f>
        <v>0</v>
      </c>
      <c r="BI980" s="2194">
        <f>IF(N980="nulová",J980,0)</f>
        <v>0</v>
      </c>
      <c r="BJ980" s="2056" t="s">
        <v>134</v>
      </c>
      <c r="BK980" s="2194">
        <f>ROUND(I980*H980,2)</f>
        <v>0</v>
      </c>
      <c r="BL980" s="2056" t="s">
        <v>2894</v>
      </c>
      <c r="BM980" s="2193" t="s">
        <v>4075</v>
      </c>
    </row>
    <row r="981" spans="2:65" s="2195" customFormat="1">
      <c r="B981" s="2196"/>
      <c r="D981" s="2197" t="s">
        <v>3303</v>
      </c>
      <c r="E981" s="2198" t="s">
        <v>3146</v>
      </c>
      <c r="F981" s="2199" t="s">
        <v>4076</v>
      </c>
      <c r="H981" s="2198" t="s">
        <v>3146</v>
      </c>
      <c r="L981" s="2196"/>
      <c r="M981" s="2200"/>
      <c r="T981" s="2201"/>
      <c r="AT981" s="2198" t="s">
        <v>3303</v>
      </c>
      <c r="AU981" s="2198" t="s">
        <v>134</v>
      </c>
      <c r="AV981" s="2195" t="s">
        <v>133</v>
      </c>
      <c r="AW981" s="2195" t="s">
        <v>3171</v>
      </c>
      <c r="AX981" s="2195" t="s">
        <v>3213</v>
      </c>
      <c r="AY981" s="2198" t="s">
        <v>3285</v>
      </c>
    </row>
    <row r="982" spans="2:65" s="2209" customFormat="1" ht="33.75">
      <c r="B982" s="2210"/>
      <c r="D982" s="2197" t="s">
        <v>3303</v>
      </c>
      <c r="E982" s="2211" t="s">
        <v>3146</v>
      </c>
      <c r="F982" s="2212" t="s">
        <v>4077</v>
      </c>
      <c r="H982" s="2213">
        <v>284.97000000000003</v>
      </c>
      <c r="L982" s="2210"/>
      <c r="M982" s="2214"/>
      <c r="T982" s="2215"/>
      <c r="AT982" s="2211" t="s">
        <v>3303</v>
      </c>
      <c r="AU982" s="2211" t="s">
        <v>134</v>
      </c>
      <c r="AV982" s="2209" t="s">
        <v>134</v>
      </c>
      <c r="AW982" s="2209" t="s">
        <v>3171</v>
      </c>
      <c r="AX982" s="2209" t="s">
        <v>3213</v>
      </c>
      <c r="AY982" s="2211" t="s">
        <v>3285</v>
      </c>
    </row>
    <row r="983" spans="2:65" s="2209" customFormat="1">
      <c r="B983" s="2210"/>
      <c r="D983" s="2197" t="s">
        <v>3303</v>
      </c>
      <c r="E983" s="2211" t="s">
        <v>3146</v>
      </c>
      <c r="F983" s="2212" t="s">
        <v>4078</v>
      </c>
      <c r="H983" s="2213">
        <v>212.17699999999999</v>
      </c>
      <c r="L983" s="2210"/>
      <c r="M983" s="2214"/>
      <c r="T983" s="2215"/>
      <c r="AT983" s="2211" t="s">
        <v>3303</v>
      </c>
      <c r="AU983" s="2211" t="s">
        <v>134</v>
      </c>
      <c r="AV983" s="2209" t="s">
        <v>134</v>
      </c>
      <c r="AW983" s="2209" t="s">
        <v>3171</v>
      </c>
      <c r="AX983" s="2209" t="s">
        <v>3213</v>
      </c>
      <c r="AY983" s="2211" t="s">
        <v>3285</v>
      </c>
    </row>
    <row r="984" spans="2:65" s="2195" customFormat="1">
      <c r="B984" s="2196"/>
      <c r="D984" s="2197" t="s">
        <v>3303</v>
      </c>
      <c r="E984" s="2198" t="s">
        <v>3146</v>
      </c>
      <c r="F984" s="2199" t="s">
        <v>4079</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4080</v>
      </c>
      <c r="H985" s="2213">
        <v>22.21</v>
      </c>
      <c r="L985" s="2210"/>
      <c r="M985" s="2214"/>
      <c r="T985" s="2215"/>
      <c r="AT985" s="2211" t="s">
        <v>3303</v>
      </c>
      <c r="AU985" s="2211" t="s">
        <v>134</v>
      </c>
      <c r="AV985" s="2209" t="s">
        <v>134</v>
      </c>
      <c r="AW985" s="2209" t="s">
        <v>3171</v>
      </c>
      <c r="AX985" s="2209" t="s">
        <v>3213</v>
      </c>
      <c r="AY985" s="2211" t="s">
        <v>3285</v>
      </c>
    </row>
    <row r="986" spans="2:65" s="2202" customFormat="1">
      <c r="B986" s="2203"/>
      <c r="D986" s="2197" t="s">
        <v>3303</v>
      </c>
      <c r="E986" s="2204" t="s">
        <v>3146</v>
      </c>
      <c r="F986" s="2205" t="s">
        <v>3305</v>
      </c>
      <c r="H986" s="2206">
        <v>519.35699999999997</v>
      </c>
      <c r="L986" s="2203"/>
      <c r="M986" s="2207"/>
      <c r="T986" s="2208"/>
      <c r="AT986" s="2204" t="s">
        <v>3303</v>
      </c>
      <c r="AU986" s="2204" t="s">
        <v>134</v>
      </c>
      <c r="AV986" s="2202" t="s">
        <v>854</v>
      </c>
      <c r="AW986" s="2202" t="s">
        <v>3171</v>
      </c>
      <c r="AX986" s="2202" t="s">
        <v>3213</v>
      </c>
      <c r="AY986" s="2204" t="s">
        <v>3285</v>
      </c>
    </row>
    <row r="987" spans="2:65" s="2209" customFormat="1">
      <c r="B987" s="2210"/>
      <c r="D987" s="2197" t="s">
        <v>3303</v>
      </c>
      <c r="E987" s="2211" t="s">
        <v>3146</v>
      </c>
      <c r="F987" s="2212" t="s">
        <v>4081</v>
      </c>
      <c r="H987" s="2213">
        <v>243.75399999999999</v>
      </c>
      <c r="L987" s="2210"/>
      <c r="M987" s="2214"/>
      <c r="T987" s="2215"/>
      <c r="AT987" s="2211" t="s">
        <v>3303</v>
      </c>
      <c r="AU987" s="2211" t="s">
        <v>134</v>
      </c>
      <c r="AV987" s="2209" t="s">
        <v>134</v>
      </c>
      <c r="AW987" s="2209" t="s">
        <v>3171</v>
      </c>
      <c r="AX987" s="2209" t="s">
        <v>3213</v>
      </c>
      <c r="AY987" s="2211" t="s">
        <v>3285</v>
      </c>
    </row>
    <row r="988" spans="2:65" s="2216" customFormat="1">
      <c r="B988" s="2217"/>
      <c r="D988" s="2197" t="s">
        <v>3303</v>
      </c>
      <c r="E988" s="2218" t="s">
        <v>3146</v>
      </c>
      <c r="F988" s="2219" t="s">
        <v>3306</v>
      </c>
      <c r="H988" s="2220">
        <v>763.11099999999999</v>
      </c>
      <c r="L988" s="2217"/>
      <c r="M988" s="2221"/>
      <c r="T988" s="2222"/>
      <c r="AT988" s="2218" t="s">
        <v>3303</v>
      </c>
      <c r="AU988" s="2218" t="s">
        <v>134</v>
      </c>
      <c r="AV988" s="2216" t="s">
        <v>856</v>
      </c>
      <c r="AW988" s="2216" t="s">
        <v>3171</v>
      </c>
      <c r="AX988" s="2216" t="s">
        <v>133</v>
      </c>
      <c r="AY988" s="2218" t="s">
        <v>3285</v>
      </c>
    </row>
    <row r="989" spans="2:65" s="2070" customFormat="1" ht="37.9" customHeight="1">
      <c r="B989" s="2164"/>
      <c r="C989" s="4614" t="s">
        <v>5786</v>
      </c>
      <c r="D989" s="4614" t="s">
        <v>135</v>
      </c>
      <c r="E989" s="4615" t="s">
        <v>4083</v>
      </c>
      <c r="F989" s="4616" t="s">
        <v>4084</v>
      </c>
      <c r="G989" s="4617" t="s">
        <v>611</v>
      </c>
      <c r="H989" s="4618">
        <v>801.26700000000005</v>
      </c>
      <c r="I989" s="4619"/>
      <c r="J989" s="4619">
        <f>ROUND(I989*H989,2)</f>
        <v>0</v>
      </c>
      <c r="K989" s="4616" t="s">
        <v>142</v>
      </c>
      <c r="L989" s="2223"/>
      <c r="M989" s="2224" t="s">
        <v>3146</v>
      </c>
      <c r="N989" s="2225" t="s">
        <v>3181</v>
      </c>
      <c r="O989" s="2191">
        <v>0</v>
      </c>
      <c r="P989" s="2191">
        <f>O989*H989</f>
        <v>0</v>
      </c>
      <c r="Q989" s="2191">
        <v>1.6000000000000001E-3</v>
      </c>
      <c r="R989" s="2191">
        <f>Q989*H989</f>
        <v>1.2820272000000001</v>
      </c>
      <c r="S989" s="2191">
        <v>0</v>
      </c>
      <c r="T989" s="2192">
        <f>S989*H989</f>
        <v>0</v>
      </c>
      <c r="AR989" s="2193" t="s">
        <v>3389</v>
      </c>
      <c r="AT989" s="2193" t="s">
        <v>135</v>
      </c>
      <c r="AU989" s="2193" t="s">
        <v>134</v>
      </c>
      <c r="AY989" s="2056" t="s">
        <v>3285</v>
      </c>
      <c r="BE989" s="2194">
        <f>IF(N989="základní",J989,0)</f>
        <v>0</v>
      </c>
      <c r="BF989" s="2194">
        <f>IF(N989="snížená",J989,0)</f>
        <v>0</v>
      </c>
      <c r="BG989" s="2194">
        <f>IF(N989="zákl. přenesená",J989,0)</f>
        <v>0</v>
      </c>
      <c r="BH989" s="2194">
        <f>IF(N989="sníž. přenesená",J989,0)</f>
        <v>0</v>
      </c>
      <c r="BI989" s="2194">
        <f>IF(N989="nulová",J989,0)</f>
        <v>0</v>
      </c>
      <c r="BJ989" s="2056" t="s">
        <v>134</v>
      </c>
      <c r="BK989" s="2194">
        <f>ROUND(I989*H989,2)</f>
        <v>0</v>
      </c>
      <c r="BL989" s="2056" t="s">
        <v>2894</v>
      </c>
      <c r="BM989" s="2193" t="s">
        <v>4085</v>
      </c>
    </row>
    <row r="990" spans="2:65" s="2209" customFormat="1">
      <c r="B990" s="2210"/>
      <c r="D990" s="2197" t="s">
        <v>3303</v>
      </c>
      <c r="F990" s="2212" t="s">
        <v>4086</v>
      </c>
      <c r="H990" s="2213">
        <v>801.26700000000005</v>
      </c>
      <c r="L990" s="2210"/>
      <c r="M990" s="2214"/>
      <c r="T990" s="2215"/>
      <c r="AT990" s="2211" t="s">
        <v>3303</v>
      </c>
      <c r="AU990" s="2211" t="s">
        <v>134</v>
      </c>
      <c r="AV990" s="2209" t="s">
        <v>134</v>
      </c>
      <c r="AW990" s="2209" t="s">
        <v>3148</v>
      </c>
      <c r="AX990" s="2209" t="s">
        <v>133</v>
      </c>
      <c r="AY990" s="2211" t="s">
        <v>3285</v>
      </c>
    </row>
    <row r="991" spans="2:65" s="2070" customFormat="1" ht="24.2" customHeight="1">
      <c r="B991" s="2164"/>
      <c r="C991" s="4608" t="s">
        <v>5792</v>
      </c>
      <c r="D991" s="4608" t="s">
        <v>3286</v>
      </c>
      <c r="E991" s="4609" t="s">
        <v>10991</v>
      </c>
      <c r="F991" s="4610" t="s">
        <v>10992</v>
      </c>
      <c r="G991" s="4611" t="s">
        <v>611</v>
      </c>
      <c r="H991" s="4612">
        <v>655.09699999999998</v>
      </c>
      <c r="I991" s="4613"/>
      <c r="J991" s="4613">
        <f>ROUND(I991*H991,2)</f>
        <v>0</v>
      </c>
      <c r="K991" s="4610" t="s">
        <v>142</v>
      </c>
      <c r="L991" s="2071"/>
      <c r="M991" s="2190" t="s">
        <v>3146</v>
      </c>
      <c r="N991" s="2163" t="s">
        <v>3181</v>
      </c>
      <c r="O991" s="2191">
        <v>0.11</v>
      </c>
      <c r="P991" s="2191">
        <f>O991*H991</f>
        <v>72.060670000000002</v>
      </c>
      <c r="Q991" s="2191">
        <v>0</v>
      </c>
      <c r="R991" s="2191">
        <f>Q991*H991</f>
        <v>0</v>
      </c>
      <c r="S991" s="2191">
        <v>0</v>
      </c>
      <c r="T991" s="2192">
        <f>S991*H991</f>
        <v>0</v>
      </c>
      <c r="AR991" s="2193" t="s">
        <v>2894</v>
      </c>
      <c r="AT991" s="2193" t="s">
        <v>3286</v>
      </c>
      <c r="AU991" s="2193" t="s">
        <v>134</v>
      </c>
      <c r="AY991" s="2056" t="s">
        <v>3285</v>
      </c>
      <c r="BE991" s="2194">
        <f>IF(N991="základní",J991,0)</f>
        <v>0</v>
      </c>
      <c r="BF991" s="2194">
        <f>IF(N991="snížená",J991,0)</f>
        <v>0</v>
      </c>
      <c r="BG991" s="2194">
        <f>IF(N991="zákl. přenesená",J991,0)</f>
        <v>0</v>
      </c>
      <c r="BH991" s="2194">
        <f>IF(N991="sníž. přenesená",J991,0)</f>
        <v>0</v>
      </c>
      <c r="BI991" s="2194">
        <f>IF(N991="nulová",J991,0)</f>
        <v>0</v>
      </c>
      <c r="BJ991" s="2056" t="s">
        <v>134</v>
      </c>
      <c r="BK991" s="2194">
        <f>ROUND(I991*H991,2)</f>
        <v>0</v>
      </c>
      <c r="BL991" s="2056" t="s">
        <v>2894</v>
      </c>
      <c r="BM991" s="2193" t="s">
        <v>10993</v>
      </c>
    </row>
    <row r="992" spans="2:65" s="2209" customFormat="1">
      <c r="B992" s="2210"/>
      <c r="D992" s="2197" t="s">
        <v>3303</v>
      </c>
      <c r="E992" s="2211" t="s">
        <v>3146</v>
      </c>
      <c r="F992" s="2212" t="s">
        <v>10994</v>
      </c>
      <c r="H992" s="2213">
        <v>455.93099999999998</v>
      </c>
      <c r="L992" s="2210"/>
      <c r="M992" s="2214"/>
      <c r="T992" s="2215"/>
      <c r="AT992" s="2211" t="s">
        <v>3303</v>
      </c>
      <c r="AU992" s="2211" t="s">
        <v>134</v>
      </c>
      <c r="AV992" s="2209" t="s">
        <v>134</v>
      </c>
      <c r="AW992" s="2209" t="s">
        <v>3171</v>
      </c>
      <c r="AX992" s="2209" t="s">
        <v>3213</v>
      </c>
      <c r="AY992" s="2211" t="s">
        <v>3285</v>
      </c>
    </row>
    <row r="993" spans="2:65" s="2209" customFormat="1">
      <c r="B993" s="2210"/>
      <c r="D993" s="2197" t="s">
        <v>3303</v>
      </c>
      <c r="E993" s="2211" t="s">
        <v>3146</v>
      </c>
      <c r="F993" s="2212" t="s">
        <v>10995</v>
      </c>
      <c r="H993" s="2213">
        <v>108.19</v>
      </c>
      <c r="L993" s="2210"/>
      <c r="M993" s="2214"/>
      <c r="T993" s="2215"/>
      <c r="AT993" s="2211" t="s">
        <v>3303</v>
      </c>
      <c r="AU993" s="2211" t="s">
        <v>134</v>
      </c>
      <c r="AV993" s="2209" t="s">
        <v>134</v>
      </c>
      <c r="AW993" s="2209" t="s">
        <v>3171</v>
      </c>
      <c r="AX993" s="2209" t="s">
        <v>3213</v>
      </c>
      <c r="AY993" s="2211" t="s">
        <v>3285</v>
      </c>
    </row>
    <row r="994" spans="2:65" s="2209" customFormat="1">
      <c r="B994" s="2210"/>
      <c r="D994" s="2197" t="s">
        <v>3303</v>
      </c>
      <c r="E994" s="2211" t="s">
        <v>3146</v>
      </c>
      <c r="F994" s="2212" t="s">
        <v>4044</v>
      </c>
      <c r="H994" s="2213">
        <v>73.575999999999993</v>
      </c>
      <c r="L994" s="2210"/>
      <c r="M994" s="2214"/>
      <c r="T994" s="2215"/>
      <c r="AT994" s="2211" t="s">
        <v>3303</v>
      </c>
      <c r="AU994" s="2211" t="s">
        <v>134</v>
      </c>
      <c r="AV994" s="2209" t="s">
        <v>134</v>
      </c>
      <c r="AW994" s="2209" t="s">
        <v>3171</v>
      </c>
      <c r="AX994" s="2209" t="s">
        <v>3213</v>
      </c>
      <c r="AY994" s="2211" t="s">
        <v>3285</v>
      </c>
    </row>
    <row r="995" spans="2:65" s="2209" customFormat="1">
      <c r="B995" s="2210"/>
      <c r="D995" s="2197" t="s">
        <v>3303</v>
      </c>
      <c r="E995" s="2211" t="s">
        <v>3146</v>
      </c>
      <c r="F995" s="2212" t="s">
        <v>4093</v>
      </c>
      <c r="H995" s="2213">
        <v>17.399999999999999</v>
      </c>
      <c r="L995" s="2210"/>
      <c r="M995" s="2214"/>
      <c r="T995" s="2215"/>
      <c r="AT995" s="2211" t="s">
        <v>3303</v>
      </c>
      <c r="AU995" s="2211" t="s">
        <v>134</v>
      </c>
      <c r="AV995" s="2209" t="s">
        <v>134</v>
      </c>
      <c r="AW995" s="2209" t="s">
        <v>3171</v>
      </c>
      <c r="AX995" s="2209" t="s">
        <v>3213</v>
      </c>
      <c r="AY995" s="2211" t="s">
        <v>3285</v>
      </c>
    </row>
    <row r="996" spans="2:65" s="2216" customFormat="1">
      <c r="B996" s="2217"/>
      <c r="D996" s="2197" t="s">
        <v>3303</v>
      </c>
      <c r="E996" s="2218" t="s">
        <v>3146</v>
      </c>
      <c r="F996" s="2219" t="s">
        <v>3306</v>
      </c>
      <c r="H996" s="2220">
        <v>655.09699999999998</v>
      </c>
      <c r="L996" s="2217"/>
      <c r="M996" s="2221"/>
      <c r="T996" s="2222"/>
      <c r="AT996" s="2218" t="s">
        <v>3303</v>
      </c>
      <c r="AU996" s="2218" t="s">
        <v>134</v>
      </c>
      <c r="AV996" s="2216" t="s">
        <v>856</v>
      </c>
      <c r="AW996" s="2216" t="s">
        <v>3171</v>
      </c>
      <c r="AX996" s="2216" t="s">
        <v>133</v>
      </c>
      <c r="AY996" s="2218" t="s">
        <v>3285</v>
      </c>
    </row>
    <row r="997" spans="2:65" s="2070" customFormat="1" ht="24.2" customHeight="1">
      <c r="B997" s="2164"/>
      <c r="C997" s="4614" t="s">
        <v>5811</v>
      </c>
      <c r="D997" s="4614" t="s">
        <v>135</v>
      </c>
      <c r="E997" s="4615" t="s">
        <v>10996</v>
      </c>
      <c r="F997" s="4616" t="s">
        <v>10997</v>
      </c>
      <c r="G997" s="4617" t="s">
        <v>611</v>
      </c>
      <c r="H997" s="4618">
        <v>687.85199999999998</v>
      </c>
      <c r="I997" s="4619"/>
      <c r="J997" s="4619">
        <f>ROUND(I997*H997,2)</f>
        <v>0</v>
      </c>
      <c r="K997" s="4616" t="s">
        <v>142</v>
      </c>
      <c r="L997" s="2223"/>
      <c r="M997" s="2224" t="s">
        <v>3146</v>
      </c>
      <c r="N997" s="2225" t="s">
        <v>3181</v>
      </c>
      <c r="O997" s="2191">
        <v>0</v>
      </c>
      <c r="P997" s="2191">
        <f>O997*H997</f>
        <v>0</v>
      </c>
      <c r="Q997" s="2191">
        <v>3.0000000000000001E-3</v>
      </c>
      <c r="R997" s="2191">
        <f>Q997*H997</f>
        <v>2.0635560000000002</v>
      </c>
      <c r="S997" s="2191">
        <v>0</v>
      </c>
      <c r="T997" s="2192">
        <f>S997*H997</f>
        <v>0</v>
      </c>
      <c r="AR997" s="2193" t="s">
        <v>3389</v>
      </c>
      <c r="AT997" s="2193" t="s">
        <v>135</v>
      </c>
      <c r="AU997" s="2193" t="s">
        <v>134</v>
      </c>
      <c r="AY997" s="2056" t="s">
        <v>3285</v>
      </c>
      <c r="BE997" s="2194">
        <f>IF(N997="základní",J997,0)</f>
        <v>0</v>
      </c>
      <c r="BF997" s="2194">
        <f>IF(N997="snížená",J997,0)</f>
        <v>0</v>
      </c>
      <c r="BG997" s="2194">
        <f>IF(N997="zákl. přenesená",J997,0)</f>
        <v>0</v>
      </c>
      <c r="BH997" s="2194">
        <f>IF(N997="sníž. přenesená",J997,0)</f>
        <v>0</v>
      </c>
      <c r="BI997" s="2194">
        <f>IF(N997="nulová",J997,0)</f>
        <v>0</v>
      </c>
      <c r="BJ997" s="2056" t="s">
        <v>134</v>
      </c>
      <c r="BK997" s="2194">
        <f>ROUND(I997*H997,2)</f>
        <v>0</v>
      </c>
      <c r="BL997" s="2056" t="s">
        <v>2894</v>
      </c>
      <c r="BM997" s="2193" t="s">
        <v>10998</v>
      </c>
    </row>
    <row r="998" spans="2:65" s="2209" customFormat="1">
      <c r="B998" s="2210"/>
      <c r="D998" s="2197" t="s">
        <v>3303</v>
      </c>
      <c r="F998" s="2212" t="s">
        <v>10999</v>
      </c>
      <c r="H998" s="2213">
        <v>687.85199999999998</v>
      </c>
      <c r="L998" s="2210"/>
      <c r="M998" s="2214"/>
      <c r="T998" s="2215"/>
      <c r="AT998" s="2211" t="s">
        <v>3303</v>
      </c>
      <c r="AU998" s="2211" t="s">
        <v>134</v>
      </c>
      <c r="AV998" s="2209" t="s">
        <v>134</v>
      </c>
      <c r="AW998" s="2209" t="s">
        <v>3148</v>
      </c>
      <c r="AX998" s="2209" t="s">
        <v>133</v>
      </c>
      <c r="AY998" s="2211" t="s">
        <v>3285</v>
      </c>
    </row>
    <row r="999" spans="2:65" s="2070" customFormat="1" ht="33" customHeight="1">
      <c r="B999" s="2164"/>
      <c r="C999" s="4608" t="s">
        <v>5820</v>
      </c>
      <c r="D999" s="4608" t="s">
        <v>3286</v>
      </c>
      <c r="E999" s="4609" t="s">
        <v>11000</v>
      </c>
      <c r="F999" s="4610" t="s">
        <v>11001</v>
      </c>
      <c r="G999" s="4611" t="s">
        <v>611</v>
      </c>
      <c r="H999" s="4612">
        <v>478</v>
      </c>
      <c r="I999" s="4613"/>
      <c r="J999" s="4613">
        <f>ROUND(I999*H999,2)</f>
        <v>0</v>
      </c>
      <c r="K999" s="4610" t="s">
        <v>142</v>
      </c>
      <c r="L999" s="2071"/>
      <c r="M999" s="2190" t="s">
        <v>3146</v>
      </c>
      <c r="N999" s="2163" t="s">
        <v>3181</v>
      </c>
      <c r="O999" s="2191">
        <v>0.57799999999999996</v>
      </c>
      <c r="P999" s="2191">
        <f>O999*H999</f>
        <v>276.28399999999999</v>
      </c>
      <c r="Q999" s="2191">
        <v>1.17E-3</v>
      </c>
      <c r="R999" s="2191">
        <f>Q999*H999</f>
        <v>0.55925999999999998</v>
      </c>
      <c r="S999" s="2191">
        <v>0</v>
      </c>
      <c r="T999" s="2192">
        <f>S999*H999</f>
        <v>0</v>
      </c>
      <c r="AR999" s="2193" t="s">
        <v>2894</v>
      </c>
      <c r="AT999" s="2193" t="s">
        <v>3286</v>
      </c>
      <c r="AU999" s="2193" t="s">
        <v>134</v>
      </c>
      <c r="AY999" s="2056" t="s">
        <v>3285</v>
      </c>
      <c r="BE999" s="2194">
        <f>IF(N999="základní",J999,0)</f>
        <v>0</v>
      </c>
      <c r="BF999" s="2194">
        <f>IF(N999="snížená",J999,0)</f>
        <v>0</v>
      </c>
      <c r="BG999" s="2194">
        <f>IF(N999="zákl. přenesená",J999,0)</f>
        <v>0</v>
      </c>
      <c r="BH999" s="2194">
        <f>IF(N999="sníž. přenesená",J999,0)</f>
        <v>0</v>
      </c>
      <c r="BI999" s="2194">
        <f>IF(N999="nulová",J999,0)</f>
        <v>0</v>
      </c>
      <c r="BJ999" s="2056" t="s">
        <v>134</v>
      </c>
      <c r="BK999" s="2194">
        <f>ROUND(I999*H999,2)</f>
        <v>0</v>
      </c>
      <c r="BL999" s="2056" t="s">
        <v>2894</v>
      </c>
      <c r="BM999" s="2193" t="s">
        <v>11002</v>
      </c>
    </row>
    <row r="1000" spans="2:65" s="2209" customFormat="1">
      <c r="B1000" s="2210"/>
      <c r="D1000" s="2197" t="s">
        <v>3303</v>
      </c>
      <c r="E1000" s="2211" t="s">
        <v>3146</v>
      </c>
      <c r="F1000" s="2212" t="s">
        <v>11003</v>
      </c>
      <c r="H1000" s="2213">
        <v>478</v>
      </c>
      <c r="L1000" s="2210"/>
      <c r="M1000" s="2214"/>
      <c r="T1000" s="2215"/>
      <c r="AT1000" s="2211" t="s">
        <v>3303</v>
      </c>
      <c r="AU1000" s="2211" t="s">
        <v>134</v>
      </c>
      <c r="AV1000" s="2209" t="s">
        <v>134</v>
      </c>
      <c r="AW1000" s="2209" t="s">
        <v>3171</v>
      </c>
      <c r="AX1000" s="2209" t="s">
        <v>133</v>
      </c>
      <c r="AY1000" s="2211" t="s">
        <v>3285</v>
      </c>
    </row>
    <row r="1001" spans="2:65" s="2070" customFormat="1" ht="24.2" customHeight="1">
      <c r="B1001" s="2164"/>
      <c r="C1001" s="4614" t="s">
        <v>5198</v>
      </c>
      <c r="D1001" s="4614" t="s">
        <v>135</v>
      </c>
      <c r="E1001" s="4615" t="s">
        <v>4124</v>
      </c>
      <c r="F1001" s="4616" t="s">
        <v>4125</v>
      </c>
      <c r="G1001" s="4617" t="s">
        <v>611</v>
      </c>
      <c r="H1001" s="4618">
        <v>478.72800000000001</v>
      </c>
      <c r="I1001" s="4619"/>
      <c r="J1001" s="4619">
        <f>ROUND(I1001*H1001,2)</f>
        <v>0</v>
      </c>
      <c r="K1001" s="4616" t="s">
        <v>3146</v>
      </c>
      <c r="L1001" s="2223"/>
      <c r="M1001" s="2224" t="s">
        <v>3146</v>
      </c>
      <c r="N1001" s="2225" t="s">
        <v>3181</v>
      </c>
      <c r="O1001" s="2191">
        <v>0</v>
      </c>
      <c r="P1001" s="2191">
        <f>O1001*H1001</f>
        <v>0</v>
      </c>
      <c r="Q1001" s="2191">
        <v>1.6000000000000001E-3</v>
      </c>
      <c r="R1001" s="2191">
        <f>Q1001*H1001</f>
        <v>0.7659648</v>
      </c>
      <c r="S1001" s="2191">
        <v>0</v>
      </c>
      <c r="T1001" s="2192">
        <f>S1001*H1001</f>
        <v>0</v>
      </c>
      <c r="AR1001" s="2193" t="s">
        <v>3389</v>
      </c>
      <c r="AT1001" s="2193" t="s">
        <v>135</v>
      </c>
      <c r="AU1001" s="2193" t="s">
        <v>134</v>
      </c>
      <c r="AY1001" s="2056" t="s">
        <v>3285</v>
      </c>
      <c r="BE1001" s="2194">
        <f>IF(N1001="základní",J1001,0)</f>
        <v>0</v>
      </c>
      <c r="BF1001" s="2194">
        <f>IF(N1001="snížená",J1001,0)</f>
        <v>0</v>
      </c>
      <c r="BG1001" s="2194">
        <f>IF(N1001="zákl. přenesená",J1001,0)</f>
        <v>0</v>
      </c>
      <c r="BH1001" s="2194">
        <f>IF(N1001="sníž. přenesená",J1001,0)</f>
        <v>0</v>
      </c>
      <c r="BI1001" s="2194">
        <f>IF(N1001="nulová",J1001,0)</f>
        <v>0</v>
      </c>
      <c r="BJ1001" s="2056" t="s">
        <v>134</v>
      </c>
      <c r="BK1001" s="2194">
        <f>ROUND(I1001*H1001,2)</f>
        <v>0</v>
      </c>
      <c r="BL1001" s="2056" t="s">
        <v>2894</v>
      </c>
      <c r="BM1001" s="2193" t="s">
        <v>4126</v>
      </c>
    </row>
    <row r="1002" spans="2:65" s="2209" customFormat="1">
      <c r="B1002" s="2210"/>
      <c r="D1002" s="2197" t="s">
        <v>3303</v>
      </c>
      <c r="F1002" s="2212" t="s">
        <v>4127</v>
      </c>
      <c r="H1002" s="2213">
        <v>478.72800000000001</v>
      </c>
      <c r="L1002" s="2210"/>
      <c r="M1002" s="2214"/>
      <c r="T1002" s="2215"/>
      <c r="AT1002" s="2211" t="s">
        <v>3303</v>
      </c>
      <c r="AU1002" s="2211" t="s">
        <v>134</v>
      </c>
      <c r="AV1002" s="2209" t="s">
        <v>134</v>
      </c>
      <c r="AW1002" s="2209" t="s">
        <v>3148</v>
      </c>
      <c r="AX1002" s="2209" t="s">
        <v>133</v>
      </c>
      <c r="AY1002" s="2211" t="s">
        <v>3285</v>
      </c>
    </row>
    <row r="1003" spans="2:65" s="2070" customFormat="1" ht="24.2" customHeight="1">
      <c r="B1003" s="2164"/>
      <c r="C1003" s="5561" t="s">
        <v>5206</v>
      </c>
      <c r="D1003" s="4608" t="s">
        <v>3286</v>
      </c>
      <c r="E1003" s="4609" t="s">
        <v>4088</v>
      </c>
      <c r="F1003" s="4610" t="s">
        <v>4089</v>
      </c>
      <c r="G1003" s="4611" t="s">
        <v>611</v>
      </c>
      <c r="H1003" s="5568">
        <f>H1005</f>
        <v>156.97</v>
      </c>
      <c r="I1003" s="4613"/>
      <c r="J1003" s="4613">
        <f>ROUND(I1003*H1003,2)</f>
        <v>0</v>
      </c>
      <c r="K1003" s="4610" t="s">
        <v>142</v>
      </c>
      <c r="L1003" s="2071"/>
      <c r="M1003" s="2190" t="s">
        <v>3146</v>
      </c>
      <c r="N1003" s="2163" t="s">
        <v>3181</v>
      </c>
      <c r="O1003" s="2191">
        <v>0.72799999999999998</v>
      </c>
      <c r="P1003" s="2191">
        <f>O1003*H1003</f>
        <v>114.27415999999999</v>
      </c>
      <c r="Q1003" s="2191">
        <v>1.32E-3</v>
      </c>
      <c r="R1003" s="2191">
        <f>Q1003*H1003</f>
        <v>0.20720040000000001</v>
      </c>
      <c r="S1003" s="2191">
        <v>0</v>
      </c>
      <c r="T1003" s="2192">
        <f>S1003*H1003</f>
        <v>0</v>
      </c>
      <c r="AR1003" s="2193" t="s">
        <v>2894</v>
      </c>
      <c r="AT1003" s="2193" t="s">
        <v>3286</v>
      </c>
      <c r="AU1003" s="2193" t="s">
        <v>134</v>
      </c>
      <c r="AY1003" s="2056" t="s">
        <v>3285</v>
      </c>
      <c r="BE1003" s="2194">
        <f>IF(N1003="základní",J1003,0)</f>
        <v>0</v>
      </c>
      <c r="BF1003" s="2194">
        <f>IF(N1003="snížená",J1003,0)</f>
        <v>0</v>
      </c>
      <c r="BG1003" s="2194">
        <f>IF(N1003="zákl. přenesená",J1003,0)</f>
        <v>0</v>
      </c>
      <c r="BH1003" s="2194">
        <f>IF(N1003="sníž. přenesená",J1003,0)</f>
        <v>0</v>
      </c>
      <c r="BI1003" s="2194">
        <f>IF(N1003="nulová",J1003,0)</f>
        <v>0</v>
      </c>
      <c r="BJ1003" s="2056" t="s">
        <v>134</v>
      </c>
      <c r="BK1003" s="2194">
        <f>ROUND(I1003*H1003,2)</f>
        <v>0</v>
      </c>
      <c r="BL1003" s="2056" t="s">
        <v>2894</v>
      </c>
      <c r="BM1003" s="2193" t="s">
        <v>4090</v>
      </c>
    </row>
    <row r="1004" spans="2:65" s="2195" customFormat="1">
      <c r="B1004" s="2196"/>
      <c r="D1004" s="2197" t="s">
        <v>3303</v>
      </c>
      <c r="E1004" s="2198" t="s">
        <v>3146</v>
      </c>
      <c r="F1004" s="2199" t="s">
        <v>4091</v>
      </c>
      <c r="H1004" s="2198" t="s">
        <v>3146</v>
      </c>
      <c r="L1004" s="2196"/>
      <c r="M1004" s="2200"/>
      <c r="T1004" s="2201"/>
      <c r="AT1004" s="2198" t="s">
        <v>3303</v>
      </c>
      <c r="AU1004" s="2198" t="s">
        <v>134</v>
      </c>
      <c r="AV1004" s="2195" t="s">
        <v>133</v>
      </c>
      <c r="AW1004" s="2195" t="s">
        <v>3171</v>
      </c>
      <c r="AX1004" s="2195" t="s">
        <v>3213</v>
      </c>
      <c r="AY1004" s="2198" t="s">
        <v>3285</v>
      </c>
    </row>
    <row r="1005" spans="2:65" s="2209" customFormat="1">
      <c r="B1005" s="2210"/>
      <c r="D1005" s="2197" t="s">
        <v>3303</v>
      </c>
      <c r="E1005" s="2211" t="s">
        <v>3146</v>
      </c>
      <c r="F1005" s="5560" t="s">
        <v>11691</v>
      </c>
      <c r="H1005" s="5569">
        <f>99.11+28.83+29.03</f>
        <v>156.97</v>
      </c>
      <c r="L1005" s="2210"/>
      <c r="M1005" s="2214"/>
      <c r="T1005" s="2215"/>
      <c r="Y1005" s="5611"/>
      <c r="AT1005" s="2211" t="s">
        <v>3303</v>
      </c>
      <c r="AU1005" s="2211" t="s">
        <v>134</v>
      </c>
      <c r="AV1005" s="2209" t="s">
        <v>134</v>
      </c>
      <c r="AW1005" s="2209" t="s">
        <v>3171</v>
      </c>
      <c r="AX1005" s="2209" t="s">
        <v>3213</v>
      </c>
      <c r="AY1005" s="2211" t="s">
        <v>3285</v>
      </c>
    </row>
    <row r="1006" spans="2:65" s="2070" customFormat="1" ht="37.9" customHeight="1">
      <c r="B1006" s="2164"/>
      <c r="C1006" s="5609" t="s">
        <v>5210</v>
      </c>
      <c r="D1006" s="4614" t="s">
        <v>135</v>
      </c>
      <c r="E1006" s="4615" t="s">
        <v>4095</v>
      </c>
      <c r="F1006" s="4616" t="s">
        <v>4096</v>
      </c>
      <c r="G1006" s="4617" t="s">
        <v>611</v>
      </c>
      <c r="H1006" s="5610">
        <f>H1007</f>
        <v>164.8185</v>
      </c>
      <c r="I1006" s="4619"/>
      <c r="J1006" s="4619">
        <f>ROUND(I1006*H1006,2)</f>
        <v>0</v>
      </c>
      <c r="K1006" s="4616" t="s">
        <v>142</v>
      </c>
      <c r="L1006" s="2223"/>
      <c r="M1006" s="2224" t="s">
        <v>3146</v>
      </c>
      <c r="N1006" s="2225" t="s">
        <v>3181</v>
      </c>
      <c r="O1006" s="2191">
        <v>0</v>
      </c>
      <c r="P1006" s="2191">
        <f>O1006*H1006</f>
        <v>0</v>
      </c>
      <c r="Q1006" s="2191">
        <v>3.0000000000000001E-3</v>
      </c>
      <c r="R1006" s="2191">
        <f>Q1006*H1006</f>
        <v>0.49445549999999999</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11004</v>
      </c>
    </row>
    <row r="1007" spans="2:65" s="2209" customFormat="1">
      <c r="B1007" s="2210"/>
      <c r="D1007" s="2197" t="s">
        <v>3303</v>
      </c>
      <c r="F1007" s="5560" t="s">
        <v>11692</v>
      </c>
      <c r="H1007" s="5569">
        <f>156.97*1.05</f>
        <v>164.8185</v>
      </c>
      <c r="L1007" s="2210"/>
      <c r="M1007" s="2214"/>
      <c r="T1007" s="2215"/>
      <c r="AT1007" s="2211" t="s">
        <v>3303</v>
      </c>
      <c r="AU1007" s="2211" t="s">
        <v>134</v>
      </c>
      <c r="AV1007" s="2209" t="s">
        <v>134</v>
      </c>
      <c r="AW1007" s="2209" t="s">
        <v>3148</v>
      </c>
      <c r="AX1007" s="2209" t="s">
        <v>133</v>
      </c>
      <c r="AY1007" s="2211" t="s">
        <v>3285</v>
      </c>
    </row>
    <row r="1008" spans="2:65" s="2070" customFormat="1" ht="37.9" customHeight="1">
      <c r="B1008" s="2164"/>
      <c r="C1008" s="5609" t="s">
        <v>5214</v>
      </c>
      <c r="D1008" s="4614" t="s">
        <v>135</v>
      </c>
      <c r="E1008" s="4615" t="s">
        <v>4095</v>
      </c>
      <c r="F1008" s="4616" t="s">
        <v>4096</v>
      </c>
      <c r="G1008" s="4617" t="s">
        <v>611</v>
      </c>
      <c r="H1008" s="4618">
        <v>138.149</v>
      </c>
      <c r="I1008" s="5710" t="s">
        <v>11578</v>
      </c>
      <c r="J1008" s="5711"/>
      <c r="K1008" s="4616" t="s">
        <v>142</v>
      </c>
      <c r="L1008" s="2223"/>
      <c r="M1008" s="2224" t="s">
        <v>3146</v>
      </c>
      <c r="N1008" s="2225" t="s">
        <v>3181</v>
      </c>
      <c r="O1008" s="2191">
        <v>0</v>
      </c>
      <c r="P1008" s="2191">
        <f>O1008*H1008</f>
        <v>0</v>
      </c>
      <c r="Q1008" s="2191">
        <v>3.0000000000000001E-3</v>
      </c>
      <c r="R1008" s="2191">
        <f>Q1008*H1008</f>
        <v>0.41444700000000001</v>
      </c>
      <c r="S1008" s="2191">
        <v>0</v>
      </c>
      <c r="T1008" s="2192">
        <f>S1008*H1008</f>
        <v>0</v>
      </c>
      <c r="AR1008" s="2193" t="s">
        <v>3389</v>
      </c>
      <c r="AT1008" s="2193" t="s">
        <v>135</v>
      </c>
      <c r="AU1008" s="2193" t="s">
        <v>134</v>
      </c>
      <c r="AY1008" s="2056" t="s">
        <v>3285</v>
      </c>
      <c r="BE1008" s="2194">
        <f>IF(N1008="základní",I1008,0)</f>
        <v>0</v>
      </c>
      <c r="BF1008" s="2194">
        <v>0</v>
      </c>
      <c r="BG1008" s="2194">
        <f>IF(N1008="zákl. přenesená",I1008,0)</f>
        <v>0</v>
      </c>
      <c r="BH1008" s="2194">
        <f>IF(N1008="sníž. přenesená",I1008,0)</f>
        <v>0</v>
      </c>
      <c r="BI1008" s="2194">
        <f>IF(N1008="nulová",I1008,0)</f>
        <v>0</v>
      </c>
      <c r="BJ1008" s="2056" t="s">
        <v>134</v>
      </c>
      <c r="BK1008" s="2194">
        <v>0</v>
      </c>
      <c r="BL1008" s="2056" t="s">
        <v>2894</v>
      </c>
      <c r="BM1008" s="2193" t="s">
        <v>4097</v>
      </c>
    </row>
    <row r="1009" spans="2:65" s="2209" customFormat="1">
      <c r="B1009" s="2210"/>
      <c r="D1009" s="2197" t="s">
        <v>3303</v>
      </c>
      <c r="F1009" s="2212" t="s">
        <v>11696</v>
      </c>
      <c r="H1009" s="2213">
        <v>138.149</v>
      </c>
      <c r="L1009" s="2210"/>
      <c r="M1009" s="2214"/>
      <c r="T1009" s="2215"/>
      <c r="AT1009" s="2211" t="s">
        <v>3303</v>
      </c>
      <c r="AU1009" s="2211" t="s">
        <v>134</v>
      </c>
      <c r="AV1009" s="2209" t="s">
        <v>134</v>
      </c>
      <c r="AW1009" s="2209" t="s">
        <v>3148</v>
      </c>
      <c r="AX1009" s="2209" t="s">
        <v>133</v>
      </c>
      <c r="AY1009" s="2211" t="s">
        <v>3285</v>
      </c>
    </row>
    <row r="1010" spans="2:65" s="2070" customFormat="1" ht="24.2" customHeight="1">
      <c r="B1010" s="2164"/>
      <c r="C1010" s="5561" t="s">
        <v>11697</v>
      </c>
      <c r="D1010" s="5561" t="s">
        <v>3286</v>
      </c>
      <c r="E1010" s="5567" t="s">
        <v>11000</v>
      </c>
      <c r="F1010" s="5566" t="s">
        <v>11001</v>
      </c>
      <c r="G1010" s="5570" t="s">
        <v>611</v>
      </c>
      <c r="H1010" s="5568">
        <f>H1012</f>
        <v>35.07</v>
      </c>
      <c r="I1010" s="5571"/>
      <c r="J1010" s="5571">
        <f>ROUND(I1010*H1010,2)</f>
        <v>0</v>
      </c>
      <c r="K1010" s="5566" t="s">
        <v>142</v>
      </c>
      <c r="L1010" s="2071"/>
      <c r="M1010" s="2190" t="s">
        <v>3146</v>
      </c>
      <c r="N1010" s="2163" t="s">
        <v>3181</v>
      </c>
      <c r="O1010" s="2191">
        <v>0.72799999999999998</v>
      </c>
      <c r="P1010" s="2191">
        <f>O1010*H1010</f>
        <v>25.53096</v>
      </c>
      <c r="Q1010" s="2191">
        <v>1.32E-3</v>
      </c>
      <c r="R1010" s="2191">
        <f>Q1010*H1010</f>
        <v>4.6292399999999997E-2</v>
      </c>
      <c r="S1010" s="2191">
        <v>0</v>
      </c>
      <c r="T1010" s="2192">
        <f>S1010*H1010</f>
        <v>0</v>
      </c>
      <c r="AR1010" s="2193" t="s">
        <v>2894</v>
      </c>
      <c r="AT1010" s="2193" t="s">
        <v>3286</v>
      </c>
      <c r="AU1010" s="2193" t="s">
        <v>134</v>
      </c>
      <c r="AY1010" s="2056" t="s">
        <v>3285</v>
      </c>
      <c r="BE1010" s="2194">
        <f>IF(N1010="základní",J1010,0)</f>
        <v>0</v>
      </c>
      <c r="BF1010" s="2194">
        <v>0</v>
      </c>
      <c r="BG1010" s="2194">
        <f>IF(N1010="zákl. přenesená",J1010,0)</f>
        <v>0</v>
      </c>
      <c r="BH1010" s="2194">
        <f>IF(N1010="sníž. přenesená",J1010,0)</f>
        <v>0</v>
      </c>
      <c r="BI1010" s="2194">
        <f>IF(N1010="nulová",J1010,0)</f>
        <v>0</v>
      </c>
      <c r="BJ1010" s="2056" t="s">
        <v>134</v>
      </c>
      <c r="BK1010" s="2194">
        <f>ROUND(I1010*H1010,2)</f>
        <v>0</v>
      </c>
      <c r="BL1010" s="2056" t="s">
        <v>2894</v>
      </c>
      <c r="BM1010" s="2193" t="s">
        <v>4090</v>
      </c>
    </row>
    <row r="1011" spans="2:65" s="2195" customFormat="1">
      <c r="B1011" s="2196"/>
      <c r="D1011" s="2197" t="s">
        <v>3303</v>
      </c>
      <c r="E1011" s="2198" t="s">
        <v>3146</v>
      </c>
      <c r="F1011" s="2199" t="s">
        <v>4092</v>
      </c>
      <c r="H1011" s="2198" t="s">
        <v>3146</v>
      </c>
      <c r="L1011" s="2196"/>
      <c r="M1011" s="2200"/>
      <c r="T1011" s="2201"/>
      <c r="AT1011" s="2198" t="s">
        <v>3303</v>
      </c>
      <c r="AU1011" s="2198" t="s">
        <v>134</v>
      </c>
      <c r="AV1011" s="2195" t="s">
        <v>133</v>
      </c>
      <c r="AW1011" s="2195" t="s">
        <v>3171</v>
      </c>
      <c r="AX1011" s="2195" t="s">
        <v>3213</v>
      </c>
      <c r="AY1011" s="2198" t="s">
        <v>3285</v>
      </c>
    </row>
    <row r="1012" spans="2:65" s="2209" customFormat="1">
      <c r="B1012" s="2210"/>
      <c r="D1012" s="2197" t="s">
        <v>3303</v>
      </c>
      <c r="E1012" s="2211" t="s">
        <v>3146</v>
      </c>
      <c r="F1012" s="5560" t="s">
        <v>11689</v>
      </c>
      <c r="G1012" s="5574"/>
      <c r="H1012" s="5569">
        <f>17.67+17.4</f>
        <v>35.07</v>
      </c>
      <c r="L1012" s="2210"/>
      <c r="M1012" s="2214"/>
      <c r="T1012" s="2215"/>
      <c r="AT1012" s="2211" t="s">
        <v>3303</v>
      </c>
      <c r="AU1012" s="2211" t="s">
        <v>134</v>
      </c>
      <c r="AV1012" s="2209" t="s">
        <v>134</v>
      </c>
      <c r="AW1012" s="2209" t="s">
        <v>3171</v>
      </c>
      <c r="AX1012" s="2209" t="s">
        <v>3213</v>
      </c>
      <c r="AY1012" s="2211" t="s">
        <v>3285</v>
      </c>
    </row>
    <row r="1013" spans="2:65" s="2070" customFormat="1" ht="37.9" customHeight="1">
      <c r="B1013" s="2164"/>
      <c r="C1013" s="5609" t="s">
        <v>11698</v>
      </c>
      <c r="D1013" s="5609" t="s">
        <v>135</v>
      </c>
      <c r="E1013" s="5612" t="s">
        <v>11699</v>
      </c>
      <c r="F1013" s="5613" t="s">
        <v>11700</v>
      </c>
      <c r="G1013" s="5614" t="s">
        <v>611</v>
      </c>
      <c r="H1013" s="5610">
        <f>H1014</f>
        <v>38.577000000000005</v>
      </c>
      <c r="I1013" s="5615"/>
      <c r="J1013" s="5615">
        <f>ROUND(I1013*H1013,2)</f>
        <v>0</v>
      </c>
      <c r="K1013" s="5613" t="s">
        <v>142</v>
      </c>
      <c r="L1013" s="2223"/>
      <c r="M1013" s="2224" t="s">
        <v>3146</v>
      </c>
      <c r="N1013" s="2225" t="s">
        <v>3181</v>
      </c>
      <c r="O1013" s="2191">
        <v>0</v>
      </c>
      <c r="P1013" s="2191">
        <f>O1013*H1013</f>
        <v>0</v>
      </c>
      <c r="Q1013" s="2191">
        <v>3.0000000000000001E-3</v>
      </c>
      <c r="R1013" s="2191">
        <f>Q1013*H1013</f>
        <v>0.11573100000000001</v>
      </c>
      <c r="S1013" s="2191">
        <v>0</v>
      </c>
      <c r="T1013" s="2192">
        <f>S1013*H1013</f>
        <v>0</v>
      </c>
      <c r="AR1013" s="2193" t="s">
        <v>3389</v>
      </c>
      <c r="AT1013" s="2193" t="s">
        <v>135</v>
      </c>
      <c r="AU1013" s="2193" t="s">
        <v>134</v>
      </c>
      <c r="AY1013" s="2056" t="s">
        <v>3285</v>
      </c>
      <c r="BE1013" s="2194">
        <f>IF(N1013="základní",J1013,0)</f>
        <v>0</v>
      </c>
      <c r="BF1013" s="2194">
        <f>IF(N1013="snížená",J1013,0)</f>
        <v>0</v>
      </c>
      <c r="BG1013" s="2194">
        <f>IF(N1013="zákl. přenesená",J1013,0)</f>
        <v>0</v>
      </c>
      <c r="BH1013" s="2194">
        <f>IF(N1013="sníž. přenesená",J1013,0)</f>
        <v>0</v>
      </c>
      <c r="BI1013" s="2194">
        <f>IF(N1013="nulová",J1013,0)</f>
        <v>0</v>
      </c>
      <c r="BJ1013" s="2056" t="s">
        <v>134</v>
      </c>
      <c r="BK1013" s="2194">
        <f>ROUND(I1013*H1013,2)</f>
        <v>0</v>
      </c>
      <c r="BL1013" s="2056" t="s">
        <v>2894</v>
      </c>
      <c r="BM1013" s="2193" t="s">
        <v>4097</v>
      </c>
    </row>
    <row r="1014" spans="2:65" s="2209" customFormat="1">
      <c r="B1014" s="2210"/>
      <c r="D1014" s="2197" t="s">
        <v>3303</v>
      </c>
      <c r="F1014" s="5560" t="s">
        <v>11690</v>
      </c>
      <c r="G1014" s="5574"/>
      <c r="H1014" s="5569">
        <f>35.07*1.1</f>
        <v>38.577000000000005</v>
      </c>
      <c r="L1014" s="2210"/>
      <c r="M1014" s="2214"/>
      <c r="T1014" s="2215"/>
      <c r="AT1014" s="2211" t="s">
        <v>3303</v>
      </c>
      <c r="AU1014" s="2211" t="s">
        <v>134</v>
      </c>
      <c r="AV1014" s="2209" t="s">
        <v>134</v>
      </c>
      <c r="AW1014" s="2209" t="s">
        <v>3148</v>
      </c>
      <c r="AX1014" s="2209" t="s">
        <v>133</v>
      </c>
      <c r="AY1014" s="2211" t="s">
        <v>3285</v>
      </c>
    </row>
    <row r="1015" spans="2:65" s="2070" customFormat="1" ht="24.2" customHeight="1">
      <c r="B1015" s="2164"/>
      <c r="C1015" s="4608" t="s">
        <v>5218</v>
      </c>
      <c r="D1015" s="4608" t="s">
        <v>3286</v>
      </c>
      <c r="E1015" s="4609" t="s">
        <v>4099</v>
      </c>
      <c r="F1015" s="4610" t="s">
        <v>4100</v>
      </c>
      <c r="G1015" s="4611" t="s">
        <v>141</v>
      </c>
      <c r="H1015" s="4612">
        <v>524</v>
      </c>
      <c r="I1015" s="4613"/>
      <c r="J1015" s="4613">
        <f>ROUND(I1015*H1015,2)</f>
        <v>0</v>
      </c>
      <c r="K1015" s="4610" t="s">
        <v>142</v>
      </c>
      <c r="L1015" s="2071"/>
      <c r="M1015" s="2190" t="s">
        <v>3146</v>
      </c>
      <c r="N1015" s="2163" t="s">
        <v>3181</v>
      </c>
      <c r="O1015" s="2191">
        <v>0.16800000000000001</v>
      </c>
      <c r="P1015" s="2191">
        <f>O1015*H1015</f>
        <v>88.032000000000011</v>
      </c>
      <c r="Q1015" s="2191">
        <v>2.0000000000000001E-4</v>
      </c>
      <c r="R1015" s="2191">
        <f>Q1015*H1015</f>
        <v>0.1048</v>
      </c>
      <c r="S1015" s="2191">
        <v>0</v>
      </c>
      <c r="T1015" s="2192">
        <f>S1015*H1015</f>
        <v>0</v>
      </c>
      <c r="AR1015" s="2193" t="s">
        <v>2894</v>
      </c>
      <c r="AT1015" s="2193" t="s">
        <v>3286</v>
      </c>
      <c r="AU1015" s="2193" t="s">
        <v>134</v>
      </c>
      <c r="AY1015" s="2056" t="s">
        <v>3285</v>
      </c>
      <c r="BE1015" s="2194">
        <f>IF(N1015="základní",J1015,0)</f>
        <v>0</v>
      </c>
      <c r="BF1015" s="2194">
        <f>IF(N1015="snížená",J1015,0)</f>
        <v>0</v>
      </c>
      <c r="BG1015" s="2194">
        <f>IF(N1015="zákl. přenesená",J1015,0)</f>
        <v>0</v>
      </c>
      <c r="BH1015" s="2194">
        <f>IF(N1015="sníž. přenesená",J1015,0)</f>
        <v>0</v>
      </c>
      <c r="BI1015" s="2194">
        <f>IF(N1015="nulová",J1015,0)</f>
        <v>0</v>
      </c>
      <c r="BJ1015" s="2056" t="s">
        <v>134</v>
      </c>
      <c r="BK1015" s="2194">
        <f>ROUND(I1015*H1015,2)</f>
        <v>0</v>
      </c>
      <c r="BL1015" s="2056" t="s">
        <v>2894</v>
      </c>
      <c r="BM1015" s="2193" t="s">
        <v>4101</v>
      </c>
    </row>
    <row r="1016" spans="2:65" s="2209" customFormat="1">
      <c r="B1016" s="2210"/>
      <c r="D1016" s="2197" t="s">
        <v>3303</v>
      </c>
      <c r="E1016" s="2211" t="s">
        <v>3146</v>
      </c>
      <c r="F1016" s="2212" t="s">
        <v>4102</v>
      </c>
      <c r="H1016" s="2213">
        <v>524</v>
      </c>
      <c r="L1016" s="2210"/>
      <c r="M1016" s="2214"/>
      <c r="T1016" s="2215"/>
      <c r="AT1016" s="2211" t="s">
        <v>3303</v>
      </c>
      <c r="AU1016" s="2211" t="s">
        <v>134</v>
      </c>
      <c r="AV1016" s="2209" t="s">
        <v>134</v>
      </c>
      <c r="AW1016" s="2209" t="s">
        <v>3171</v>
      </c>
      <c r="AX1016" s="2209" t="s">
        <v>133</v>
      </c>
      <c r="AY1016" s="2211" t="s">
        <v>3285</v>
      </c>
    </row>
    <row r="1017" spans="2:65" s="2070" customFormat="1" ht="24.2" customHeight="1">
      <c r="B1017" s="2164"/>
      <c r="C1017" s="5561" t="s">
        <v>5222</v>
      </c>
      <c r="D1017" s="4608" t="s">
        <v>3286</v>
      </c>
      <c r="E1017" s="4609" t="s">
        <v>4104</v>
      </c>
      <c r="F1017" s="4610" t="s">
        <v>4105</v>
      </c>
      <c r="G1017" s="4611" t="s">
        <v>302</v>
      </c>
      <c r="H1017" s="5568">
        <v>25.373999999999999</v>
      </c>
      <c r="I1017" s="4613"/>
      <c r="J1017" s="4613">
        <f>ROUND(I1017*H1017,2)</f>
        <v>0</v>
      </c>
      <c r="K1017" s="4610" t="s">
        <v>142</v>
      </c>
      <c r="L1017" s="2071"/>
      <c r="M1017" s="2190" t="s">
        <v>3146</v>
      </c>
      <c r="N1017" s="2163" t="s">
        <v>3181</v>
      </c>
      <c r="O1017" s="2191">
        <v>2.46</v>
      </c>
      <c r="P1017" s="2191">
        <f>O1017*H1017</f>
        <v>62.420039999999993</v>
      </c>
      <c r="Q1017" s="2191">
        <v>0</v>
      </c>
      <c r="R1017" s="2191">
        <f>Q1017*H1017</f>
        <v>0</v>
      </c>
      <c r="S1017" s="2191">
        <v>0</v>
      </c>
      <c r="T1017" s="2192">
        <f>S1017*H1017</f>
        <v>0</v>
      </c>
      <c r="AR1017" s="2193" t="s">
        <v>2894</v>
      </c>
      <c r="AT1017" s="2193" t="s">
        <v>3286</v>
      </c>
      <c r="AU1017" s="2193" t="s">
        <v>134</v>
      </c>
      <c r="AY1017" s="2056" t="s">
        <v>3285</v>
      </c>
      <c r="BE1017" s="2194">
        <f>IF(N1017="základní",J1017,0)</f>
        <v>0</v>
      </c>
      <c r="BF1017" s="2194">
        <f>IF(N1017="snížená",J1017,0)</f>
        <v>0</v>
      </c>
      <c r="BG1017" s="2194">
        <f>IF(N1017="zákl. přenesená",J1017,0)</f>
        <v>0</v>
      </c>
      <c r="BH1017" s="2194">
        <f>IF(N1017="sníž. přenesená",J1017,0)</f>
        <v>0</v>
      </c>
      <c r="BI1017" s="2194">
        <f>IF(N1017="nulová",J1017,0)</f>
        <v>0</v>
      </c>
      <c r="BJ1017" s="2056" t="s">
        <v>134</v>
      </c>
      <c r="BK1017" s="2194">
        <f>ROUND(I1017*H1017,2)</f>
        <v>0</v>
      </c>
      <c r="BL1017" s="2056" t="s">
        <v>2894</v>
      </c>
      <c r="BM1017" s="2193" t="s">
        <v>4106</v>
      </c>
    </row>
    <row r="1018" spans="2:65" s="2070" customFormat="1" ht="24.2" customHeight="1">
      <c r="B1018" s="2164"/>
      <c r="C1018" s="5561" t="s">
        <v>5226</v>
      </c>
      <c r="D1018" s="4608" t="s">
        <v>3286</v>
      </c>
      <c r="E1018" s="4609" t="s">
        <v>4108</v>
      </c>
      <c r="F1018" s="4610" t="s">
        <v>4109</v>
      </c>
      <c r="G1018" s="4611" t="s">
        <v>302</v>
      </c>
      <c r="H1018" s="5568">
        <v>25.373999999999999</v>
      </c>
      <c r="I1018" s="4613"/>
      <c r="J1018" s="4613">
        <f>ROUND(I1018*H1018,2)</f>
        <v>0</v>
      </c>
      <c r="K1018" s="4610" t="s">
        <v>142</v>
      </c>
      <c r="L1018" s="2071"/>
      <c r="M1018" s="2190" t="s">
        <v>3146</v>
      </c>
      <c r="N1018" s="2163" t="s">
        <v>3181</v>
      </c>
      <c r="O1018" s="2191">
        <v>1.32</v>
      </c>
      <c r="P1018" s="2191">
        <f>O1018*H1018</f>
        <v>33.493679999999998</v>
      </c>
      <c r="Q1018" s="2191">
        <v>0</v>
      </c>
      <c r="R1018" s="2191">
        <f>Q1018*H1018</f>
        <v>0</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4110</v>
      </c>
    </row>
    <row r="1019" spans="2:65" s="2178" customFormat="1" ht="22.9" customHeight="1">
      <c r="B1019" s="2179"/>
      <c r="D1019" s="2180" t="s">
        <v>3212</v>
      </c>
      <c r="E1019" s="2188" t="s">
        <v>4111</v>
      </c>
      <c r="F1019" s="2188" t="s">
        <v>4112</v>
      </c>
      <c r="J1019" s="2189">
        <f>BK1019</f>
        <v>0</v>
      </c>
      <c r="L1019" s="2179"/>
      <c r="M1019" s="2183"/>
      <c r="P1019" s="2184">
        <f>P1020</f>
        <v>0</v>
      </c>
      <c r="R1019" s="2184">
        <f>R1020</f>
        <v>0</v>
      </c>
      <c r="T1019" s="2185">
        <f>T1020</f>
        <v>0</v>
      </c>
      <c r="AR1019" s="2180" t="s">
        <v>134</v>
      </c>
      <c r="AT1019" s="2186" t="s">
        <v>3212</v>
      </c>
      <c r="AU1019" s="2186" t="s">
        <v>133</v>
      </c>
      <c r="AY1019" s="2180" t="s">
        <v>3285</v>
      </c>
      <c r="BK1019" s="2187">
        <f>BK1020</f>
        <v>0</v>
      </c>
    </row>
    <row r="1020" spans="2:65" s="2070" customFormat="1" ht="16.5" customHeight="1">
      <c r="B1020" s="2164"/>
      <c r="C1020" s="4608" t="s">
        <v>5230</v>
      </c>
      <c r="D1020" s="4608" t="s">
        <v>3286</v>
      </c>
      <c r="E1020" s="4609" t="s">
        <v>4114</v>
      </c>
      <c r="F1020" s="4610" t="s">
        <v>4115</v>
      </c>
      <c r="G1020" s="4611" t="s">
        <v>23</v>
      </c>
      <c r="H1020" s="4612">
        <v>1</v>
      </c>
      <c r="I1020" s="4613"/>
      <c r="J1020" s="4613">
        <f>ROUND(I1020*H1020,2)</f>
        <v>0</v>
      </c>
      <c r="K1020" s="4610" t="s">
        <v>3146</v>
      </c>
      <c r="L1020" s="2071"/>
      <c r="M1020" s="2190" t="s">
        <v>3146</v>
      </c>
      <c r="N1020" s="2163" t="s">
        <v>3181</v>
      </c>
      <c r="O1020" s="2191">
        <v>0</v>
      </c>
      <c r="P1020" s="2191">
        <f>O1020*H1020</f>
        <v>0</v>
      </c>
      <c r="Q1020" s="2191">
        <v>0</v>
      </c>
      <c r="R1020" s="2191">
        <f>Q1020*H1020</f>
        <v>0</v>
      </c>
      <c r="S1020" s="2191">
        <v>0</v>
      </c>
      <c r="T1020" s="2192">
        <f>S1020*H1020</f>
        <v>0</v>
      </c>
      <c r="AR1020" s="2193" t="s">
        <v>2894</v>
      </c>
      <c r="AT1020" s="2193" t="s">
        <v>3286</v>
      </c>
      <c r="AU1020" s="2193" t="s">
        <v>134</v>
      </c>
      <c r="AY1020" s="2056" t="s">
        <v>3285</v>
      </c>
      <c r="BE1020" s="2194">
        <f>IF(N1020="základní",J1020,0)</f>
        <v>0</v>
      </c>
      <c r="BF1020" s="2194">
        <f>IF(N1020="snížená",J1020,0)</f>
        <v>0</v>
      </c>
      <c r="BG1020" s="2194">
        <f>IF(N1020="zákl. přenesená",J1020,0)</f>
        <v>0</v>
      </c>
      <c r="BH1020" s="2194">
        <f>IF(N1020="sníž. přenesená",J1020,0)</f>
        <v>0</v>
      </c>
      <c r="BI1020" s="2194">
        <f>IF(N1020="nulová",J1020,0)</f>
        <v>0</v>
      </c>
      <c r="BJ1020" s="2056" t="s">
        <v>134</v>
      </c>
      <c r="BK1020" s="2194">
        <f>ROUND(I1020*H1020,2)</f>
        <v>0</v>
      </c>
      <c r="BL1020" s="2056" t="s">
        <v>2894</v>
      </c>
      <c r="BM1020" s="2193" t="s">
        <v>4116</v>
      </c>
    </row>
    <row r="1021" spans="2:65" s="2178" customFormat="1" ht="22.9" customHeight="1">
      <c r="B1021" s="2179"/>
      <c r="D1021" s="2180" t="s">
        <v>3212</v>
      </c>
      <c r="E1021" s="2188" t="s">
        <v>4117</v>
      </c>
      <c r="F1021" s="2188" t="s">
        <v>4118</v>
      </c>
      <c r="J1021" s="2189">
        <f>BK1021</f>
        <v>0</v>
      </c>
      <c r="L1021" s="2179"/>
      <c r="M1021" s="2183"/>
      <c r="P1021" s="2184">
        <f>SUM(P1022:P1031)</f>
        <v>24.598230000000001</v>
      </c>
      <c r="R1021" s="2184">
        <f>SUM(R1022:R1031)</f>
        <v>0.19487999999999997</v>
      </c>
      <c r="T1021" s="2185">
        <f>SUM(T1022:T1031)</f>
        <v>0</v>
      </c>
      <c r="AR1021" s="2180" t="s">
        <v>134</v>
      </c>
      <c r="AT1021" s="2186" t="s">
        <v>3212</v>
      </c>
      <c r="AU1021" s="2186" t="s">
        <v>133</v>
      </c>
      <c r="AY1021" s="2180" t="s">
        <v>3285</v>
      </c>
      <c r="BK1021" s="2187">
        <f>SUM(BK1022:BK1031)</f>
        <v>0</v>
      </c>
    </row>
    <row r="1022" spans="2:65" s="2070" customFormat="1" ht="24.2" customHeight="1">
      <c r="B1022" s="2164"/>
      <c r="C1022" s="4608" t="s">
        <v>5234</v>
      </c>
      <c r="D1022" s="4608" t="s">
        <v>3286</v>
      </c>
      <c r="E1022" s="4609" t="s">
        <v>4120</v>
      </c>
      <c r="F1022" s="4610" t="s">
        <v>4121</v>
      </c>
      <c r="G1022" s="4611" t="s">
        <v>611</v>
      </c>
      <c r="H1022" s="4612">
        <v>58</v>
      </c>
      <c r="I1022" s="4613"/>
      <c r="J1022" s="4613">
        <f>ROUND(I1022*H1022,2)</f>
        <v>0</v>
      </c>
      <c r="K1022" s="4610" t="s">
        <v>142</v>
      </c>
      <c r="L1022" s="2071"/>
      <c r="M1022" s="2190" t="s">
        <v>3146</v>
      </c>
      <c r="N1022" s="2163" t="s">
        <v>3181</v>
      </c>
      <c r="O1022" s="2191">
        <v>0.41699999999999998</v>
      </c>
      <c r="P1022" s="2191">
        <f>O1022*H1022</f>
        <v>24.186</v>
      </c>
      <c r="Q1022" s="2191">
        <v>5.0000000000000001E-4</v>
      </c>
      <c r="R1022" s="2191">
        <f>Q1022*H1022</f>
        <v>2.9000000000000001E-2</v>
      </c>
      <c r="S1022" s="2191">
        <v>0</v>
      </c>
      <c r="T1022" s="2192">
        <f>S1022*H1022</f>
        <v>0</v>
      </c>
      <c r="AR1022" s="2193" t="s">
        <v>2894</v>
      </c>
      <c r="AT1022" s="2193" t="s">
        <v>3286</v>
      </c>
      <c r="AU1022" s="2193" t="s">
        <v>134</v>
      </c>
      <c r="AY1022" s="2056" t="s">
        <v>3285</v>
      </c>
      <c r="BE1022" s="2194">
        <f>IF(N1022="základní",J1022,0)</f>
        <v>0</v>
      </c>
      <c r="BF1022" s="2194">
        <f>IF(N1022="snížená",J1022,0)</f>
        <v>0</v>
      </c>
      <c r="BG1022" s="2194">
        <f>IF(N1022="zákl. přenesená",J1022,0)</f>
        <v>0</v>
      </c>
      <c r="BH1022" s="2194">
        <f>IF(N1022="sníž. přenesená",J1022,0)</f>
        <v>0</v>
      </c>
      <c r="BI1022" s="2194">
        <f>IF(N1022="nulová",J1022,0)</f>
        <v>0</v>
      </c>
      <c r="BJ1022" s="2056" t="s">
        <v>134</v>
      </c>
      <c r="BK1022" s="2194">
        <f>ROUND(I1022*H1022,2)</f>
        <v>0</v>
      </c>
      <c r="BL1022" s="2056" t="s">
        <v>2894</v>
      </c>
      <c r="BM1022" s="2193" t="s">
        <v>4122</v>
      </c>
    </row>
    <row r="1023" spans="2:65" s="2195" customFormat="1">
      <c r="B1023" s="2196"/>
      <c r="D1023" s="2197" t="s">
        <v>3303</v>
      </c>
      <c r="E1023" s="2198" t="s">
        <v>3146</v>
      </c>
      <c r="F1023" s="2199" t="s">
        <v>3578</v>
      </c>
      <c r="H1023" s="2198" t="s">
        <v>3146</v>
      </c>
      <c r="L1023" s="2196"/>
      <c r="M1023" s="2200"/>
      <c r="T1023" s="2201"/>
      <c r="AT1023" s="2198" t="s">
        <v>3303</v>
      </c>
      <c r="AU1023" s="2198" t="s">
        <v>134</v>
      </c>
      <c r="AV1023" s="2195" t="s">
        <v>133</v>
      </c>
      <c r="AW1023" s="2195" t="s">
        <v>3171</v>
      </c>
      <c r="AX1023" s="2195" t="s">
        <v>3213</v>
      </c>
      <c r="AY1023" s="2198" t="s">
        <v>3285</v>
      </c>
    </row>
    <row r="1024" spans="2:65" s="2209" customFormat="1">
      <c r="B1024" s="2210"/>
      <c r="D1024" s="2197" t="s">
        <v>3303</v>
      </c>
      <c r="E1024" s="2211" t="s">
        <v>3146</v>
      </c>
      <c r="F1024" s="2212" t="s">
        <v>2366</v>
      </c>
      <c r="H1024" s="2213">
        <v>29</v>
      </c>
      <c r="L1024" s="2210"/>
      <c r="M1024" s="2214"/>
      <c r="T1024" s="2215"/>
      <c r="AT1024" s="2211" t="s">
        <v>3303</v>
      </c>
      <c r="AU1024" s="2211" t="s">
        <v>134</v>
      </c>
      <c r="AV1024" s="2209" t="s">
        <v>134</v>
      </c>
      <c r="AW1024" s="2209" t="s">
        <v>3171</v>
      </c>
      <c r="AX1024" s="2209" t="s">
        <v>3213</v>
      </c>
      <c r="AY1024" s="2211" t="s">
        <v>3285</v>
      </c>
    </row>
    <row r="1025" spans="2:65" s="2195" customFormat="1">
      <c r="B1025" s="2196"/>
      <c r="D1025" s="2197" t="s">
        <v>3303</v>
      </c>
      <c r="E1025" s="2198" t="s">
        <v>3146</v>
      </c>
      <c r="F1025" s="2199" t="s">
        <v>3580</v>
      </c>
      <c r="H1025" s="2198" t="s">
        <v>3146</v>
      </c>
      <c r="L1025" s="2196"/>
      <c r="M1025" s="2200"/>
      <c r="T1025" s="2201"/>
      <c r="AT1025" s="2198" t="s">
        <v>3303</v>
      </c>
      <c r="AU1025" s="2198" t="s">
        <v>134</v>
      </c>
      <c r="AV1025" s="2195" t="s">
        <v>133</v>
      </c>
      <c r="AW1025" s="2195" t="s">
        <v>3171</v>
      </c>
      <c r="AX1025" s="2195" t="s">
        <v>3213</v>
      </c>
      <c r="AY1025" s="2198" t="s">
        <v>3285</v>
      </c>
    </row>
    <row r="1026" spans="2:65" s="2209" customFormat="1">
      <c r="B1026" s="2210"/>
      <c r="D1026" s="2197" t="s">
        <v>3303</v>
      </c>
      <c r="E1026" s="2211" t="s">
        <v>3146</v>
      </c>
      <c r="F1026" s="2212" t="s">
        <v>2366</v>
      </c>
      <c r="H1026" s="2213">
        <v>29</v>
      </c>
      <c r="L1026" s="2210"/>
      <c r="M1026" s="2214"/>
      <c r="T1026" s="2215"/>
      <c r="AT1026" s="2211" t="s">
        <v>3303</v>
      </c>
      <c r="AU1026" s="2211" t="s">
        <v>134</v>
      </c>
      <c r="AV1026" s="2209" t="s">
        <v>134</v>
      </c>
      <c r="AW1026" s="2209" t="s">
        <v>3171</v>
      </c>
      <c r="AX1026" s="2209" t="s">
        <v>3213</v>
      </c>
      <c r="AY1026" s="2211" t="s">
        <v>3285</v>
      </c>
    </row>
    <row r="1027" spans="2:65" s="2216" customFormat="1">
      <c r="B1027" s="2217"/>
      <c r="D1027" s="2197" t="s">
        <v>3303</v>
      </c>
      <c r="E1027" s="2218" t="s">
        <v>3146</v>
      </c>
      <c r="F1027" s="2219" t="s">
        <v>3306</v>
      </c>
      <c r="H1027" s="2220">
        <v>58</v>
      </c>
      <c r="L1027" s="2217"/>
      <c r="M1027" s="2221"/>
      <c r="T1027" s="2222"/>
      <c r="AT1027" s="2218" t="s">
        <v>3303</v>
      </c>
      <c r="AU1027" s="2218" t="s">
        <v>134</v>
      </c>
      <c r="AV1027" s="2216" t="s">
        <v>856</v>
      </c>
      <c r="AW1027" s="2216" t="s">
        <v>3171</v>
      </c>
      <c r="AX1027" s="2216" t="s">
        <v>133</v>
      </c>
      <c r="AY1027" s="2218" t="s">
        <v>3285</v>
      </c>
    </row>
    <row r="1028" spans="2:65" s="2070" customFormat="1" ht="16.5" customHeight="1">
      <c r="B1028" s="2164"/>
      <c r="C1028" s="4614" t="s">
        <v>5238</v>
      </c>
      <c r="D1028" s="4614" t="s">
        <v>135</v>
      </c>
      <c r="E1028" s="4615" t="s">
        <v>4129</v>
      </c>
      <c r="F1028" s="4616" t="s">
        <v>4130</v>
      </c>
      <c r="G1028" s="4617" t="s">
        <v>611</v>
      </c>
      <c r="H1028" s="4618">
        <v>63.8</v>
      </c>
      <c r="I1028" s="4619"/>
      <c r="J1028" s="4619">
        <f>ROUND(I1028*H1028,2)</f>
        <v>0</v>
      </c>
      <c r="K1028" s="4616" t="s">
        <v>3146</v>
      </c>
      <c r="L1028" s="2223"/>
      <c r="M1028" s="2224" t="s">
        <v>3146</v>
      </c>
      <c r="N1028" s="2225" t="s">
        <v>3181</v>
      </c>
      <c r="O1028" s="2191">
        <v>0</v>
      </c>
      <c r="P1028" s="2191">
        <f>O1028*H1028</f>
        <v>0</v>
      </c>
      <c r="Q1028" s="2191">
        <v>2.5999999999999999E-3</v>
      </c>
      <c r="R1028" s="2191">
        <f>Q1028*H1028</f>
        <v>0.16587999999999997</v>
      </c>
      <c r="S1028" s="2191">
        <v>0</v>
      </c>
      <c r="T1028" s="2192">
        <f>S1028*H1028</f>
        <v>0</v>
      </c>
      <c r="AR1028" s="2193" t="s">
        <v>3389</v>
      </c>
      <c r="AT1028" s="2193" t="s">
        <v>135</v>
      </c>
      <c r="AU1028" s="2193" t="s">
        <v>134</v>
      </c>
      <c r="AY1028" s="2056" t="s">
        <v>3285</v>
      </c>
      <c r="BE1028" s="2194">
        <f>IF(N1028="základní",J1028,0)</f>
        <v>0</v>
      </c>
      <c r="BF1028" s="2194">
        <f>IF(N1028="snížená",J1028,0)</f>
        <v>0</v>
      </c>
      <c r="BG1028" s="2194">
        <f>IF(N1028="zákl. přenesená",J1028,0)</f>
        <v>0</v>
      </c>
      <c r="BH1028" s="2194">
        <f>IF(N1028="sníž. přenesená",J1028,0)</f>
        <v>0</v>
      </c>
      <c r="BI1028" s="2194">
        <f>IF(N1028="nulová",J1028,0)</f>
        <v>0</v>
      </c>
      <c r="BJ1028" s="2056" t="s">
        <v>134</v>
      </c>
      <c r="BK1028" s="2194">
        <f>ROUND(I1028*H1028,2)</f>
        <v>0</v>
      </c>
      <c r="BL1028" s="2056" t="s">
        <v>2894</v>
      </c>
      <c r="BM1028" s="2193" t="s">
        <v>4131</v>
      </c>
    </row>
    <row r="1029" spans="2:65" s="2209" customFormat="1">
      <c r="B1029" s="2210"/>
      <c r="D1029" s="2197" t="s">
        <v>3303</v>
      </c>
      <c r="F1029" s="2212" t="s">
        <v>4132</v>
      </c>
      <c r="H1029" s="2213">
        <v>63.8</v>
      </c>
      <c r="L1029" s="2210"/>
      <c r="M1029" s="2214"/>
      <c r="T1029" s="2215"/>
      <c r="AT1029" s="2211" t="s">
        <v>3303</v>
      </c>
      <c r="AU1029" s="2211" t="s">
        <v>134</v>
      </c>
      <c r="AV1029" s="2209" t="s">
        <v>134</v>
      </c>
      <c r="AW1029" s="2209" t="s">
        <v>3148</v>
      </c>
      <c r="AX1029" s="2209" t="s">
        <v>133</v>
      </c>
      <c r="AY1029" s="2211" t="s">
        <v>3285</v>
      </c>
    </row>
    <row r="1030" spans="2:65" s="2070" customFormat="1" ht="24.2" customHeight="1">
      <c r="B1030" s="2164"/>
      <c r="C1030" s="4608" t="s">
        <v>5242</v>
      </c>
      <c r="D1030" s="4608" t="s">
        <v>3286</v>
      </c>
      <c r="E1030" s="4609" t="s">
        <v>4515</v>
      </c>
      <c r="F1030" s="4610" t="s">
        <v>4516</v>
      </c>
      <c r="G1030" s="4611" t="s">
        <v>302</v>
      </c>
      <c r="H1030" s="4612">
        <v>0.19500000000000001</v>
      </c>
      <c r="I1030" s="4613"/>
      <c r="J1030" s="4613">
        <f>ROUND(I1030*H1030,2)</f>
        <v>0</v>
      </c>
      <c r="K1030" s="4610" t="s">
        <v>142</v>
      </c>
      <c r="L1030" s="2071"/>
      <c r="M1030" s="2190" t="s">
        <v>3146</v>
      </c>
      <c r="N1030" s="2163" t="s">
        <v>3181</v>
      </c>
      <c r="O1030" s="2191">
        <v>1.1140000000000001</v>
      </c>
      <c r="P1030" s="2191">
        <f>O1030*H1030</f>
        <v>0.21723000000000003</v>
      </c>
      <c r="Q1030" s="2191">
        <v>0</v>
      </c>
      <c r="R1030" s="2191">
        <f>Q1030*H1030</f>
        <v>0</v>
      </c>
      <c r="S1030" s="2191">
        <v>0</v>
      </c>
      <c r="T1030" s="2192">
        <f>S1030*H1030</f>
        <v>0</v>
      </c>
      <c r="AR1030" s="2193" t="s">
        <v>2894</v>
      </c>
      <c r="AT1030" s="2193" t="s">
        <v>3286</v>
      </c>
      <c r="AU1030" s="2193" t="s">
        <v>134</v>
      </c>
      <c r="AY1030" s="2056" t="s">
        <v>3285</v>
      </c>
      <c r="BE1030" s="2194">
        <f>IF(N1030="základní",J1030,0)</f>
        <v>0</v>
      </c>
      <c r="BF1030" s="2194">
        <f>IF(N1030="snížená",J1030,0)</f>
        <v>0</v>
      </c>
      <c r="BG1030" s="2194">
        <f>IF(N1030="zákl. přenesená",J1030,0)</f>
        <v>0</v>
      </c>
      <c r="BH1030" s="2194">
        <f>IF(N1030="sníž. přenesená",J1030,0)</f>
        <v>0</v>
      </c>
      <c r="BI1030" s="2194">
        <f>IF(N1030="nulová",J1030,0)</f>
        <v>0</v>
      </c>
      <c r="BJ1030" s="2056" t="s">
        <v>134</v>
      </c>
      <c r="BK1030" s="2194">
        <f>ROUND(I1030*H1030,2)</f>
        <v>0</v>
      </c>
      <c r="BL1030" s="2056" t="s">
        <v>2894</v>
      </c>
      <c r="BM1030" s="2193" t="s">
        <v>11005</v>
      </c>
    </row>
    <row r="1031" spans="2:65" s="2070" customFormat="1" ht="24.2" customHeight="1">
      <c r="B1031" s="2164"/>
      <c r="C1031" s="4608" t="s">
        <v>5202</v>
      </c>
      <c r="D1031" s="4608" t="s">
        <v>3286</v>
      </c>
      <c r="E1031" s="4609" t="s">
        <v>4518</v>
      </c>
      <c r="F1031" s="4610" t="s">
        <v>4519</v>
      </c>
      <c r="G1031" s="4611" t="s">
        <v>302</v>
      </c>
      <c r="H1031" s="4612">
        <v>0.19500000000000001</v>
      </c>
      <c r="I1031" s="4613"/>
      <c r="J1031" s="4613">
        <f>ROUND(I1031*H1031,2)</f>
        <v>0</v>
      </c>
      <c r="K1031" s="4610" t="s">
        <v>142</v>
      </c>
      <c r="L1031" s="2071"/>
      <c r="M1031" s="2190" t="s">
        <v>3146</v>
      </c>
      <c r="N1031" s="2163" t="s">
        <v>3181</v>
      </c>
      <c r="O1031" s="2191">
        <v>1</v>
      </c>
      <c r="P1031" s="2191">
        <f>O1031*H1031</f>
        <v>0.19500000000000001</v>
      </c>
      <c r="Q1031" s="2191">
        <v>0</v>
      </c>
      <c r="R1031" s="2191">
        <f>Q1031*H1031</f>
        <v>0</v>
      </c>
      <c r="S1031" s="2191">
        <v>0</v>
      </c>
      <c r="T1031" s="2192">
        <f>S1031*H1031</f>
        <v>0</v>
      </c>
      <c r="AR1031" s="2193" t="s">
        <v>2894</v>
      </c>
      <c r="AT1031" s="2193" t="s">
        <v>3286</v>
      </c>
      <c r="AU1031" s="2193" t="s">
        <v>134</v>
      </c>
      <c r="AY1031" s="2056" t="s">
        <v>3285</v>
      </c>
      <c r="BE1031" s="2194">
        <f>IF(N1031="základní",J1031,0)</f>
        <v>0</v>
      </c>
      <c r="BF1031" s="2194">
        <f>IF(N1031="snížená",J1031,0)</f>
        <v>0</v>
      </c>
      <c r="BG1031" s="2194">
        <f>IF(N1031="zákl. přenesená",J1031,0)</f>
        <v>0</v>
      </c>
      <c r="BH1031" s="2194">
        <f>IF(N1031="sníž. přenesená",J1031,0)</f>
        <v>0</v>
      </c>
      <c r="BI1031" s="2194">
        <f>IF(N1031="nulová",J1031,0)</f>
        <v>0</v>
      </c>
      <c r="BJ1031" s="2056" t="s">
        <v>134</v>
      </c>
      <c r="BK1031" s="2194">
        <f>ROUND(I1031*H1031,2)</f>
        <v>0</v>
      </c>
      <c r="BL1031" s="2056" t="s">
        <v>2894</v>
      </c>
      <c r="BM1031" s="2193" t="s">
        <v>11006</v>
      </c>
    </row>
    <row r="1032" spans="2:65" s="2178" customFormat="1" ht="22.9" customHeight="1">
      <c r="B1032" s="2179"/>
      <c r="D1032" s="2180" t="s">
        <v>3212</v>
      </c>
      <c r="E1032" s="2188" t="s">
        <v>4133</v>
      </c>
      <c r="F1032" s="2188" t="s">
        <v>4134</v>
      </c>
      <c r="J1032" s="2189">
        <f>BK1032</f>
        <v>0</v>
      </c>
      <c r="L1032" s="2179"/>
      <c r="M1032" s="2183"/>
      <c r="P1032" s="2184">
        <f>SUM(P1033:P1053)</f>
        <v>1350.0331809999998</v>
      </c>
      <c r="R1032" s="2184">
        <f>SUM(R1033:R1053)</f>
        <v>32.640640699999999</v>
      </c>
      <c r="T1032" s="2185">
        <f>SUM(T1033:T1053)</f>
        <v>0</v>
      </c>
      <c r="AR1032" s="2180" t="s">
        <v>134</v>
      </c>
      <c r="AT1032" s="2186" t="s">
        <v>3212</v>
      </c>
      <c r="AU1032" s="2186" t="s">
        <v>133</v>
      </c>
      <c r="AY1032" s="2180" t="s">
        <v>3285</v>
      </c>
      <c r="BK1032" s="2187">
        <f>SUM(BK1033:BK1053)</f>
        <v>0</v>
      </c>
    </row>
    <row r="1033" spans="2:65" s="2070" customFormat="1" ht="16.5" customHeight="1">
      <c r="B1033" s="2164"/>
      <c r="C1033" s="4608" t="s">
        <v>4595</v>
      </c>
      <c r="D1033" s="4608" t="s">
        <v>3286</v>
      </c>
      <c r="E1033" s="4609" t="s">
        <v>4136</v>
      </c>
      <c r="F1033" s="4610" t="s">
        <v>4137</v>
      </c>
      <c r="G1033" s="4611" t="s">
        <v>611</v>
      </c>
      <c r="H1033" s="4612">
        <v>1301.461</v>
      </c>
      <c r="I1033" s="4613"/>
      <c r="J1033" s="4613">
        <f>ROUND(I1033*H1033,2)</f>
        <v>0</v>
      </c>
      <c r="K1033" s="4610" t="s">
        <v>142</v>
      </c>
      <c r="L1033" s="2071"/>
      <c r="M1033" s="2190" t="s">
        <v>3146</v>
      </c>
      <c r="N1033" s="2163" t="s">
        <v>3181</v>
      </c>
      <c r="O1033" s="2191">
        <v>1.2E-2</v>
      </c>
      <c r="P1033" s="2191">
        <f>O1033*H1033</f>
        <v>15.617532000000001</v>
      </c>
      <c r="Q1033" s="2191">
        <v>0</v>
      </c>
      <c r="R1033" s="2191">
        <f>Q1033*H1033</f>
        <v>0</v>
      </c>
      <c r="S1033" s="2191">
        <v>0</v>
      </c>
      <c r="T1033" s="2192">
        <f>S1033*H1033</f>
        <v>0</v>
      </c>
      <c r="AR1033" s="2193" t="s">
        <v>2894</v>
      </c>
      <c r="AT1033" s="2193" t="s">
        <v>3286</v>
      </c>
      <c r="AU1033" s="2193" t="s">
        <v>134</v>
      </c>
      <c r="AY1033" s="2056" t="s">
        <v>3285</v>
      </c>
      <c r="BE1033" s="2194">
        <f>IF(N1033="základní",J1033,0)</f>
        <v>0</v>
      </c>
      <c r="BF1033" s="2194">
        <f>IF(N1033="snížená",J1033,0)</f>
        <v>0</v>
      </c>
      <c r="BG1033" s="2194">
        <f>IF(N1033="zákl. přenesená",J1033,0)</f>
        <v>0</v>
      </c>
      <c r="BH1033" s="2194">
        <f>IF(N1033="sníž. přenesená",J1033,0)</f>
        <v>0</v>
      </c>
      <c r="BI1033" s="2194">
        <f>IF(N1033="nulová",J1033,0)</f>
        <v>0</v>
      </c>
      <c r="BJ1033" s="2056" t="s">
        <v>134</v>
      </c>
      <c r="BK1033" s="2194">
        <f>ROUND(I1033*H1033,2)</f>
        <v>0</v>
      </c>
      <c r="BL1033" s="2056" t="s">
        <v>2894</v>
      </c>
      <c r="BM1033" s="2193" t="s">
        <v>4138</v>
      </c>
    </row>
    <row r="1034" spans="2:65" s="2070" customFormat="1" ht="16.5" customHeight="1">
      <c r="B1034" s="2164"/>
      <c r="C1034" s="4608" t="s">
        <v>4599</v>
      </c>
      <c r="D1034" s="4608" t="s">
        <v>3286</v>
      </c>
      <c r="E1034" s="4609" t="s">
        <v>4140</v>
      </c>
      <c r="F1034" s="4610" t="s">
        <v>4141</v>
      </c>
      <c r="G1034" s="4611" t="s">
        <v>611</v>
      </c>
      <c r="H1034" s="4612">
        <v>1301.461</v>
      </c>
      <c r="I1034" s="4613"/>
      <c r="J1034" s="4613">
        <f>ROUND(I1034*H1034,2)</f>
        <v>0</v>
      </c>
      <c r="K1034" s="4610" t="s">
        <v>142</v>
      </c>
      <c r="L1034" s="2071"/>
      <c r="M1034" s="2190" t="s">
        <v>3146</v>
      </c>
      <c r="N1034" s="2163" t="s">
        <v>3181</v>
      </c>
      <c r="O1034" s="2191">
        <v>4.3999999999999997E-2</v>
      </c>
      <c r="P1034" s="2191">
        <f>O1034*H1034</f>
        <v>57.264283999999996</v>
      </c>
      <c r="Q1034" s="2191">
        <v>2.9999999999999997E-4</v>
      </c>
      <c r="R1034" s="2191">
        <f>Q1034*H1034</f>
        <v>0.39043829999999996</v>
      </c>
      <c r="S1034" s="2191">
        <v>0</v>
      </c>
      <c r="T1034" s="2192">
        <f>S1034*H1034</f>
        <v>0</v>
      </c>
      <c r="AR1034" s="2193" t="s">
        <v>2894</v>
      </c>
      <c r="AT1034" s="2193" t="s">
        <v>3286</v>
      </c>
      <c r="AU1034" s="2193" t="s">
        <v>134</v>
      </c>
      <c r="AY1034" s="2056" t="s">
        <v>3285</v>
      </c>
      <c r="BE1034" s="2194">
        <f>IF(N1034="základní",J1034,0)</f>
        <v>0</v>
      </c>
      <c r="BF1034" s="2194">
        <f>IF(N1034="snížená",J1034,0)</f>
        <v>0</v>
      </c>
      <c r="BG1034" s="2194">
        <f>IF(N1034="zákl. přenesená",J1034,0)</f>
        <v>0</v>
      </c>
      <c r="BH1034" s="2194">
        <f>IF(N1034="sníž. přenesená",J1034,0)</f>
        <v>0</v>
      </c>
      <c r="BI1034" s="2194">
        <f>IF(N1034="nulová",J1034,0)</f>
        <v>0</v>
      </c>
      <c r="BJ1034" s="2056" t="s">
        <v>134</v>
      </c>
      <c r="BK1034" s="2194">
        <f>ROUND(I1034*H1034,2)</f>
        <v>0</v>
      </c>
      <c r="BL1034" s="2056" t="s">
        <v>2894</v>
      </c>
      <c r="BM1034" s="2193" t="s">
        <v>4142</v>
      </c>
    </row>
    <row r="1035" spans="2:65" s="2195" customFormat="1">
      <c r="B1035" s="2196"/>
      <c r="D1035" s="2197" t="s">
        <v>3303</v>
      </c>
      <c r="E1035" s="2198" t="s">
        <v>3146</v>
      </c>
      <c r="F1035" s="2199" t="s">
        <v>3517</v>
      </c>
      <c r="H1035" s="2198" t="s">
        <v>3146</v>
      </c>
      <c r="L1035" s="2196"/>
      <c r="M1035" s="2200"/>
      <c r="T1035" s="2201"/>
      <c r="AT1035" s="2198" t="s">
        <v>3303</v>
      </c>
      <c r="AU1035" s="2198" t="s">
        <v>134</v>
      </c>
      <c r="AV1035" s="2195" t="s">
        <v>133</v>
      </c>
      <c r="AW1035" s="2195" t="s">
        <v>3171</v>
      </c>
      <c r="AX1035" s="2195" t="s">
        <v>3213</v>
      </c>
      <c r="AY1035" s="2198" t="s">
        <v>3285</v>
      </c>
    </row>
    <row r="1036" spans="2:65" s="2209" customFormat="1">
      <c r="B1036" s="2210"/>
      <c r="D1036" s="2197" t="s">
        <v>3303</v>
      </c>
      <c r="E1036" s="2211" t="s">
        <v>3146</v>
      </c>
      <c r="F1036" s="2212" t="s">
        <v>11007</v>
      </c>
      <c r="H1036" s="2213">
        <v>212.18700000000001</v>
      </c>
      <c r="L1036" s="2210"/>
      <c r="M1036" s="2214"/>
      <c r="T1036" s="2215"/>
      <c r="AT1036" s="2211" t="s">
        <v>3303</v>
      </c>
      <c r="AU1036" s="2211" t="s">
        <v>134</v>
      </c>
      <c r="AV1036" s="2209" t="s">
        <v>134</v>
      </c>
      <c r="AW1036" s="2209" t="s">
        <v>3171</v>
      </c>
      <c r="AX1036" s="2209" t="s">
        <v>3213</v>
      </c>
      <c r="AY1036" s="2211" t="s">
        <v>3285</v>
      </c>
    </row>
    <row r="1037" spans="2:65" s="2202" customFormat="1">
      <c r="B1037" s="2203"/>
      <c r="D1037" s="2197" t="s">
        <v>3303</v>
      </c>
      <c r="E1037" s="2204" t="s">
        <v>3146</v>
      </c>
      <c r="F1037" s="2205" t="s">
        <v>3305</v>
      </c>
      <c r="H1037" s="2206">
        <v>212.18700000000001</v>
      </c>
      <c r="L1037" s="2203"/>
      <c r="M1037" s="2207"/>
      <c r="T1037" s="2208"/>
      <c r="AT1037" s="2204" t="s">
        <v>3303</v>
      </c>
      <c r="AU1037" s="2204" t="s">
        <v>134</v>
      </c>
      <c r="AV1037" s="2202" t="s">
        <v>854</v>
      </c>
      <c r="AW1037" s="2202" t="s">
        <v>3171</v>
      </c>
      <c r="AX1037" s="2202" t="s">
        <v>3213</v>
      </c>
      <c r="AY1037" s="2204" t="s">
        <v>3285</v>
      </c>
    </row>
    <row r="1038" spans="2:65" s="2195" customFormat="1">
      <c r="B1038" s="2196"/>
      <c r="D1038" s="2197" t="s">
        <v>3303</v>
      </c>
      <c r="E1038" s="2198" t="s">
        <v>3146</v>
      </c>
      <c r="F1038" s="2199" t="s">
        <v>3661</v>
      </c>
      <c r="H1038" s="2198" t="s">
        <v>3146</v>
      </c>
      <c r="L1038" s="2196"/>
      <c r="M1038" s="2200"/>
      <c r="T1038" s="2201"/>
      <c r="AT1038" s="2198" t="s">
        <v>3303</v>
      </c>
      <c r="AU1038" s="2198" t="s">
        <v>134</v>
      </c>
      <c r="AV1038" s="2195" t="s">
        <v>133</v>
      </c>
      <c r="AW1038" s="2195" t="s">
        <v>3171</v>
      </c>
      <c r="AX1038" s="2195" t="s">
        <v>3213</v>
      </c>
      <c r="AY1038" s="2198" t="s">
        <v>3285</v>
      </c>
    </row>
    <row r="1039" spans="2:65" s="2209" customFormat="1">
      <c r="B1039" s="2210"/>
      <c r="D1039" s="2197" t="s">
        <v>3303</v>
      </c>
      <c r="E1039" s="2211" t="s">
        <v>3146</v>
      </c>
      <c r="F1039" s="2212" t="s">
        <v>11008</v>
      </c>
      <c r="H1039" s="2213">
        <v>343.21300000000002</v>
      </c>
      <c r="L1039" s="2210"/>
      <c r="M1039" s="2214"/>
      <c r="T1039" s="2215"/>
      <c r="AT1039" s="2211" t="s">
        <v>3303</v>
      </c>
      <c r="AU1039" s="2211" t="s">
        <v>134</v>
      </c>
      <c r="AV1039" s="2209" t="s">
        <v>134</v>
      </c>
      <c r="AW1039" s="2209" t="s">
        <v>3171</v>
      </c>
      <c r="AX1039" s="2209" t="s">
        <v>3213</v>
      </c>
      <c r="AY1039" s="2211" t="s">
        <v>3285</v>
      </c>
    </row>
    <row r="1040" spans="2:65" s="2195" customFormat="1">
      <c r="B1040" s="2196"/>
      <c r="D1040" s="2197" t="s">
        <v>3303</v>
      </c>
      <c r="E1040" s="2198" t="s">
        <v>3146</v>
      </c>
      <c r="F1040" s="2199" t="s">
        <v>3578</v>
      </c>
      <c r="H1040" s="2198" t="s">
        <v>3146</v>
      </c>
      <c r="L1040" s="2196"/>
      <c r="M1040" s="2200"/>
      <c r="T1040" s="2201"/>
      <c r="AT1040" s="2198" t="s">
        <v>3303</v>
      </c>
      <c r="AU1040" s="2198" t="s">
        <v>134</v>
      </c>
      <c r="AV1040" s="2195" t="s">
        <v>133</v>
      </c>
      <c r="AW1040" s="2195" t="s">
        <v>3171</v>
      </c>
      <c r="AX1040" s="2195" t="s">
        <v>3213</v>
      </c>
      <c r="AY1040" s="2198" t="s">
        <v>3285</v>
      </c>
    </row>
    <row r="1041" spans="2:65" s="2209" customFormat="1">
      <c r="B1041" s="2210"/>
      <c r="D1041" s="2197" t="s">
        <v>3303</v>
      </c>
      <c r="E1041" s="2211" t="s">
        <v>3146</v>
      </c>
      <c r="F1041" s="2212" t="s">
        <v>11009</v>
      </c>
      <c r="H1041" s="2213">
        <v>382.02499999999998</v>
      </c>
      <c r="L1041" s="2210"/>
      <c r="M1041" s="2214"/>
      <c r="T1041" s="2215"/>
      <c r="AT1041" s="2211" t="s">
        <v>3303</v>
      </c>
      <c r="AU1041" s="2211" t="s">
        <v>134</v>
      </c>
      <c r="AV1041" s="2209" t="s">
        <v>134</v>
      </c>
      <c r="AW1041" s="2209" t="s">
        <v>3171</v>
      </c>
      <c r="AX1041" s="2209" t="s">
        <v>3213</v>
      </c>
      <c r="AY1041" s="2211" t="s">
        <v>3285</v>
      </c>
    </row>
    <row r="1042" spans="2:65" s="2195" customFormat="1">
      <c r="B1042" s="2196"/>
      <c r="D1042" s="2197" t="s">
        <v>3303</v>
      </c>
      <c r="E1042" s="2198" t="s">
        <v>3146</v>
      </c>
      <c r="F1042" s="2199" t="s">
        <v>3580</v>
      </c>
      <c r="H1042" s="2198" t="s">
        <v>3146</v>
      </c>
      <c r="L1042" s="2196"/>
      <c r="M1042" s="2200"/>
      <c r="T1042" s="2201"/>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2212" t="s">
        <v>11010</v>
      </c>
      <c r="H1043" s="2213">
        <v>364.036</v>
      </c>
      <c r="L1043" s="2210"/>
      <c r="M1043" s="2214"/>
      <c r="T1043" s="2215"/>
      <c r="AT1043" s="2211" t="s">
        <v>3303</v>
      </c>
      <c r="AU1043" s="2211" t="s">
        <v>134</v>
      </c>
      <c r="AV1043" s="2209" t="s">
        <v>134</v>
      </c>
      <c r="AW1043" s="2209" t="s">
        <v>3171</v>
      </c>
      <c r="AX1043" s="2209" t="s">
        <v>3213</v>
      </c>
      <c r="AY1043" s="2211" t="s">
        <v>3285</v>
      </c>
    </row>
    <row r="1044" spans="2:65" s="2216" customFormat="1">
      <c r="B1044" s="2217"/>
      <c r="D1044" s="2197" t="s">
        <v>3303</v>
      </c>
      <c r="E1044" s="2218" t="s">
        <v>3146</v>
      </c>
      <c r="F1044" s="2219" t="s">
        <v>3306</v>
      </c>
      <c r="H1044" s="2220">
        <v>1301.461</v>
      </c>
      <c r="L1044" s="2217"/>
      <c r="M1044" s="2221"/>
      <c r="T1044" s="2222"/>
      <c r="AT1044" s="2218" t="s">
        <v>3303</v>
      </c>
      <c r="AU1044" s="2218" t="s">
        <v>134</v>
      </c>
      <c r="AV1044" s="2216" t="s">
        <v>856</v>
      </c>
      <c r="AW1044" s="2216" t="s">
        <v>3171</v>
      </c>
      <c r="AX1044" s="2216" t="s">
        <v>133</v>
      </c>
      <c r="AY1044" s="2218" t="s">
        <v>3285</v>
      </c>
    </row>
    <row r="1045" spans="2:65" s="2070" customFormat="1" ht="16.5" customHeight="1">
      <c r="B1045" s="2164"/>
      <c r="C1045" s="4608" t="s">
        <v>2943</v>
      </c>
      <c r="D1045" s="4608" t="s">
        <v>3286</v>
      </c>
      <c r="E1045" s="4609" t="s">
        <v>11011</v>
      </c>
      <c r="F1045" s="4610" t="s">
        <v>11012</v>
      </c>
      <c r="G1045" s="4611" t="s">
        <v>611</v>
      </c>
      <c r="H1045" s="4612">
        <v>1301.461</v>
      </c>
      <c r="I1045" s="4613"/>
      <c r="J1045" s="4613">
        <f>ROUND(I1045*H1045,2)</f>
        <v>0</v>
      </c>
      <c r="K1045" s="4610" t="s">
        <v>142</v>
      </c>
      <c r="L1045" s="2071"/>
      <c r="M1045" s="2190" t="s">
        <v>3146</v>
      </c>
      <c r="N1045" s="2163" t="s">
        <v>3181</v>
      </c>
      <c r="O1045" s="2191">
        <v>9.9000000000000005E-2</v>
      </c>
      <c r="P1045" s="2191">
        <f>O1045*H1045</f>
        <v>128.844639</v>
      </c>
      <c r="Q1045" s="2191">
        <v>4.4999999999999997E-3</v>
      </c>
      <c r="R1045" s="2191">
        <f>Q1045*H1045</f>
        <v>5.8565744999999998</v>
      </c>
      <c r="S1045" s="2191">
        <v>0</v>
      </c>
      <c r="T1045" s="2192">
        <f>S1045*H1045</f>
        <v>0</v>
      </c>
      <c r="AR1045" s="2193" t="s">
        <v>2894</v>
      </c>
      <c r="AT1045" s="2193" t="s">
        <v>3286</v>
      </c>
      <c r="AU1045" s="2193" t="s">
        <v>134</v>
      </c>
      <c r="AY1045" s="2056" t="s">
        <v>3285</v>
      </c>
      <c r="BE1045" s="2194">
        <f>IF(N1045="základní",J1045,0)</f>
        <v>0</v>
      </c>
      <c r="BF1045" s="2194">
        <f>IF(N1045="snížená",J1045,0)</f>
        <v>0</v>
      </c>
      <c r="BG1045" s="2194">
        <f>IF(N1045="zákl. přenesená",J1045,0)</f>
        <v>0</v>
      </c>
      <c r="BH1045" s="2194">
        <f>IF(N1045="sníž. přenesená",J1045,0)</f>
        <v>0</v>
      </c>
      <c r="BI1045" s="2194">
        <f>IF(N1045="nulová",J1045,0)</f>
        <v>0</v>
      </c>
      <c r="BJ1045" s="2056" t="s">
        <v>134</v>
      </c>
      <c r="BK1045" s="2194">
        <f>ROUND(I1045*H1045,2)</f>
        <v>0</v>
      </c>
      <c r="BL1045" s="2056" t="s">
        <v>2894</v>
      </c>
      <c r="BM1045" s="2193" t="s">
        <v>11013</v>
      </c>
    </row>
    <row r="1046" spans="2:65" s="2070" customFormat="1" ht="33" customHeight="1">
      <c r="B1046" s="2164"/>
      <c r="C1046" s="4608" t="s">
        <v>4606</v>
      </c>
      <c r="D1046" s="4608" t="s">
        <v>3286</v>
      </c>
      <c r="E1046" s="4609" t="s">
        <v>4144</v>
      </c>
      <c r="F1046" s="4610" t="s">
        <v>4145</v>
      </c>
      <c r="G1046" s="4611" t="s">
        <v>611</v>
      </c>
      <c r="H1046" s="4612">
        <v>1301.461</v>
      </c>
      <c r="I1046" s="4613"/>
      <c r="J1046" s="4613">
        <f>ROUND(I1046*H1046,2)</f>
        <v>0</v>
      </c>
      <c r="K1046" s="4610" t="s">
        <v>142</v>
      </c>
      <c r="L1046" s="2071"/>
      <c r="M1046" s="2190" t="s">
        <v>3146</v>
      </c>
      <c r="N1046" s="2163" t="s">
        <v>3181</v>
      </c>
      <c r="O1046" s="2191">
        <v>0.621</v>
      </c>
      <c r="P1046" s="2191">
        <f>O1046*H1046</f>
        <v>808.20728099999997</v>
      </c>
      <c r="Q1046" s="2191">
        <v>7.3000000000000001E-3</v>
      </c>
      <c r="R1046" s="2191">
        <f>Q1046*H1046</f>
        <v>9.5006652999999996</v>
      </c>
      <c r="S1046" s="2191">
        <v>0</v>
      </c>
      <c r="T1046" s="2192">
        <f>S1046*H1046</f>
        <v>0</v>
      </c>
      <c r="AR1046" s="2193" t="s">
        <v>2894</v>
      </c>
      <c r="AT1046" s="2193" t="s">
        <v>3286</v>
      </c>
      <c r="AU1046" s="2193" t="s">
        <v>134</v>
      </c>
      <c r="AY1046" s="2056" t="s">
        <v>3285</v>
      </c>
      <c r="BE1046" s="2194">
        <f>IF(N1046="základní",J1046,0)</f>
        <v>0</v>
      </c>
      <c r="BF1046" s="2194">
        <f>IF(N1046="snížená",J1046,0)</f>
        <v>0</v>
      </c>
      <c r="BG1046" s="2194">
        <f>IF(N1046="zákl. přenesená",J1046,0)</f>
        <v>0</v>
      </c>
      <c r="BH1046" s="2194">
        <f>IF(N1046="sníž. přenesená",J1046,0)</f>
        <v>0</v>
      </c>
      <c r="BI1046" s="2194">
        <f>IF(N1046="nulová",J1046,0)</f>
        <v>0</v>
      </c>
      <c r="BJ1046" s="2056" t="s">
        <v>134</v>
      </c>
      <c r="BK1046" s="2194">
        <f>ROUND(I1046*H1046,2)</f>
        <v>0</v>
      </c>
      <c r="BL1046" s="2056" t="s">
        <v>2894</v>
      </c>
      <c r="BM1046" s="2193" t="s">
        <v>4146</v>
      </c>
    </row>
    <row r="1047" spans="2:65" s="2070" customFormat="1" ht="16.5" customHeight="1">
      <c r="B1047" s="2164"/>
      <c r="C1047" s="4614" t="s">
        <v>5089</v>
      </c>
      <c r="D1047" s="4614" t="s">
        <v>135</v>
      </c>
      <c r="E1047" s="4615" t="s">
        <v>4148</v>
      </c>
      <c r="F1047" s="4616" t="s">
        <v>4149</v>
      </c>
      <c r="G1047" s="4617" t="s">
        <v>611</v>
      </c>
      <c r="H1047" s="4618">
        <v>1431.607</v>
      </c>
      <c r="I1047" s="4619"/>
      <c r="J1047" s="4619">
        <f>ROUND(I1047*H1047,2)</f>
        <v>0</v>
      </c>
      <c r="K1047" s="4616" t="s">
        <v>142</v>
      </c>
      <c r="L1047" s="2223"/>
      <c r="M1047" s="2224" t="s">
        <v>3146</v>
      </c>
      <c r="N1047" s="2225" t="s">
        <v>3181</v>
      </c>
      <c r="O1047" s="2191">
        <v>0</v>
      </c>
      <c r="P1047" s="2191">
        <f>O1047*H1047</f>
        <v>0</v>
      </c>
      <c r="Q1047" s="2191">
        <v>1.18E-2</v>
      </c>
      <c r="R1047" s="2191">
        <f>Q1047*H1047</f>
        <v>16.892962600000001</v>
      </c>
      <c r="S1047" s="2191">
        <v>0</v>
      </c>
      <c r="T1047" s="2192">
        <f>S1047*H1047</f>
        <v>0</v>
      </c>
      <c r="AR1047" s="2193" t="s">
        <v>3389</v>
      </c>
      <c r="AT1047" s="2193" t="s">
        <v>135</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4150</v>
      </c>
    </row>
    <row r="1048" spans="2:65" s="2209" customFormat="1">
      <c r="B1048" s="2210"/>
      <c r="D1048" s="2197" t="s">
        <v>3303</v>
      </c>
      <c r="E1048" s="2211" t="s">
        <v>3146</v>
      </c>
      <c r="F1048" s="2212" t="s">
        <v>11014</v>
      </c>
      <c r="H1048" s="2213">
        <v>1301.461</v>
      </c>
      <c r="L1048" s="2210"/>
      <c r="M1048" s="2214"/>
      <c r="T1048" s="2215"/>
      <c r="AT1048" s="2211" t="s">
        <v>3303</v>
      </c>
      <c r="AU1048" s="2211" t="s">
        <v>134</v>
      </c>
      <c r="AV1048" s="2209" t="s">
        <v>134</v>
      </c>
      <c r="AW1048" s="2209" t="s">
        <v>3171</v>
      </c>
      <c r="AX1048" s="2209" t="s">
        <v>133</v>
      </c>
      <c r="AY1048" s="2211" t="s">
        <v>3285</v>
      </c>
    </row>
    <row r="1049" spans="2:65" s="2209" customFormat="1">
      <c r="B1049" s="2210"/>
      <c r="D1049" s="2197" t="s">
        <v>3303</v>
      </c>
      <c r="F1049" s="2212" t="s">
        <v>11015</v>
      </c>
      <c r="H1049" s="2213">
        <v>1431.607</v>
      </c>
      <c r="L1049" s="2210"/>
      <c r="M1049" s="2214"/>
      <c r="T1049" s="2215"/>
      <c r="AT1049" s="2211" t="s">
        <v>3303</v>
      </c>
      <c r="AU1049" s="2211" t="s">
        <v>134</v>
      </c>
      <c r="AV1049" s="2209" t="s">
        <v>134</v>
      </c>
      <c r="AW1049" s="2209" t="s">
        <v>3148</v>
      </c>
      <c r="AX1049" s="2209" t="s">
        <v>133</v>
      </c>
      <c r="AY1049" s="2211" t="s">
        <v>3285</v>
      </c>
    </row>
    <row r="1050" spans="2:65" s="2070" customFormat="1" ht="24.2" customHeight="1">
      <c r="B1050" s="2164"/>
      <c r="C1050" s="4608" t="s">
        <v>5094</v>
      </c>
      <c r="D1050" s="4608" t="s">
        <v>3286</v>
      </c>
      <c r="E1050" s="4609" t="s">
        <v>4152</v>
      </c>
      <c r="F1050" s="4610" t="s">
        <v>4153</v>
      </c>
      <c r="G1050" s="4611" t="s">
        <v>611</v>
      </c>
      <c r="H1050" s="4612">
        <v>1301.461</v>
      </c>
      <c r="I1050" s="4613"/>
      <c r="J1050" s="4613">
        <f>ROUND(I1050*H1050,2)</f>
        <v>0</v>
      </c>
      <c r="K1050" s="4610" t="s">
        <v>142</v>
      </c>
      <c r="L1050" s="2071"/>
      <c r="M1050" s="2190" t="s">
        <v>3146</v>
      </c>
      <c r="N1050" s="2163" t="s">
        <v>3181</v>
      </c>
      <c r="O1050" s="2191">
        <v>0.1</v>
      </c>
      <c r="P1050" s="2191">
        <f>O1050*H1050</f>
        <v>130.14610000000002</v>
      </c>
      <c r="Q1050" s="2191">
        <v>0</v>
      </c>
      <c r="R1050" s="2191">
        <f>Q1050*H1050</f>
        <v>0</v>
      </c>
      <c r="S1050" s="2191">
        <v>0</v>
      </c>
      <c r="T1050" s="2192">
        <f>S1050*H1050</f>
        <v>0</v>
      </c>
      <c r="AR1050" s="2193" t="s">
        <v>2894</v>
      </c>
      <c r="AT1050" s="2193" t="s">
        <v>3286</v>
      </c>
      <c r="AU1050" s="2193" t="s">
        <v>134</v>
      </c>
      <c r="AY1050" s="2056" t="s">
        <v>3285</v>
      </c>
      <c r="BE1050" s="2194">
        <f>IF(N1050="základní",J1050,0)</f>
        <v>0</v>
      </c>
      <c r="BF1050" s="2194">
        <f>IF(N1050="snížená",J1050,0)</f>
        <v>0</v>
      </c>
      <c r="BG1050" s="2194">
        <f>IF(N1050="zákl. přenesená",J1050,0)</f>
        <v>0</v>
      </c>
      <c r="BH1050" s="2194">
        <f>IF(N1050="sníž. přenesená",J1050,0)</f>
        <v>0</v>
      </c>
      <c r="BI1050" s="2194">
        <f>IF(N1050="nulová",J1050,0)</f>
        <v>0</v>
      </c>
      <c r="BJ1050" s="2056" t="s">
        <v>134</v>
      </c>
      <c r="BK1050" s="2194">
        <f>ROUND(I1050*H1050,2)</f>
        <v>0</v>
      </c>
      <c r="BL1050" s="2056" t="s">
        <v>2894</v>
      </c>
      <c r="BM1050" s="2193" t="s">
        <v>4154</v>
      </c>
    </row>
    <row r="1051" spans="2:65" s="2070" customFormat="1" ht="24.2" customHeight="1">
      <c r="B1051" s="2164"/>
      <c r="C1051" s="4608" t="s">
        <v>5099</v>
      </c>
      <c r="D1051" s="4608" t="s">
        <v>3286</v>
      </c>
      <c r="E1051" s="4609" t="s">
        <v>4156</v>
      </c>
      <c r="F1051" s="4610" t="s">
        <v>4157</v>
      </c>
      <c r="G1051" s="4611" t="s">
        <v>611</v>
      </c>
      <c r="H1051" s="4612">
        <v>1301.461</v>
      </c>
      <c r="I1051" s="4613"/>
      <c r="J1051" s="4613">
        <f>ROUND(I1051*H1051,2)</f>
        <v>0</v>
      </c>
      <c r="K1051" s="4610" t="s">
        <v>142</v>
      </c>
      <c r="L1051" s="2071"/>
      <c r="M1051" s="2190" t="s">
        <v>3146</v>
      </c>
      <c r="N1051" s="2163" t="s">
        <v>3181</v>
      </c>
      <c r="O1051" s="2191">
        <v>0.1</v>
      </c>
      <c r="P1051" s="2191">
        <f>O1051*H1051</f>
        <v>130.14610000000002</v>
      </c>
      <c r="Q1051" s="2191">
        <v>0</v>
      </c>
      <c r="R1051" s="2191">
        <f>Q1051*H1051</f>
        <v>0</v>
      </c>
      <c r="S1051" s="2191">
        <v>0</v>
      </c>
      <c r="T1051" s="2192">
        <f>S1051*H1051</f>
        <v>0</v>
      </c>
      <c r="AR1051" s="2193" t="s">
        <v>2894</v>
      </c>
      <c r="AT1051" s="2193" t="s">
        <v>3286</v>
      </c>
      <c r="AU1051" s="2193" t="s">
        <v>134</v>
      </c>
      <c r="AY1051" s="2056" t="s">
        <v>3285</v>
      </c>
      <c r="BE1051" s="2194">
        <f>IF(N1051="základní",J1051,0)</f>
        <v>0</v>
      </c>
      <c r="BF1051" s="2194">
        <f>IF(N1051="snížená",J1051,0)</f>
        <v>0</v>
      </c>
      <c r="BG1051" s="2194">
        <f>IF(N1051="zákl. přenesená",J1051,0)</f>
        <v>0</v>
      </c>
      <c r="BH1051" s="2194">
        <f>IF(N1051="sníž. přenesená",J1051,0)</f>
        <v>0</v>
      </c>
      <c r="BI1051" s="2194">
        <f>IF(N1051="nulová",J1051,0)</f>
        <v>0</v>
      </c>
      <c r="BJ1051" s="2056" t="s">
        <v>134</v>
      </c>
      <c r="BK1051" s="2194">
        <f>ROUND(I1051*H1051,2)</f>
        <v>0</v>
      </c>
      <c r="BL1051" s="2056" t="s">
        <v>2894</v>
      </c>
      <c r="BM1051" s="2193" t="s">
        <v>4158</v>
      </c>
    </row>
    <row r="1052" spans="2:65" s="2070" customFormat="1" ht="24.2" customHeight="1">
      <c r="B1052" s="2164"/>
      <c r="C1052" s="4608" t="s">
        <v>5104</v>
      </c>
      <c r="D1052" s="4608" t="s">
        <v>3286</v>
      </c>
      <c r="E1052" s="4609" t="s">
        <v>4160</v>
      </c>
      <c r="F1052" s="4610" t="s">
        <v>4161</v>
      </c>
      <c r="G1052" s="4611" t="s">
        <v>302</v>
      </c>
      <c r="H1052" s="4612">
        <v>32.640999999999998</v>
      </c>
      <c r="I1052" s="4613"/>
      <c r="J1052" s="4613">
        <f>ROUND(I1052*H1052,2)</f>
        <v>0</v>
      </c>
      <c r="K1052" s="4610" t="s">
        <v>142</v>
      </c>
      <c r="L1052" s="2071"/>
      <c r="M1052" s="2190" t="s">
        <v>3146</v>
      </c>
      <c r="N1052" s="2163" t="s">
        <v>3181</v>
      </c>
      <c r="O1052" s="2191">
        <v>1.3049999999999999</v>
      </c>
      <c r="P1052" s="2191">
        <f>O1052*H1052</f>
        <v>42.596504999999993</v>
      </c>
      <c r="Q1052" s="2191">
        <v>0</v>
      </c>
      <c r="R1052" s="2191">
        <f>Q1052*H1052</f>
        <v>0</v>
      </c>
      <c r="S1052" s="2191">
        <v>0</v>
      </c>
      <c r="T1052" s="2192">
        <f>S1052*H1052</f>
        <v>0</v>
      </c>
      <c r="AR1052" s="2193" t="s">
        <v>2894</v>
      </c>
      <c r="AT1052" s="2193" t="s">
        <v>3286</v>
      </c>
      <c r="AU1052" s="2193" t="s">
        <v>134</v>
      </c>
      <c r="AY1052" s="2056" t="s">
        <v>3285</v>
      </c>
      <c r="BE1052" s="2194">
        <f>IF(N1052="základní",J1052,0)</f>
        <v>0</v>
      </c>
      <c r="BF1052" s="2194">
        <f>IF(N1052="snížená",J1052,0)</f>
        <v>0</v>
      </c>
      <c r="BG1052" s="2194">
        <f>IF(N1052="zákl. přenesená",J1052,0)</f>
        <v>0</v>
      </c>
      <c r="BH1052" s="2194">
        <f>IF(N1052="sníž. přenesená",J1052,0)</f>
        <v>0</v>
      </c>
      <c r="BI1052" s="2194">
        <f>IF(N1052="nulová",J1052,0)</f>
        <v>0</v>
      </c>
      <c r="BJ1052" s="2056" t="s">
        <v>134</v>
      </c>
      <c r="BK1052" s="2194">
        <f>ROUND(I1052*H1052,2)</f>
        <v>0</v>
      </c>
      <c r="BL1052" s="2056" t="s">
        <v>2894</v>
      </c>
      <c r="BM1052" s="2193" t="s">
        <v>4162</v>
      </c>
    </row>
    <row r="1053" spans="2:65" s="2070" customFormat="1" ht="24.2" customHeight="1">
      <c r="B1053" s="2164"/>
      <c r="C1053" s="4608" t="s">
        <v>5599</v>
      </c>
      <c r="D1053" s="4608" t="s">
        <v>3286</v>
      </c>
      <c r="E1053" s="4609" t="s">
        <v>4164</v>
      </c>
      <c r="F1053" s="4610" t="s">
        <v>4165</v>
      </c>
      <c r="G1053" s="4611" t="s">
        <v>302</v>
      </c>
      <c r="H1053" s="4612">
        <v>32.640999999999998</v>
      </c>
      <c r="I1053" s="4613"/>
      <c r="J1053" s="4613">
        <f>ROUND(I1053*H1053,2)</f>
        <v>0</v>
      </c>
      <c r="K1053" s="4610" t="s">
        <v>142</v>
      </c>
      <c r="L1053" s="2071"/>
      <c r="M1053" s="2190" t="s">
        <v>3146</v>
      </c>
      <c r="N1053" s="2163" t="s">
        <v>3181</v>
      </c>
      <c r="O1053" s="2191">
        <v>1.1399999999999999</v>
      </c>
      <c r="P1053" s="2191">
        <f>O1053*H1053</f>
        <v>37.210739999999994</v>
      </c>
      <c r="Q1053" s="2191">
        <v>0</v>
      </c>
      <c r="R1053" s="2191">
        <f>Q1053*H1053</f>
        <v>0</v>
      </c>
      <c r="S1053" s="2191">
        <v>0</v>
      </c>
      <c r="T1053" s="2192">
        <f>S1053*H1053</f>
        <v>0</v>
      </c>
      <c r="AR1053" s="2193" t="s">
        <v>2894</v>
      </c>
      <c r="AT1053" s="2193" t="s">
        <v>3286</v>
      </c>
      <c r="AU1053" s="2193" t="s">
        <v>134</v>
      </c>
      <c r="AY1053" s="2056" t="s">
        <v>3285</v>
      </c>
      <c r="BE1053" s="2194">
        <f>IF(N1053="základní",J1053,0)</f>
        <v>0</v>
      </c>
      <c r="BF1053" s="2194">
        <f>IF(N1053="snížená",J1053,0)</f>
        <v>0</v>
      </c>
      <c r="BG1053" s="2194">
        <f>IF(N1053="zákl. přenesená",J1053,0)</f>
        <v>0</v>
      </c>
      <c r="BH1053" s="2194">
        <f>IF(N1053="sníž. přenesená",J1053,0)</f>
        <v>0</v>
      </c>
      <c r="BI1053" s="2194">
        <f>IF(N1053="nulová",J1053,0)</f>
        <v>0</v>
      </c>
      <c r="BJ1053" s="2056" t="s">
        <v>134</v>
      </c>
      <c r="BK1053" s="2194">
        <f>ROUND(I1053*H1053,2)</f>
        <v>0</v>
      </c>
      <c r="BL1053" s="2056" t="s">
        <v>2894</v>
      </c>
      <c r="BM1053" s="2193" t="s">
        <v>4166</v>
      </c>
    </row>
    <row r="1054" spans="2:65" s="2178" customFormat="1" ht="22.9" customHeight="1">
      <c r="B1054" s="2179"/>
      <c r="D1054" s="2180" t="s">
        <v>3212</v>
      </c>
      <c r="E1054" s="2188" t="s">
        <v>4167</v>
      </c>
      <c r="F1054" s="2188" t="s">
        <v>4168</v>
      </c>
      <c r="J1054" s="2189">
        <f>BK1054</f>
        <v>0</v>
      </c>
      <c r="L1054" s="2179"/>
      <c r="M1054" s="2183"/>
      <c r="P1054" s="2184">
        <f>SUM(P1055:P1068)</f>
        <v>83.055020000000013</v>
      </c>
      <c r="R1054" s="2184">
        <f>SUM(R1055:R1068)</f>
        <v>0.26498679999999997</v>
      </c>
      <c r="T1054" s="2185">
        <f>SUM(T1055:T1068)</f>
        <v>0</v>
      </c>
      <c r="AR1054" s="2180" t="s">
        <v>134</v>
      </c>
      <c r="AT1054" s="2186" t="s">
        <v>3212</v>
      </c>
      <c r="AU1054" s="2186" t="s">
        <v>133</v>
      </c>
      <c r="AY1054" s="2180" t="s">
        <v>3285</v>
      </c>
      <c r="BK1054" s="2187">
        <f>SUM(BK1055:BK1068)</f>
        <v>0</v>
      </c>
    </row>
    <row r="1055" spans="2:65" s="2070" customFormat="1" ht="16.5" customHeight="1">
      <c r="B1055" s="2164"/>
      <c r="C1055" s="4608" t="s">
        <v>5604</v>
      </c>
      <c r="D1055" s="4608" t="s">
        <v>3286</v>
      </c>
      <c r="E1055" s="4609" t="s">
        <v>4170</v>
      </c>
      <c r="F1055" s="4610" t="s">
        <v>4171</v>
      </c>
      <c r="G1055" s="4611" t="s">
        <v>611</v>
      </c>
      <c r="H1055" s="4612">
        <v>265.60000000000002</v>
      </c>
      <c r="I1055" s="4613"/>
      <c r="J1055" s="4613">
        <f>ROUND(I1055*H1055,2)</f>
        <v>0</v>
      </c>
      <c r="K1055" s="4610" t="s">
        <v>142</v>
      </c>
      <c r="L1055" s="2071"/>
      <c r="M1055" s="2190" t="s">
        <v>3146</v>
      </c>
      <c r="N1055" s="2163" t="s">
        <v>3181</v>
      </c>
      <c r="O1055" s="2191">
        <v>4.2000000000000003E-2</v>
      </c>
      <c r="P1055" s="2191">
        <f>O1055*H1055</f>
        <v>11.155200000000002</v>
      </c>
      <c r="Q1055" s="2191">
        <v>0</v>
      </c>
      <c r="R1055" s="2191">
        <f>Q1055*H1055</f>
        <v>0</v>
      </c>
      <c r="S1055" s="2191">
        <v>0</v>
      </c>
      <c r="T1055" s="2192">
        <f>S1055*H1055</f>
        <v>0</v>
      </c>
      <c r="AR1055" s="2193" t="s">
        <v>2894</v>
      </c>
      <c r="AT1055" s="2193" t="s">
        <v>3286</v>
      </c>
      <c r="AU1055" s="2193" t="s">
        <v>134</v>
      </c>
      <c r="AY1055" s="2056" t="s">
        <v>3285</v>
      </c>
      <c r="BE1055" s="2194">
        <f>IF(N1055="základní",J1055,0)</f>
        <v>0</v>
      </c>
      <c r="BF1055" s="2194">
        <f>IF(N1055="snížená",J1055,0)</f>
        <v>0</v>
      </c>
      <c r="BG1055" s="2194">
        <f>IF(N1055="zákl. přenesená",J1055,0)</f>
        <v>0</v>
      </c>
      <c r="BH1055" s="2194">
        <f>IF(N1055="sníž. přenesená",J1055,0)</f>
        <v>0</v>
      </c>
      <c r="BI1055" s="2194">
        <f>IF(N1055="nulová",J1055,0)</f>
        <v>0</v>
      </c>
      <c r="BJ1055" s="2056" t="s">
        <v>134</v>
      </c>
      <c r="BK1055" s="2194">
        <f>ROUND(I1055*H1055,2)</f>
        <v>0</v>
      </c>
      <c r="BL1055" s="2056" t="s">
        <v>2894</v>
      </c>
      <c r="BM1055" s="2193" t="s">
        <v>4172</v>
      </c>
    </row>
    <row r="1056" spans="2:65" s="2070" customFormat="1" ht="16.5" customHeight="1">
      <c r="B1056" s="2164"/>
      <c r="C1056" s="4608" t="s">
        <v>5084</v>
      </c>
      <c r="D1056" s="4608" t="s">
        <v>3286</v>
      </c>
      <c r="E1056" s="4609" t="s">
        <v>4174</v>
      </c>
      <c r="F1056" s="4610" t="s">
        <v>4175</v>
      </c>
      <c r="G1056" s="4611" t="s">
        <v>611</v>
      </c>
      <c r="H1056" s="4612">
        <v>265.60000000000002</v>
      </c>
      <c r="I1056" s="4613"/>
      <c r="J1056" s="4613">
        <f>ROUND(I1056*H1056,2)</f>
        <v>0</v>
      </c>
      <c r="K1056" s="4610" t="s">
        <v>142</v>
      </c>
      <c r="L1056" s="2071"/>
      <c r="M1056" s="2190" t="s">
        <v>3146</v>
      </c>
      <c r="N1056" s="2163" t="s">
        <v>3181</v>
      </c>
      <c r="O1056" s="2191">
        <v>1.4E-2</v>
      </c>
      <c r="P1056" s="2191">
        <f>O1056*H1056</f>
        <v>3.7184000000000004</v>
      </c>
      <c r="Q1056" s="2191">
        <v>0</v>
      </c>
      <c r="R1056" s="2191">
        <f>Q1056*H1056</f>
        <v>0</v>
      </c>
      <c r="S1056" s="2191">
        <v>0</v>
      </c>
      <c r="T1056" s="2192">
        <f>S1056*H1056</f>
        <v>0</v>
      </c>
      <c r="AR1056" s="2193" t="s">
        <v>2894</v>
      </c>
      <c r="AT1056" s="2193" t="s">
        <v>3286</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f>ROUND(I1056*H1056,2)</f>
        <v>0</v>
      </c>
      <c r="BL1056" s="2056" t="s">
        <v>2894</v>
      </c>
      <c r="BM1056" s="2193" t="s">
        <v>4176</v>
      </c>
    </row>
    <row r="1057" spans="2:65" s="2070" customFormat="1" ht="24.2" customHeight="1">
      <c r="B1057" s="2164"/>
      <c r="C1057" s="4608" t="s">
        <v>5674</v>
      </c>
      <c r="D1057" s="4608" t="s">
        <v>3286</v>
      </c>
      <c r="E1057" s="4609" t="s">
        <v>11016</v>
      </c>
      <c r="F1057" s="4610" t="s">
        <v>11017</v>
      </c>
      <c r="G1057" s="4611" t="s">
        <v>611</v>
      </c>
      <c r="H1057" s="4612">
        <v>58</v>
      </c>
      <c r="I1057" s="4613"/>
      <c r="J1057" s="4613">
        <f>ROUND(I1057*H1057,2)</f>
        <v>0</v>
      </c>
      <c r="K1057" s="4610" t="s">
        <v>142</v>
      </c>
      <c r="L1057" s="2071"/>
      <c r="M1057" s="2190" t="s">
        <v>3146</v>
      </c>
      <c r="N1057" s="2163" t="s">
        <v>3181</v>
      </c>
      <c r="O1057" s="2191">
        <v>0.09</v>
      </c>
      <c r="P1057" s="2191">
        <f>O1057*H1057</f>
        <v>5.22</v>
      </c>
      <c r="Q1057" s="2191">
        <v>8.0000000000000007E-5</v>
      </c>
      <c r="R1057" s="2191">
        <f>Q1057*H1057</f>
        <v>4.64E-3</v>
      </c>
      <c r="S1057" s="2191">
        <v>0</v>
      </c>
      <c r="T1057" s="2192">
        <f>S1057*H1057</f>
        <v>0</v>
      </c>
      <c r="AR1057" s="2193" t="s">
        <v>2894</v>
      </c>
      <c r="AT1057" s="2193" t="s">
        <v>3286</v>
      </c>
      <c r="AU1057" s="2193" t="s">
        <v>134</v>
      </c>
      <c r="AY1057" s="2056" t="s">
        <v>3285</v>
      </c>
      <c r="BE1057" s="2194">
        <f>IF(N1057="základní",J1057,0)</f>
        <v>0</v>
      </c>
      <c r="BF1057" s="2194">
        <f>IF(N1057="snížená",J1057,0)</f>
        <v>0</v>
      </c>
      <c r="BG1057" s="2194">
        <f>IF(N1057="zákl. přenesená",J1057,0)</f>
        <v>0</v>
      </c>
      <c r="BH1057" s="2194">
        <f>IF(N1057="sníž. přenesená",J1057,0)</f>
        <v>0</v>
      </c>
      <c r="BI1057" s="2194">
        <f>IF(N1057="nulová",J1057,0)</f>
        <v>0</v>
      </c>
      <c r="BJ1057" s="2056" t="s">
        <v>134</v>
      </c>
      <c r="BK1057" s="2194">
        <f>ROUND(I1057*H1057,2)</f>
        <v>0</v>
      </c>
      <c r="BL1057" s="2056" t="s">
        <v>2894</v>
      </c>
      <c r="BM1057" s="2193" t="s">
        <v>11018</v>
      </c>
    </row>
    <row r="1058" spans="2:65" s="2209" customFormat="1">
      <c r="B1058" s="2210"/>
      <c r="D1058" s="2197" t="s">
        <v>3303</v>
      </c>
      <c r="E1058" s="2211" t="s">
        <v>3146</v>
      </c>
      <c r="F1058" s="2212" t="s">
        <v>2756</v>
      </c>
      <c r="H1058" s="2213">
        <v>58</v>
      </c>
      <c r="L1058" s="2210"/>
      <c r="M1058" s="2214"/>
      <c r="T1058" s="2215"/>
      <c r="AT1058" s="2211" t="s">
        <v>3303</v>
      </c>
      <c r="AU1058" s="2211" t="s">
        <v>134</v>
      </c>
      <c r="AV1058" s="2209" t="s">
        <v>134</v>
      </c>
      <c r="AW1058" s="2209" t="s">
        <v>3171</v>
      </c>
      <c r="AX1058" s="2209" t="s">
        <v>133</v>
      </c>
      <c r="AY1058" s="2211" t="s">
        <v>3285</v>
      </c>
    </row>
    <row r="1059" spans="2:65" s="2070" customFormat="1" ht="16.5" customHeight="1">
      <c r="B1059" s="2164"/>
      <c r="C1059" s="4608" t="s">
        <v>5680</v>
      </c>
      <c r="D1059" s="4608" t="s">
        <v>3286</v>
      </c>
      <c r="E1059" s="4609" t="s">
        <v>11019</v>
      </c>
      <c r="F1059" s="4610" t="s">
        <v>11020</v>
      </c>
      <c r="G1059" s="4611" t="s">
        <v>611</v>
      </c>
      <c r="H1059" s="4612">
        <v>265.66000000000003</v>
      </c>
      <c r="I1059" s="4613"/>
      <c r="J1059" s="4613">
        <f>ROUND(I1059*H1059,2)</f>
        <v>0</v>
      </c>
      <c r="K1059" s="4610" t="s">
        <v>142</v>
      </c>
      <c r="L1059" s="2071"/>
      <c r="M1059" s="2190" t="s">
        <v>3146</v>
      </c>
      <c r="N1059" s="2163" t="s">
        <v>3181</v>
      </c>
      <c r="O1059" s="2191">
        <v>0.23699999999999999</v>
      </c>
      <c r="P1059" s="2191">
        <f>O1059*H1059</f>
        <v>62.961420000000004</v>
      </c>
      <c r="Q1059" s="2191">
        <v>9.7999999999999997E-4</v>
      </c>
      <c r="R1059" s="2191">
        <f>Q1059*H1059</f>
        <v>0.26034679999999999</v>
      </c>
      <c r="S1059" s="2191">
        <v>0</v>
      </c>
      <c r="T1059" s="2192">
        <f>S1059*H1059</f>
        <v>0</v>
      </c>
      <c r="AR1059" s="2193" t="s">
        <v>2894</v>
      </c>
      <c r="AT1059" s="2193" t="s">
        <v>3286</v>
      </c>
      <c r="AU1059" s="2193" t="s">
        <v>134</v>
      </c>
      <c r="AY1059" s="2056" t="s">
        <v>3285</v>
      </c>
      <c r="BE1059" s="2194">
        <f>IF(N1059="základní",J1059,0)</f>
        <v>0</v>
      </c>
      <c r="BF1059" s="2194">
        <f>IF(N1059="snížená",J1059,0)</f>
        <v>0</v>
      </c>
      <c r="BG1059" s="2194">
        <f>IF(N1059="zákl. přenesená",J1059,0)</f>
        <v>0</v>
      </c>
      <c r="BH1059" s="2194">
        <f>IF(N1059="sníž. přenesená",J1059,0)</f>
        <v>0</v>
      </c>
      <c r="BI1059" s="2194">
        <f>IF(N1059="nulová",J1059,0)</f>
        <v>0</v>
      </c>
      <c r="BJ1059" s="2056" t="s">
        <v>134</v>
      </c>
      <c r="BK1059" s="2194">
        <f>ROUND(I1059*H1059,2)</f>
        <v>0</v>
      </c>
      <c r="BL1059" s="2056" t="s">
        <v>2894</v>
      </c>
      <c r="BM1059" s="2193" t="s">
        <v>4178</v>
      </c>
    </row>
    <row r="1060" spans="2:65" s="2195" customFormat="1">
      <c r="B1060" s="2196"/>
      <c r="D1060" s="2197" t="s">
        <v>3303</v>
      </c>
      <c r="E1060" s="2198" t="s">
        <v>3146</v>
      </c>
      <c r="F1060" s="2199" t="s">
        <v>3517</v>
      </c>
      <c r="H1060" s="2198" t="s">
        <v>3146</v>
      </c>
      <c r="L1060" s="2196"/>
      <c r="M1060" s="2200"/>
      <c r="T1060" s="2201"/>
      <c r="AT1060" s="2198" t="s">
        <v>3303</v>
      </c>
      <c r="AU1060" s="2198" t="s">
        <v>134</v>
      </c>
      <c r="AV1060" s="2195" t="s">
        <v>133</v>
      </c>
      <c r="AW1060" s="2195" t="s">
        <v>3171</v>
      </c>
      <c r="AX1060" s="2195" t="s">
        <v>3213</v>
      </c>
      <c r="AY1060" s="2198" t="s">
        <v>3285</v>
      </c>
    </row>
    <row r="1061" spans="2:65" s="2209" customFormat="1">
      <c r="B1061" s="2210"/>
      <c r="D1061" s="2197" t="s">
        <v>3303</v>
      </c>
      <c r="E1061" s="2211" t="s">
        <v>3146</v>
      </c>
      <c r="F1061" s="2212" t="s">
        <v>4179</v>
      </c>
      <c r="H1061" s="2213">
        <v>74.281000000000006</v>
      </c>
      <c r="L1061" s="2210"/>
      <c r="M1061" s="2214"/>
      <c r="T1061" s="2215"/>
      <c r="AT1061" s="2211" t="s">
        <v>3303</v>
      </c>
      <c r="AU1061" s="2211" t="s">
        <v>134</v>
      </c>
      <c r="AV1061" s="2209" t="s">
        <v>134</v>
      </c>
      <c r="AW1061" s="2209" t="s">
        <v>3171</v>
      </c>
      <c r="AX1061" s="2209" t="s">
        <v>3213</v>
      </c>
      <c r="AY1061" s="2211" t="s">
        <v>3285</v>
      </c>
    </row>
    <row r="1062" spans="2:65" s="2195" customFormat="1">
      <c r="B1062" s="2196"/>
      <c r="D1062" s="2197" t="s">
        <v>3303</v>
      </c>
      <c r="E1062" s="2198" t="s">
        <v>3146</v>
      </c>
      <c r="F1062" s="2199" t="s">
        <v>3661</v>
      </c>
      <c r="H1062" s="2198" t="s">
        <v>3146</v>
      </c>
      <c r="L1062" s="2196"/>
      <c r="M1062" s="2200"/>
      <c r="T1062" s="2201"/>
      <c r="AT1062" s="2198" t="s">
        <v>3303</v>
      </c>
      <c r="AU1062" s="2198" t="s">
        <v>134</v>
      </c>
      <c r="AV1062" s="2195" t="s">
        <v>133</v>
      </c>
      <c r="AW1062" s="2195" t="s">
        <v>3171</v>
      </c>
      <c r="AX1062" s="2195" t="s">
        <v>3213</v>
      </c>
      <c r="AY1062" s="2198" t="s">
        <v>3285</v>
      </c>
    </row>
    <row r="1063" spans="2:65" s="2209" customFormat="1">
      <c r="B1063" s="2210"/>
      <c r="D1063" s="2197" t="s">
        <v>3303</v>
      </c>
      <c r="E1063" s="2211" t="s">
        <v>3146</v>
      </c>
      <c r="F1063" s="2212" t="s">
        <v>4180</v>
      </c>
      <c r="H1063" s="2213">
        <v>64.021000000000001</v>
      </c>
      <c r="L1063" s="2210"/>
      <c r="M1063" s="2214"/>
      <c r="T1063" s="2215"/>
      <c r="AT1063" s="2211" t="s">
        <v>3303</v>
      </c>
      <c r="AU1063" s="2211" t="s">
        <v>134</v>
      </c>
      <c r="AV1063" s="2209" t="s">
        <v>134</v>
      </c>
      <c r="AW1063" s="2209" t="s">
        <v>3171</v>
      </c>
      <c r="AX1063" s="2209" t="s">
        <v>3213</v>
      </c>
      <c r="AY1063" s="2211" t="s">
        <v>3285</v>
      </c>
    </row>
    <row r="1064" spans="2:65" s="2195" customFormat="1">
      <c r="B1064" s="2196"/>
      <c r="D1064" s="2197" t="s">
        <v>3303</v>
      </c>
      <c r="E1064" s="2198" t="s">
        <v>3146</v>
      </c>
      <c r="F1064" s="2199" t="s">
        <v>3578</v>
      </c>
      <c r="H1064" s="2198" t="s">
        <v>3146</v>
      </c>
      <c r="L1064" s="2196"/>
      <c r="M1064" s="2200"/>
      <c r="T1064" s="2201"/>
      <c r="AT1064" s="2198" t="s">
        <v>3303</v>
      </c>
      <c r="AU1064" s="2198" t="s">
        <v>134</v>
      </c>
      <c r="AV1064" s="2195" t="s">
        <v>133</v>
      </c>
      <c r="AW1064" s="2195" t="s">
        <v>3171</v>
      </c>
      <c r="AX1064" s="2195" t="s">
        <v>3213</v>
      </c>
      <c r="AY1064" s="2198" t="s">
        <v>3285</v>
      </c>
    </row>
    <row r="1065" spans="2:65" s="2209" customFormat="1">
      <c r="B1065" s="2210"/>
      <c r="D1065" s="2197" t="s">
        <v>3303</v>
      </c>
      <c r="E1065" s="2211" t="s">
        <v>3146</v>
      </c>
      <c r="F1065" s="2212" t="s">
        <v>4180</v>
      </c>
      <c r="H1065" s="2213">
        <v>64.021000000000001</v>
      </c>
      <c r="L1065" s="2210"/>
      <c r="M1065" s="2214"/>
      <c r="T1065" s="2215"/>
      <c r="AT1065" s="2211" t="s">
        <v>3303</v>
      </c>
      <c r="AU1065" s="2211" t="s">
        <v>134</v>
      </c>
      <c r="AV1065" s="2209" t="s">
        <v>134</v>
      </c>
      <c r="AW1065" s="2209" t="s">
        <v>3171</v>
      </c>
      <c r="AX1065" s="2209" t="s">
        <v>3213</v>
      </c>
      <c r="AY1065" s="2211" t="s">
        <v>3285</v>
      </c>
    </row>
    <row r="1066" spans="2:65" s="2195" customFormat="1">
      <c r="B1066" s="2196"/>
      <c r="D1066" s="2197" t="s">
        <v>3303</v>
      </c>
      <c r="E1066" s="2198" t="s">
        <v>3146</v>
      </c>
      <c r="F1066" s="2199" t="s">
        <v>3580</v>
      </c>
      <c r="H1066" s="2198" t="s">
        <v>3146</v>
      </c>
      <c r="L1066" s="2196"/>
      <c r="M1066" s="2200"/>
      <c r="T1066" s="2201"/>
      <c r="AT1066" s="2198" t="s">
        <v>3303</v>
      </c>
      <c r="AU1066" s="2198" t="s">
        <v>134</v>
      </c>
      <c r="AV1066" s="2195" t="s">
        <v>133</v>
      </c>
      <c r="AW1066" s="2195" t="s">
        <v>3171</v>
      </c>
      <c r="AX1066" s="2195" t="s">
        <v>3213</v>
      </c>
      <c r="AY1066" s="2198" t="s">
        <v>3285</v>
      </c>
    </row>
    <row r="1067" spans="2:65" s="2209" customFormat="1">
      <c r="B1067" s="2210"/>
      <c r="D1067" s="2197" t="s">
        <v>3303</v>
      </c>
      <c r="E1067" s="2211" t="s">
        <v>3146</v>
      </c>
      <c r="F1067" s="2212" t="s">
        <v>11021</v>
      </c>
      <c r="H1067" s="2213">
        <v>63.337000000000003</v>
      </c>
      <c r="L1067" s="2210"/>
      <c r="M1067" s="2214"/>
      <c r="T1067" s="2215"/>
      <c r="AT1067" s="2211" t="s">
        <v>3303</v>
      </c>
      <c r="AU1067" s="2211" t="s">
        <v>134</v>
      </c>
      <c r="AV1067" s="2209" t="s">
        <v>134</v>
      </c>
      <c r="AW1067" s="2209" t="s">
        <v>3171</v>
      </c>
      <c r="AX1067" s="2209" t="s">
        <v>3213</v>
      </c>
      <c r="AY1067" s="2211" t="s">
        <v>3285</v>
      </c>
    </row>
    <row r="1068" spans="2:65" s="2216" customFormat="1">
      <c r="B1068" s="2217"/>
      <c r="D1068" s="2197" t="s">
        <v>3303</v>
      </c>
      <c r="E1068" s="2218" t="s">
        <v>3146</v>
      </c>
      <c r="F1068" s="2219" t="s">
        <v>3306</v>
      </c>
      <c r="H1068" s="2220">
        <v>265.66000000000003</v>
      </c>
      <c r="L1068" s="2217"/>
      <c r="M1068" s="2221"/>
      <c r="T1068" s="2222"/>
      <c r="AT1068" s="2218" t="s">
        <v>3303</v>
      </c>
      <c r="AU1068" s="2218" t="s">
        <v>134</v>
      </c>
      <c r="AV1068" s="2216" t="s">
        <v>856</v>
      </c>
      <c r="AW1068" s="2216" t="s">
        <v>3171</v>
      </c>
      <c r="AX1068" s="2216" t="s">
        <v>133</v>
      </c>
      <c r="AY1068" s="2218" t="s">
        <v>3285</v>
      </c>
    </row>
    <row r="1069" spans="2:65" s="2178" customFormat="1" ht="22.9" customHeight="1">
      <c r="B1069" s="2179"/>
      <c r="D1069" s="2180" t="s">
        <v>3212</v>
      </c>
      <c r="E1069" s="2188" t="s">
        <v>4181</v>
      </c>
      <c r="F1069" s="2188" t="s">
        <v>4182</v>
      </c>
      <c r="J1069" s="2189">
        <f>BK1069</f>
        <v>0</v>
      </c>
      <c r="L1069" s="2179"/>
      <c r="M1069" s="2183"/>
      <c r="P1069" s="2184">
        <f>SUM(P1070:P1087)</f>
        <v>1165.0361600000001</v>
      </c>
      <c r="R1069" s="2184">
        <f>SUM(R1070:R1087)</f>
        <v>11.286287799999998</v>
      </c>
      <c r="T1069" s="2185">
        <f>SUM(T1070:T1087)</f>
        <v>0</v>
      </c>
      <c r="AR1069" s="2180" t="s">
        <v>134</v>
      </c>
      <c r="AT1069" s="2186" t="s">
        <v>3212</v>
      </c>
      <c r="AU1069" s="2186" t="s">
        <v>133</v>
      </c>
      <c r="AY1069" s="2180" t="s">
        <v>3285</v>
      </c>
      <c r="BK1069" s="2187">
        <f>SUM(BK1070:BK1087)</f>
        <v>0</v>
      </c>
    </row>
    <row r="1070" spans="2:65" s="2070" customFormat="1" ht="21.75" customHeight="1">
      <c r="B1070" s="2164"/>
      <c r="C1070" s="4608" t="s">
        <v>5083</v>
      </c>
      <c r="D1070" s="4608" t="s">
        <v>3286</v>
      </c>
      <c r="E1070" s="4609" t="s">
        <v>4184</v>
      </c>
      <c r="F1070" s="4610" t="s">
        <v>4185</v>
      </c>
      <c r="G1070" s="4611" t="s">
        <v>611</v>
      </c>
      <c r="H1070" s="4612">
        <v>9101.8449999999993</v>
      </c>
      <c r="I1070" s="4613"/>
      <c r="J1070" s="4613">
        <f>ROUND(I1070*H1070,2)</f>
        <v>0</v>
      </c>
      <c r="K1070" s="4610" t="s">
        <v>142</v>
      </c>
      <c r="L1070" s="2071"/>
      <c r="M1070" s="2190" t="s">
        <v>3146</v>
      </c>
      <c r="N1070" s="2163" t="s">
        <v>3181</v>
      </c>
      <c r="O1070" s="2191">
        <v>3.1E-2</v>
      </c>
      <c r="P1070" s="2191">
        <f>O1070*H1070</f>
        <v>282.157195</v>
      </c>
      <c r="Q1070" s="2191">
        <v>2.1000000000000001E-4</v>
      </c>
      <c r="R1070" s="2191">
        <f>Q1070*H1070</f>
        <v>1.9113874499999999</v>
      </c>
      <c r="S1070" s="2191">
        <v>0</v>
      </c>
      <c r="T1070" s="2192">
        <f>S1070*H1070</f>
        <v>0</v>
      </c>
      <c r="AR1070" s="2193" t="s">
        <v>2894</v>
      </c>
      <c r="AT1070" s="2193" t="s">
        <v>3286</v>
      </c>
      <c r="AU1070" s="2193" t="s">
        <v>134</v>
      </c>
      <c r="AY1070" s="2056" t="s">
        <v>3285</v>
      </c>
      <c r="BE1070" s="2194">
        <f>IF(N1070="základní",J1070,0)</f>
        <v>0</v>
      </c>
      <c r="BF1070" s="2194">
        <f>IF(N1070="snížená",J1070,0)</f>
        <v>0</v>
      </c>
      <c r="BG1070" s="2194">
        <f>IF(N1070="zákl. přenesená",J1070,0)</f>
        <v>0</v>
      </c>
      <c r="BH1070" s="2194">
        <f>IF(N1070="sníž. přenesená",J1070,0)</f>
        <v>0</v>
      </c>
      <c r="BI1070" s="2194">
        <f>IF(N1070="nulová",J1070,0)</f>
        <v>0</v>
      </c>
      <c r="BJ1070" s="2056" t="s">
        <v>134</v>
      </c>
      <c r="BK1070" s="2194">
        <f>ROUND(I1070*H1070,2)</f>
        <v>0</v>
      </c>
      <c r="BL1070" s="2056" t="s">
        <v>2894</v>
      </c>
      <c r="BM1070" s="2193" t="s">
        <v>4186</v>
      </c>
    </row>
    <row r="1071" spans="2:65" s="2070" customFormat="1" ht="24.2" customHeight="1">
      <c r="B1071" s="2164"/>
      <c r="C1071" s="4608" t="s">
        <v>4611</v>
      </c>
      <c r="D1071" s="4608" t="s">
        <v>3286</v>
      </c>
      <c r="E1071" s="4609" t="s">
        <v>4188</v>
      </c>
      <c r="F1071" s="4610" t="s">
        <v>4189</v>
      </c>
      <c r="G1071" s="4611" t="s">
        <v>611</v>
      </c>
      <c r="H1071" s="4612">
        <v>9101.8449999999993</v>
      </c>
      <c r="I1071" s="4613"/>
      <c r="J1071" s="4613">
        <f>ROUND(I1071*H1071,2)</f>
        <v>0</v>
      </c>
      <c r="K1071" s="4610" t="s">
        <v>142</v>
      </c>
      <c r="L1071" s="2071"/>
      <c r="M1071" s="2190" t="s">
        <v>3146</v>
      </c>
      <c r="N1071" s="2163" t="s">
        <v>3181</v>
      </c>
      <c r="O1071" s="2191">
        <v>3.3000000000000002E-2</v>
      </c>
      <c r="P1071" s="2191">
        <f>O1071*H1071</f>
        <v>300.360885</v>
      </c>
      <c r="Q1071" s="2191">
        <v>7.3999999999999999E-4</v>
      </c>
      <c r="R1071" s="2191">
        <f>Q1071*H1071</f>
        <v>6.7353652999999998</v>
      </c>
      <c r="S1071" s="2191">
        <v>0</v>
      </c>
      <c r="T1071" s="2192">
        <f>S1071*H1071</f>
        <v>0</v>
      </c>
      <c r="AR1071" s="2193" t="s">
        <v>2894</v>
      </c>
      <c r="AT1071" s="2193" t="s">
        <v>3286</v>
      </c>
      <c r="AU1071" s="2193" t="s">
        <v>134</v>
      </c>
      <c r="AY1071" s="2056" t="s">
        <v>3285</v>
      </c>
      <c r="BE1071" s="2194">
        <f>IF(N1071="základní",J1071,0)</f>
        <v>0</v>
      </c>
      <c r="BF1071" s="2194">
        <f>IF(N1071="snížená",J1071,0)</f>
        <v>0</v>
      </c>
      <c r="BG1071" s="2194">
        <f>IF(N1071="zákl. přenesená",J1071,0)</f>
        <v>0</v>
      </c>
      <c r="BH1071" s="2194">
        <f>IF(N1071="sníž. přenesená",J1071,0)</f>
        <v>0</v>
      </c>
      <c r="BI1071" s="2194">
        <f>IF(N1071="nulová",J1071,0)</f>
        <v>0</v>
      </c>
      <c r="BJ1071" s="2056" t="s">
        <v>134</v>
      </c>
      <c r="BK1071" s="2194">
        <f>ROUND(I1071*H1071,2)</f>
        <v>0</v>
      </c>
      <c r="BL1071" s="2056" t="s">
        <v>2894</v>
      </c>
      <c r="BM1071" s="2193" t="s">
        <v>4190</v>
      </c>
    </row>
    <row r="1072" spans="2:65" s="2195" customFormat="1">
      <c r="B1072" s="2196"/>
      <c r="D1072" s="2197" t="s">
        <v>3303</v>
      </c>
      <c r="E1072" s="2198" t="s">
        <v>3146</v>
      </c>
      <c r="F1072" s="2199" t="s">
        <v>3517</v>
      </c>
      <c r="H1072" s="2198" t="s">
        <v>3146</v>
      </c>
      <c r="L1072" s="2196"/>
      <c r="M1072" s="2200"/>
      <c r="T1072" s="2201"/>
      <c r="AT1072" s="2198" t="s">
        <v>3303</v>
      </c>
      <c r="AU1072" s="2198" t="s">
        <v>134</v>
      </c>
      <c r="AV1072" s="2195" t="s">
        <v>133</v>
      </c>
      <c r="AW1072" s="2195" t="s">
        <v>3171</v>
      </c>
      <c r="AX1072" s="2195" t="s">
        <v>3213</v>
      </c>
      <c r="AY1072" s="2198" t="s">
        <v>3285</v>
      </c>
    </row>
    <row r="1073" spans="2:65" s="2209" customFormat="1">
      <c r="B1073" s="2210"/>
      <c r="D1073" s="2197" t="s">
        <v>3303</v>
      </c>
      <c r="E1073" s="2211" t="s">
        <v>3146</v>
      </c>
      <c r="F1073" s="2212" t="s">
        <v>4191</v>
      </c>
      <c r="H1073" s="2213">
        <v>2116.9560000000001</v>
      </c>
      <c r="L1073" s="2210"/>
      <c r="M1073" s="2214"/>
      <c r="T1073" s="2215"/>
      <c r="AT1073" s="2211" t="s">
        <v>3303</v>
      </c>
      <c r="AU1073" s="2211" t="s">
        <v>134</v>
      </c>
      <c r="AV1073" s="2209" t="s">
        <v>134</v>
      </c>
      <c r="AW1073" s="2209" t="s">
        <v>3171</v>
      </c>
      <c r="AX1073" s="2209" t="s">
        <v>3213</v>
      </c>
      <c r="AY1073" s="2211" t="s">
        <v>3285</v>
      </c>
    </row>
    <row r="1074" spans="2:65" s="2195" customFormat="1">
      <c r="B1074" s="2196"/>
      <c r="D1074" s="2197" t="s">
        <v>3303</v>
      </c>
      <c r="E1074" s="2198" t="s">
        <v>3146</v>
      </c>
      <c r="F1074" s="2199" t="s">
        <v>3661</v>
      </c>
      <c r="H1074" s="2198" t="s">
        <v>3146</v>
      </c>
      <c r="L1074" s="2196"/>
      <c r="M1074" s="2200"/>
      <c r="T1074" s="2201"/>
      <c r="AT1074" s="2198" t="s">
        <v>3303</v>
      </c>
      <c r="AU1074" s="2198" t="s">
        <v>134</v>
      </c>
      <c r="AV1074" s="2195" t="s">
        <v>133</v>
      </c>
      <c r="AW1074" s="2195" t="s">
        <v>3171</v>
      </c>
      <c r="AX1074" s="2195" t="s">
        <v>3213</v>
      </c>
      <c r="AY1074" s="2198" t="s">
        <v>3285</v>
      </c>
    </row>
    <row r="1075" spans="2:65" s="2209" customFormat="1">
      <c r="B1075" s="2210"/>
      <c r="D1075" s="2197" t="s">
        <v>3303</v>
      </c>
      <c r="E1075" s="2211" t="s">
        <v>3146</v>
      </c>
      <c r="F1075" s="2212" t="s">
        <v>4192</v>
      </c>
      <c r="H1075" s="2213">
        <v>1789.9469999999999</v>
      </c>
      <c r="L1075" s="2210"/>
      <c r="M1075" s="2214"/>
      <c r="T1075" s="2215"/>
      <c r="AT1075" s="2211" t="s">
        <v>3303</v>
      </c>
      <c r="AU1075" s="2211" t="s">
        <v>134</v>
      </c>
      <c r="AV1075" s="2209" t="s">
        <v>134</v>
      </c>
      <c r="AW1075" s="2209" t="s">
        <v>3171</v>
      </c>
      <c r="AX1075" s="2209" t="s">
        <v>3213</v>
      </c>
      <c r="AY1075" s="2211" t="s">
        <v>3285</v>
      </c>
    </row>
    <row r="1076" spans="2:65" s="2195" customFormat="1">
      <c r="B1076" s="2196"/>
      <c r="D1076" s="2197" t="s">
        <v>3303</v>
      </c>
      <c r="E1076" s="2198" t="s">
        <v>3146</v>
      </c>
      <c r="F1076" s="2199" t="s">
        <v>3578</v>
      </c>
      <c r="H1076" s="2198" t="s">
        <v>3146</v>
      </c>
      <c r="L1076" s="2196"/>
      <c r="M1076" s="2200"/>
      <c r="T1076" s="2201"/>
      <c r="AT1076" s="2198" t="s">
        <v>3303</v>
      </c>
      <c r="AU1076" s="2198" t="s">
        <v>134</v>
      </c>
      <c r="AV1076" s="2195" t="s">
        <v>133</v>
      </c>
      <c r="AW1076" s="2195" t="s">
        <v>3171</v>
      </c>
      <c r="AX1076" s="2195" t="s">
        <v>3213</v>
      </c>
      <c r="AY1076" s="2198" t="s">
        <v>3285</v>
      </c>
    </row>
    <row r="1077" spans="2:65" s="2209" customFormat="1">
      <c r="B1077" s="2210"/>
      <c r="D1077" s="2197" t="s">
        <v>3303</v>
      </c>
      <c r="E1077" s="2211" t="s">
        <v>3146</v>
      </c>
      <c r="F1077" s="2212" t="s">
        <v>4193</v>
      </c>
      <c r="H1077" s="2213">
        <v>2099.7150000000001</v>
      </c>
      <c r="L1077" s="2210"/>
      <c r="M1077" s="2214"/>
      <c r="T1077" s="2215"/>
      <c r="AT1077" s="2211" t="s">
        <v>3303</v>
      </c>
      <c r="AU1077" s="2211" t="s">
        <v>134</v>
      </c>
      <c r="AV1077" s="2209" t="s">
        <v>134</v>
      </c>
      <c r="AW1077" s="2209" t="s">
        <v>3171</v>
      </c>
      <c r="AX1077" s="2209" t="s">
        <v>3213</v>
      </c>
      <c r="AY1077" s="2211" t="s">
        <v>3285</v>
      </c>
    </row>
    <row r="1078" spans="2:65" s="2195" customFormat="1">
      <c r="B1078" s="2196"/>
      <c r="D1078" s="2197" t="s">
        <v>3303</v>
      </c>
      <c r="E1078" s="2198" t="s">
        <v>3146</v>
      </c>
      <c r="F1078" s="2199" t="s">
        <v>3580</v>
      </c>
      <c r="H1078" s="2198" t="s">
        <v>3146</v>
      </c>
      <c r="L1078" s="2196"/>
      <c r="M1078" s="2200"/>
      <c r="T1078" s="2201"/>
      <c r="AT1078" s="2198" t="s">
        <v>3303</v>
      </c>
      <c r="AU1078" s="2198" t="s">
        <v>134</v>
      </c>
      <c r="AV1078" s="2195" t="s">
        <v>133</v>
      </c>
      <c r="AW1078" s="2195" t="s">
        <v>3171</v>
      </c>
      <c r="AX1078" s="2195" t="s">
        <v>3213</v>
      </c>
      <c r="AY1078" s="2198" t="s">
        <v>3285</v>
      </c>
    </row>
    <row r="1079" spans="2:65" s="2209" customFormat="1">
      <c r="B1079" s="2210"/>
      <c r="D1079" s="2197" t="s">
        <v>3303</v>
      </c>
      <c r="E1079" s="2211" t="s">
        <v>3146</v>
      </c>
      <c r="F1079" s="2212" t="s">
        <v>4194</v>
      </c>
      <c r="H1079" s="2213">
        <v>1969.424</v>
      </c>
      <c r="L1079" s="2210"/>
      <c r="M1079" s="2214"/>
      <c r="T1079" s="2215"/>
      <c r="AT1079" s="2211" t="s">
        <v>3303</v>
      </c>
      <c r="AU1079" s="2211" t="s">
        <v>134</v>
      </c>
      <c r="AV1079" s="2209" t="s">
        <v>134</v>
      </c>
      <c r="AW1079" s="2209" t="s">
        <v>3171</v>
      </c>
      <c r="AX1079" s="2209" t="s">
        <v>3213</v>
      </c>
      <c r="AY1079" s="2211" t="s">
        <v>3285</v>
      </c>
    </row>
    <row r="1080" spans="2:65" s="2202" customFormat="1">
      <c r="B1080" s="2203"/>
      <c r="D1080" s="2197" t="s">
        <v>3303</v>
      </c>
      <c r="E1080" s="2204" t="s">
        <v>3146</v>
      </c>
      <c r="F1080" s="2205" t="s">
        <v>3305</v>
      </c>
      <c r="H1080" s="2206">
        <v>7976.0420000000004</v>
      </c>
      <c r="L1080" s="2203"/>
      <c r="M1080" s="2207"/>
      <c r="T1080" s="2208"/>
      <c r="AT1080" s="2204" t="s">
        <v>3303</v>
      </c>
      <c r="AU1080" s="2204" t="s">
        <v>134</v>
      </c>
      <c r="AV1080" s="2202" t="s">
        <v>854</v>
      </c>
      <c r="AW1080" s="2202" t="s">
        <v>3171</v>
      </c>
      <c r="AX1080" s="2202" t="s">
        <v>3213</v>
      </c>
      <c r="AY1080" s="2204" t="s">
        <v>3285</v>
      </c>
    </row>
    <row r="1081" spans="2:65" s="2209" customFormat="1">
      <c r="B1081" s="2210"/>
      <c r="D1081" s="2197" t="s">
        <v>3303</v>
      </c>
      <c r="E1081" s="2211" t="s">
        <v>3146</v>
      </c>
      <c r="F1081" s="2212" t="s">
        <v>4195</v>
      </c>
      <c r="H1081" s="2213">
        <v>294.85599999999999</v>
      </c>
      <c r="L1081" s="2210"/>
      <c r="M1081" s="2214"/>
      <c r="T1081" s="2215"/>
      <c r="AT1081" s="2211" t="s">
        <v>3303</v>
      </c>
      <c r="AU1081" s="2211" t="s">
        <v>134</v>
      </c>
      <c r="AV1081" s="2209" t="s">
        <v>134</v>
      </c>
      <c r="AW1081" s="2209" t="s">
        <v>3171</v>
      </c>
      <c r="AX1081" s="2209" t="s">
        <v>3213</v>
      </c>
      <c r="AY1081" s="2211" t="s">
        <v>3285</v>
      </c>
    </row>
    <row r="1082" spans="2:65" s="2209" customFormat="1">
      <c r="B1082" s="2210"/>
      <c r="D1082" s="2197" t="s">
        <v>3303</v>
      </c>
      <c r="E1082" s="2211" t="s">
        <v>3146</v>
      </c>
      <c r="F1082" s="2212" t="s">
        <v>4196</v>
      </c>
      <c r="H1082" s="2213">
        <v>272.78199999999998</v>
      </c>
      <c r="L1082" s="2210"/>
      <c r="M1082" s="2214"/>
      <c r="T1082" s="2215"/>
      <c r="AT1082" s="2211" t="s">
        <v>3303</v>
      </c>
      <c r="AU1082" s="2211" t="s">
        <v>134</v>
      </c>
      <c r="AV1082" s="2209" t="s">
        <v>134</v>
      </c>
      <c r="AW1082" s="2209" t="s">
        <v>3171</v>
      </c>
      <c r="AX1082" s="2209" t="s">
        <v>3213</v>
      </c>
      <c r="AY1082" s="2211" t="s">
        <v>3285</v>
      </c>
    </row>
    <row r="1083" spans="2:65" s="2209" customFormat="1">
      <c r="B1083" s="2210"/>
      <c r="D1083" s="2197" t="s">
        <v>3303</v>
      </c>
      <c r="E1083" s="2211" t="s">
        <v>3146</v>
      </c>
      <c r="F1083" s="2212" t="s">
        <v>3660</v>
      </c>
      <c r="H1083" s="2213">
        <v>440.01100000000002</v>
      </c>
      <c r="L1083" s="2210"/>
      <c r="M1083" s="2214"/>
      <c r="T1083" s="2215"/>
      <c r="AT1083" s="2211" t="s">
        <v>3303</v>
      </c>
      <c r="AU1083" s="2211" t="s">
        <v>134</v>
      </c>
      <c r="AV1083" s="2209" t="s">
        <v>134</v>
      </c>
      <c r="AW1083" s="2209" t="s">
        <v>3171</v>
      </c>
      <c r="AX1083" s="2209" t="s">
        <v>3213</v>
      </c>
      <c r="AY1083" s="2211" t="s">
        <v>3285</v>
      </c>
    </row>
    <row r="1084" spans="2:65" s="2209" customFormat="1">
      <c r="B1084" s="2210"/>
      <c r="D1084" s="2197" t="s">
        <v>3303</v>
      </c>
      <c r="E1084" s="2211" t="s">
        <v>3146</v>
      </c>
      <c r="F1084" s="2212" t="s">
        <v>4197</v>
      </c>
      <c r="H1084" s="2213">
        <v>118.154</v>
      </c>
      <c r="L1084" s="2210"/>
      <c r="M1084" s="2214"/>
      <c r="T1084" s="2215"/>
      <c r="AT1084" s="2211" t="s">
        <v>3303</v>
      </c>
      <c r="AU1084" s="2211" t="s">
        <v>134</v>
      </c>
      <c r="AV1084" s="2209" t="s">
        <v>134</v>
      </c>
      <c r="AW1084" s="2209" t="s">
        <v>3171</v>
      </c>
      <c r="AX1084" s="2209" t="s">
        <v>3213</v>
      </c>
      <c r="AY1084" s="2211" t="s">
        <v>3285</v>
      </c>
    </row>
    <row r="1085" spans="2:65" s="2202" customFormat="1">
      <c r="B1085" s="2203"/>
      <c r="D1085" s="2197" t="s">
        <v>3303</v>
      </c>
      <c r="E1085" s="2204" t="s">
        <v>3146</v>
      </c>
      <c r="F1085" s="2205" t="s">
        <v>3305</v>
      </c>
      <c r="H1085" s="2206">
        <v>1125.8030000000001</v>
      </c>
      <c r="L1085" s="2203"/>
      <c r="M1085" s="2207"/>
      <c r="T1085" s="2208"/>
      <c r="AT1085" s="2204" t="s">
        <v>3303</v>
      </c>
      <c r="AU1085" s="2204" t="s">
        <v>134</v>
      </c>
      <c r="AV1085" s="2202" t="s">
        <v>854</v>
      </c>
      <c r="AW1085" s="2202" t="s">
        <v>3171</v>
      </c>
      <c r="AX1085" s="2202" t="s">
        <v>3213</v>
      </c>
      <c r="AY1085" s="2204" t="s">
        <v>3285</v>
      </c>
    </row>
    <row r="1086" spans="2:65" s="2216" customFormat="1">
      <c r="B1086" s="2217"/>
      <c r="D1086" s="2197" t="s">
        <v>3303</v>
      </c>
      <c r="E1086" s="2218" t="s">
        <v>3146</v>
      </c>
      <c r="F1086" s="2219" t="s">
        <v>3306</v>
      </c>
      <c r="H1086" s="2220">
        <v>9101.8449999999993</v>
      </c>
      <c r="L1086" s="2217"/>
      <c r="M1086" s="2221"/>
      <c r="T1086" s="2222"/>
      <c r="AT1086" s="2218" t="s">
        <v>3303</v>
      </c>
      <c r="AU1086" s="2218" t="s">
        <v>134</v>
      </c>
      <c r="AV1086" s="2216" t="s">
        <v>856</v>
      </c>
      <c r="AW1086" s="2216" t="s">
        <v>3171</v>
      </c>
      <c r="AX1086" s="2216" t="s">
        <v>133</v>
      </c>
      <c r="AY1086" s="2218" t="s">
        <v>3285</v>
      </c>
    </row>
    <row r="1087" spans="2:65" s="2070" customFormat="1" ht="24.2" customHeight="1">
      <c r="B1087" s="2164"/>
      <c r="C1087" s="4608" t="s">
        <v>4616</v>
      </c>
      <c r="D1087" s="4608" t="s">
        <v>3286</v>
      </c>
      <c r="E1087" s="4609" t="s">
        <v>4199</v>
      </c>
      <c r="F1087" s="4610" t="s">
        <v>4200</v>
      </c>
      <c r="G1087" s="4611" t="s">
        <v>611</v>
      </c>
      <c r="H1087" s="4612">
        <v>9101.8449999999993</v>
      </c>
      <c r="I1087" s="4613"/>
      <c r="J1087" s="4613">
        <f>ROUND(I1087*H1087,2)</f>
        <v>0</v>
      </c>
      <c r="K1087" s="4610" t="s">
        <v>142</v>
      </c>
      <c r="L1087" s="2071"/>
      <c r="M1087" s="2190" t="s">
        <v>3146</v>
      </c>
      <c r="N1087" s="2163" t="s">
        <v>3181</v>
      </c>
      <c r="O1087" s="2191">
        <v>6.4000000000000001E-2</v>
      </c>
      <c r="P1087" s="2191">
        <f>O1087*H1087</f>
        <v>582.51807999999994</v>
      </c>
      <c r="Q1087" s="2191">
        <v>2.9E-4</v>
      </c>
      <c r="R1087" s="2191">
        <f>Q1087*H1087</f>
        <v>2.6395350499999997</v>
      </c>
      <c r="S1087" s="2191">
        <v>0</v>
      </c>
      <c r="T1087" s="2192">
        <f>S1087*H1087</f>
        <v>0</v>
      </c>
      <c r="AR1087" s="2193" t="s">
        <v>2894</v>
      </c>
      <c r="AT1087" s="2193" t="s">
        <v>3286</v>
      </c>
      <c r="AU1087" s="2193" t="s">
        <v>134</v>
      </c>
      <c r="AY1087" s="2056" t="s">
        <v>3285</v>
      </c>
      <c r="BE1087" s="2194">
        <f>IF(N1087="základní",J1087,0)</f>
        <v>0</v>
      </c>
      <c r="BF1087" s="2194">
        <f>IF(N1087="snížená",J1087,0)</f>
        <v>0</v>
      </c>
      <c r="BG1087" s="2194">
        <f>IF(N1087="zákl. přenesená",J1087,0)</f>
        <v>0</v>
      </c>
      <c r="BH1087" s="2194">
        <f>IF(N1087="sníž. přenesená",J1087,0)</f>
        <v>0</v>
      </c>
      <c r="BI1087" s="2194">
        <f>IF(N1087="nulová",J1087,0)</f>
        <v>0</v>
      </c>
      <c r="BJ1087" s="2056" t="s">
        <v>134</v>
      </c>
      <c r="BK1087" s="2194">
        <f>ROUND(I1087*H1087,2)</f>
        <v>0</v>
      </c>
      <c r="BL1087" s="2056" t="s">
        <v>2894</v>
      </c>
      <c r="BM1087" s="2193" t="s">
        <v>4201</v>
      </c>
    </row>
    <row r="1088" spans="2:65" s="2178" customFormat="1" ht="22.9" customHeight="1">
      <c r="B1088" s="2179"/>
      <c r="D1088" s="2180" t="s">
        <v>3212</v>
      </c>
      <c r="E1088" s="2188" t="s">
        <v>4202</v>
      </c>
      <c r="F1088" s="2188" t="s">
        <v>4203</v>
      </c>
      <c r="J1088" s="2189">
        <f>BK1088</f>
        <v>0</v>
      </c>
      <c r="L1088" s="2179"/>
      <c r="M1088" s="2183"/>
      <c r="P1088" s="2184">
        <f>SUM(P1089:P1107)</f>
        <v>113.82209399999999</v>
      </c>
      <c r="R1088" s="2184">
        <f>SUM(R1089:R1107)</f>
        <v>4.9139300000000004E-3</v>
      </c>
      <c r="T1088" s="2185">
        <f>SUM(T1089:T1107)</f>
        <v>0</v>
      </c>
      <c r="AR1088" s="2180" t="s">
        <v>134</v>
      </c>
      <c r="AT1088" s="2186" t="s">
        <v>3212</v>
      </c>
      <c r="AU1088" s="2186" t="s">
        <v>133</v>
      </c>
      <c r="AY1088" s="2180" t="s">
        <v>3285</v>
      </c>
      <c r="BK1088" s="2187">
        <f>SUM(BK1089:BK1107)</f>
        <v>0</v>
      </c>
    </row>
    <row r="1089" spans="2:65" s="2070" customFormat="1" ht="16.5" customHeight="1">
      <c r="B1089" s="2164"/>
      <c r="C1089" s="4608" t="s">
        <v>4618</v>
      </c>
      <c r="D1089" s="4608" t="s">
        <v>3286</v>
      </c>
      <c r="E1089" s="4609" t="s">
        <v>11022</v>
      </c>
      <c r="F1089" s="4610" t="s">
        <v>11023</v>
      </c>
      <c r="G1089" s="4611" t="s">
        <v>611</v>
      </c>
      <c r="H1089" s="4612">
        <v>315.68700000000001</v>
      </c>
      <c r="I1089" s="4613"/>
      <c r="J1089" s="4613">
        <f>ROUND(I1089*H1089,2)</f>
        <v>0</v>
      </c>
      <c r="K1089" s="4610" t="s">
        <v>3146</v>
      </c>
      <c r="L1089" s="2071"/>
      <c r="M1089" s="2190" t="s">
        <v>3146</v>
      </c>
      <c r="N1089" s="2163" t="s">
        <v>3181</v>
      </c>
      <c r="O1089" s="2191">
        <v>0</v>
      </c>
      <c r="P1089" s="2191">
        <f>O1089*H1089</f>
        <v>0</v>
      </c>
      <c r="Q1089" s="2191">
        <v>0</v>
      </c>
      <c r="R1089" s="2191">
        <f>Q1089*H1089</f>
        <v>0</v>
      </c>
      <c r="S1089" s="2191">
        <v>0</v>
      </c>
      <c r="T1089" s="2192">
        <f>S1089*H1089</f>
        <v>0</v>
      </c>
      <c r="AR1089" s="2193" t="s">
        <v>2894</v>
      </c>
      <c r="AT1089" s="2193" t="s">
        <v>3286</v>
      </c>
      <c r="AU1089" s="2193" t="s">
        <v>134</v>
      </c>
      <c r="AY1089" s="2056" t="s">
        <v>3285</v>
      </c>
      <c r="BE1089" s="2194">
        <f>IF(N1089="základní",J1089,0)</f>
        <v>0</v>
      </c>
      <c r="BF1089" s="2194">
        <f>IF(N1089="snížená",J1089,0)</f>
        <v>0</v>
      </c>
      <c r="BG1089" s="2194">
        <f>IF(N1089="zákl. přenesená",J1089,0)</f>
        <v>0</v>
      </c>
      <c r="BH1089" s="2194">
        <f>IF(N1089="sníž. přenesená",J1089,0)</f>
        <v>0</v>
      </c>
      <c r="BI1089" s="2194">
        <f>IF(N1089="nulová",J1089,0)</f>
        <v>0</v>
      </c>
      <c r="BJ1089" s="2056" t="s">
        <v>134</v>
      </c>
      <c r="BK1089" s="2194">
        <f>ROUND(I1089*H1089,2)</f>
        <v>0</v>
      </c>
      <c r="BL1089" s="2056" t="s">
        <v>2894</v>
      </c>
      <c r="BM1089" s="2193" t="s">
        <v>11024</v>
      </c>
    </row>
    <row r="1090" spans="2:65" s="2195" customFormat="1">
      <c r="B1090" s="2196"/>
      <c r="D1090" s="2197" t="s">
        <v>3303</v>
      </c>
      <c r="E1090" s="2198" t="s">
        <v>3146</v>
      </c>
      <c r="F1090" s="2199" t="s">
        <v>3661</v>
      </c>
      <c r="H1090" s="2198" t="s">
        <v>3146</v>
      </c>
      <c r="L1090" s="2196"/>
      <c r="M1090" s="2200"/>
      <c r="T1090" s="2201"/>
      <c r="AT1090" s="2198" t="s">
        <v>3303</v>
      </c>
      <c r="AU1090" s="2198" t="s">
        <v>134</v>
      </c>
      <c r="AV1090" s="2195" t="s">
        <v>133</v>
      </c>
      <c r="AW1090" s="2195" t="s">
        <v>3171</v>
      </c>
      <c r="AX1090" s="2195" t="s">
        <v>3213</v>
      </c>
      <c r="AY1090" s="2198" t="s">
        <v>3285</v>
      </c>
    </row>
    <row r="1091" spans="2:65" s="2209" customFormat="1">
      <c r="B1091" s="2210"/>
      <c r="D1091" s="2197" t="s">
        <v>3303</v>
      </c>
      <c r="E1091" s="2211" t="s">
        <v>3146</v>
      </c>
      <c r="F1091" s="2212" t="s">
        <v>11025</v>
      </c>
      <c r="H1091" s="2213">
        <v>76.647999999999996</v>
      </c>
      <c r="L1091" s="2210"/>
      <c r="M1091" s="2214"/>
      <c r="T1091" s="2215"/>
      <c r="AT1091" s="2211" t="s">
        <v>3303</v>
      </c>
      <c r="AU1091" s="2211" t="s">
        <v>134</v>
      </c>
      <c r="AV1091" s="2209" t="s">
        <v>134</v>
      </c>
      <c r="AW1091" s="2209" t="s">
        <v>3171</v>
      </c>
      <c r="AX1091" s="2209" t="s">
        <v>3213</v>
      </c>
      <c r="AY1091" s="2211" t="s">
        <v>3285</v>
      </c>
    </row>
    <row r="1092" spans="2:65" s="2195" customFormat="1">
      <c r="B1092" s="2196"/>
      <c r="D1092" s="2197" t="s">
        <v>3303</v>
      </c>
      <c r="E1092" s="2198" t="s">
        <v>3146</v>
      </c>
      <c r="F1092" s="2199" t="s">
        <v>3578</v>
      </c>
      <c r="H1092" s="2198" t="s">
        <v>3146</v>
      </c>
      <c r="L1092" s="2196"/>
      <c r="M1092" s="2200"/>
      <c r="T1092" s="2201"/>
      <c r="AT1092" s="2198" t="s">
        <v>3303</v>
      </c>
      <c r="AU1092" s="2198" t="s">
        <v>134</v>
      </c>
      <c r="AV1092" s="2195" t="s">
        <v>133</v>
      </c>
      <c r="AW1092" s="2195" t="s">
        <v>3171</v>
      </c>
      <c r="AX1092" s="2195" t="s">
        <v>3213</v>
      </c>
      <c r="AY1092" s="2198" t="s">
        <v>3285</v>
      </c>
    </row>
    <row r="1093" spans="2:65" s="2209" customFormat="1">
      <c r="B1093" s="2210"/>
      <c r="D1093" s="2197" t="s">
        <v>3303</v>
      </c>
      <c r="E1093" s="2211" t="s">
        <v>3146</v>
      </c>
      <c r="F1093" s="2212" t="s">
        <v>11026</v>
      </c>
      <c r="H1093" s="2213">
        <v>112.291</v>
      </c>
      <c r="L1093" s="2210"/>
      <c r="M1093" s="2214"/>
      <c r="T1093" s="2215"/>
      <c r="AT1093" s="2211" t="s">
        <v>3303</v>
      </c>
      <c r="AU1093" s="2211" t="s">
        <v>134</v>
      </c>
      <c r="AV1093" s="2209" t="s">
        <v>134</v>
      </c>
      <c r="AW1093" s="2209" t="s">
        <v>3171</v>
      </c>
      <c r="AX1093" s="2209" t="s">
        <v>3213</v>
      </c>
      <c r="AY1093" s="2211" t="s">
        <v>3285</v>
      </c>
    </row>
    <row r="1094" spans="2:65" s="2195" customFormat="1">
      <c r="B1094" s="2196"/>
      <c r="D1094" s="2197" t="s">
        <v>3303</v>
      </c>
      <c r="E1094" s="2198" t="s">
        <v>3146</v>
      </c>
      <c r="F1094" s="2199" t="s">
        <v>3580</v>
      </c>
      <c r="H1094" s="2198" t="s">
        <v>3146</v>
      </c>
      <c r="L1094" s="2196"/>
      <c r="M1094" s="2200"/>
      <c r="T1094" s="2201"/>
      <c r="AT1094" s="2198" t="s">
        <v>3303</v>
      </c>
      <c r="AU1094" s="2198" t="s">
        <v>134</v>
      </c>
      <c r="AV1094" s="2195" t="s">
        <v>133</v>
      </c>
      <c r="AW1094" s="2195" t="s">
        <v>3171</v>
      </c>
      <c r="AX1094" s="2195" t="s">
        <v>3213</v>
      </c>
      <c r="AY1094" s="2198" t="s">
        <v>3285</v>
      </c>
    </row>
    <row r="1095" spans="2:65" s="2209" customFormat="1">
      <c r="B1095" s="2210"/>
      <c r="D1095" s="2197" t="s">
        <v>3303</v>
      </c>
      <c r="E1095" s="2211" t="s">
        <v>3146</v>
      </c>
      <c r="F1095" s="2212" t="s">
        <v>11027</v>
      </c>
      <c r="H1095" s="2213">
        <v>126.748</v>
      </c>
      <c r="L1095" s="2210"/>
      <c r="M1095" s="2214"/>
      <c r="T1095" s="2215"/>
      <c r="AT1095" s="2211" t="s">
        <v>3303</v>
      </c>
      <c r="AU1095" s="2211" t="s">
        <v>134</v>
      </c>
      <c r="AV1095" s="2209" t="s">
        <v>134</v>
      </c>
      <c r="AW1095" s="2209" t="s">
        <v>3171</v>
      </c>
      <c r="AX1095" s="2209" t="s">
        <v>3213</v>
      </c>
      <c r="AY1095" s="2211" t="s">
        <v>3285</v>
      </c>
    </row>
    <row r="1096" spans="2:65" s="2216" customFormat="1">
      <c r="B1096" s="2217"/>
      <c r="D1096" s="2197" t="s">
        <v>3303</v>
      </c>
      <c r="E1096" s="2218" t="s">
        <v>3146</v>
      </c>
      <c r="F1096" s="2219" t="s">
        <v>3306</v>
      </c>
      <c r="H1096" s="2220">
        <v>315.68700000000001</v>
      </c>
      <c r="L1096" s="2217"/>
      <c r="M1096" s="2221"/>
      <c r="T1096" s="2222"/>
      <c r="AT1096" s="2218" t="s">
        <v>3303</v>
      </c>
      <c r="AU1096" s="2218" t="s">
        <v>134</v>
      </c>
      <c r="AV1096" s="2216" t="s">
        <v>856</v>
      </c>
      <c r="AW1096" s="2216" t="s">
        <v>3171</v>
      </c>
      <c r="AX1096" s="2216" t="s">
        <v>133</v>
      </c>
      <c r="AY1096" s="2218" t="s">
        <v>3285</v>
      </c>
    </row>
    <row r="1097" spans="2:65" s="2070" customFormat="1" ht="16.5" customHeight="1">
      <c r="B1097" s="2164"/>
      <c r="C1097" s="4608" t="s">
        <v>4622</v>
      </c>
      <c r="D1097" s="4608" t="s">
        <v>3286</v>
      </c>
      <c r="E1097" s="4609" t="s">
        <v>4205</v>
      </c>
      <c r="F1097" s="4610" t="s">
        <v>4206</v>
      </c>
      <c r="G1097" s="4611" t="s">
        <v>611</v>
      </c>
      <c r="H1097" s="4612">
        <v>29.91</v>
      </c>
      <c r="I1097" s="4613"/>
      <c r="J1097" s="4613">
        <f>ROUND(I1097*H1097,2)</f>
        <v>0</v>
      </c>
      <c r="K1097" s="4610" t="s">
        <v>3146</v>
      </c>
      <c r="L1097" s="2071"/>
      <c r="M1097" s="2190" t="s">
        <v>3146</v>
      </c>
      <c r="N1097" s="2163" t="s">
        <v>3181</v>
      </c>
      <c r="O1097" s="2191">
        <v>2.3650000000000002</v>
      </c>
      <c r="P1097" s="2191">
        <f>O1097*H1097</f>
        <v>70.73715</v>
      </c>
      <c r="Q1097" s="2191">
        <v>1.4999999999999999E-4</v>
      </c>
      <c r="R1097" s="2191">
        <f>Q1097*H1097</f>
        <v>4.4865E-3</v>
      </c>
      <c r="S1097" s="2191">
        <v>0</v>
      </c>
      <c r="T1097" s="2192">
        <f>S1097*H1097</f>
        <v>0</v>
      </c>
      <c r="AR1097" s="2193" t="s">
        <v>2894</v>
      </c>
      <c r="AT1097" s="2193" t="s">
        <v>3286</v>
      </c>
      <c r="AU1097" s="2193" t="s">
        <v>134</v>
      </c>
      <c r="AY1097" s="2056" t="s">
        <v>3285</v>
      </c>
      <c r="BE1097" s="2194">
        <f>IF(N1097="základní",J1097,0)</f>
        <v>0</v>
      </c>
      <c r="BF1097" s="2194">
        <f>IF(N1097="snížená",J1097,0)</f>
        <v>0</v>
      </c>
      <c r="BG1097" s="2194">
        <f>IF(N1097="zákl. přenesená",J1097,0)</f>
        <v>0</v>
      </c>
      <c r="BH1097" s="2194">
        <f>IF(N1097="sníž. přenesená",J1097,0)</f>
        <v>0</v>
      </c>
      <c r="BI1097" s="2194">
        <f>IF(N1097="nulová",J1097,0)</f>
        <v>0</v>
      </c>
      <c r="BJ1097" s="2056" t="s">
        <v>134</v>
      </c>
      <c r="BK1097" s="2194">
        <f>ROUND(I1097*H1097,2)</f>
        <v>0</v>
      </c>
      <c r="BL1097" s="2056" t="s">
        <v>2894</v>
      </c>
      <c r="BM1097" s="2193" t="s">
        <v>4207</v>
      </c>
    </row>
    <row r="1098" spans="2:65" s="2195" customFormat="1">
      <c r="B1098" s="2196"/>
      <c r="D1098" s="2197" t="s">
        <v>3303</v>
      </c>
      <c r="E1098" s="2198" t="s">
        <v>3146</v>
      </c>
      <c r="F1098" s="2199" t="s">
        <v>3578</v>
      </c>
      <c r="H1098" s="2198" t="s">
        <v>3146</v>
      </c>
      <c r="L1098" s="2196"/>
      <c r="M1098" s="2200"/>
      <c r="T1098" s="2201"/>
      <c r="AT1098" s="2198" t="s">
        <v>3303</v>
      </c>
      <c r="AU1098" s="2198" t="s">
        <v>134</v>
      </c>
      <c r="AV1098" s="2195" t="s">
        <v>133</v>
      </c>
      <c r="AW1098" s="2195" t="s">
        <v>3171</v>
      </c>
      <c r="AX1098" s="2195" t="s">
        <v>3213</v>
      </c>
      <c r="AY1098" s="2198" t="s">
        <v>3285</v>
      </c>
    </row>
    <row r="1099" spans="2:65" s="2209" customFormat="1">
      <c r="B1099" s="2210"/>
      <c r="D1099" s="2197" t="s">
        <v>3303</v>
      </c>
      <c r="E1099" s="2211" t="s">
        <v>3146</v>
      </c>
      <c r="F1099" s="2212" t="s">
        <v>4208</v>
      </c>
      <c r="H1099" s="2213">
        <v>29.91</v>
      </c>
      <c r="L1099" s="2210"/>
      <c r="M1099" s="2214"/>
      <c r="T1099" s="2215"/>
      <c r="AT1099" s="2211" t="s">
        <v>3303</v>
      </c>
      <c r="AU1099" s="2211" t="s">
        <v>134</v>
      </c>
      <c r="AV1099" s="2209" t="s">
        <v>134</v>
      </c>
      <c r="AW1099" s="2209" t="s">
        <v>3171</v>
      </c>
      <c r="AX1099" s="2209" t="s">
        <v>3213</v>
      </c>
      <c r="AY1099" s="2211" t="s">
        <v>3285</v>
      </c>
    </row>
    <row r="1100" spans="2:65" s="2216" customFormat="1">
      <c r="B1100" s="2217"/>
      <c r="D1100" s="2197" t="s">
        <v>3303</v>
      </c>
      <c r="E1100" s="2218" t="s">
        <v>3146</v>
      </c>
      <c r="F1100" s="2219" t="s">
        <v>3306</v>
      </c>
      <c r="H1100" s="2220">
        <v>29.91</v>
      </c>
      <c r="L1100" s="2217"/>
      <c r="M1100" s="2221"/>
      <c r="T1100" s="2222"/>
      <c r="AT1100" s="2218" t="s">
        <v>3303</v>
      </c>
      <c r="AU1100" s="2218" t="s">
        <v>134</v>
      </c>
      <c r="AV1100" s="2216" t="s">
        <v>856</v>
      </c>
      <c r="AW1100" s="2216" t="s">
        <v>3171</v>
      </c>
      <c r="AX1100" s="2216" t="s">
        <v>133</v>
      </c>
      <c r="AY1100" s="2218" t="s">
        <v>3285</v>
      </c>
    </row>
    <row r="1101" spans="2:65" s="2070" customFormat="1" ht="16.5" customHeight="1">
      <c r="B1101" s="2164"/>
      <c r="C1101" s="4614" t="s">
        <v>5808</v>
      </c>
      <c r="D1101" s="4614" t="s">
        <v>135</v>
      </c>
      <c r="E1101" s="4615" t="s">
        <v>4210</v>
      </c>
      <c r="F1101" s="4616" t="s">
        <v>4211</v>
      </c>
      <c r="G1101" s="4617" t="s">
        <v>611</v>
      </c>
      <c r="H1101" s="4618">
        <v>35.892000000000003</v>
      </c>
      <c r="I1101" s="4619"/>
      <c r="J1101" s="4619">
        <f>ROUND(I1101*H1101,2)</f>
        <v>0</v>
      </c>
      <c r="K1101" s="4616" t="s">
        <v>3146</v>
      </c>
      <c r="L1101" s="2223"/>
      <c r="M1101" s="2224" t="s">
        <v>3146</v>
      </c>
      <c r="N1101" s="2225" t="s">
        <v>3181</v>
      </c>
      <c r="O1101" s="2191">
        <v>0</v>
      </c>
      <c r="P1101" s="2191">
        <f>O1101*H1101</f>
        <v>0</v>
      </c>
      <c r="Q1101" s="2191">
        <v>0</v>
      </c>
      <c r="R1101" s="2191">
        <f>Q1101*H1101</f>
        <v>0</v>
      </c>
      <c r="S1101" s="2191">
        <v>0</v>
      </c>
      <c r="T1101" s="2192">
        <f>S1101*H1101</f>
        <v>0</v>
      </c>
      <c r="AR1101" s="2193" t="s">
        <v>3389</v>
      </c>
      <c r="AT1101" s="2193" t="s">
        <v>135</v>
      </c>
      <c r="AU1101" s="2193" t="s">
        <v>134</v>
      </c>
      <c r="AY1101" s="2056" t="s">
        <v>3285</v>
      </c>
      <c r="BE1101" s="2194">
        <f>IF(N1101="základní",J1101,0)</f>
        <v>0</v>
      </c>
      <c r="BF1101" s="2194">
        <f>IF(N1101="snížená",J1101,0)</f>
        <v>0</v>
      </c>
      <c r="BG1101" s="2194">
        <f>IF(N1101="zákl. přenesená",J1101,0)</f>
        <v>0</v>
      </c>
      <c r="BH1101" s="2194">
        <f>IF(N1101="sníž. přenesená",J1101,0)</f>
        <v>0</v>
      </c>
      <c r="BI1101" s="2194">
        <f>IF(N1101="nulová",J1101,0)</f>
        <v>0</v>
      </c>
      <c r="BJ1101" s="2056" t="s">
        <v>134</v>
      </c>
      <c r="BK1101" s="2194">
        <f>ROUND(I1101*H1101,2)</f>
        <v>0</v>
      </c>
      <c r="BL1101" s="2056" t="s">
        <v>2894</v>
      </c>
      <c r="BM1101" s="2193" t="s">
        <v>4212</v>
      </c>
    </row>
    <row r="1102" spans="2:65" s="2209" customFormat="1">
      <c r="B1102" s="2210"/>
      <c r="D1102" s="2197" t="s">
        <v>3303</v>
      </c>
      <c r="F1102" s="2212" t="s">
        <v>4213</v>
      </c>
      <c r="H1102" s="2213">
        <v>35.892000000000003</v>
      </c>
      <c r="L1102" s="2210"/>
      <c r="M1102" s="2214"/>
      <c r="T1102" s="2215"/>
      <c r="AT1102" s="2211" t="s">
        <v>3303</v>
      </c>
      <c r="AU1102" s="2211" t="s">
        <v>134</v>
      </c>
      <c r="AV1102" s="2209" t="s">
        <v>134</v>
      </c>
      <c r="AW1102" s="2209" t="s">
        <v>3148</v>
      </c>
      <c r="AX1102" s="2209" t="s">
        <v>133</v>
      </c>
      <c r="AY1102" s="2211" t="s">
        <v>3285</v>
      </c>
    </row>
    <row r="1103" spans="2:65" s="2070" customFormat="1" ht="24.2" customHeight="1">
      <c r="B1103" s="2164"/>
      <c r="C1103" s="4608" t="s">
        <v>5079</v>
      </c>
      <c r="D1103" s="4608" t="s">
        <v>3286</v>
      </c>
      <c r="E1103" s="4609" t="s">
        <v>4214</v>
      </c>
      <c r="F1103" s="4610" t="s">
        <v>4215</v>
      </c>
      <c r="G1103" s="4611" t="s">
        <v>611</v>
      </c>
      <c r="H1103" s="4612">
        <v>42.743000000000002</v>
      </c>
      <c r="I1103" s="4613"/>
      <c r="J1103" s="4613">
        <f>ROUND(I1103*H1103,2)</f>
        <v>0</v>
      </c>
      <c r="K1103" s="4610" t="s">
        <v>3146</v>
      </c>
      <c r="L1103" s="2071"/>
      <c r="M1103" s="2190" t="s">
        <v>3146</v>
      </c>
      <c r="N1103" s="2163" t="s">
        <v>3181</v>
      </c>
      <c r="O1103" s="2191">
        <v>1.008</v>
      </c>
      <c r="P1103" s="2191">
        <f>O1103*H1103</f>
        <v>43.084944</v>
      </c>
      <c r="Q1103" s="2191">
        <v>1.0000000000000001E-5</v>
      </c>
      <c r="R1103" s="2191">
        <f>Q1103*H1103</f>
        <v>4.2743000000000007E-4</v>
      </c>
      <c r="S1103" s="2191">
        <v>0</v>
      </c>
      <c r="T1103" s="2192">
        <f>S1103*H1103</f>
        <v>0</v>
      </c>
      <c r="AR1103" s="2193" t="s">
        <v>2894</v>
      </c>
      <c r="AT1103" s="2193" t="s">
        <v>3286</v>
      </c>
      <c r="AU1103" s="2193" t="s">
        <v>134</v>
      </c>
      <c r="AY1103" s="2056" t="s">
        <v>3285</v>
      </c>
      <c r="BE1103" s="2194">
        <f>IF(N1103="základní",J1103,0)</f>
        <v>0</v>
      </c>
      <c r="BF1103" s="2194">
        <f>IF(N1103="snížená",J1103,0)</f>
        <v>0</v>
      </c>
      <c r="BG1103" s="2194">
        <f>IF(N1103="zákl. přenesená",J1103,0)</f>
        <v>0</v>
      </c>
      <c r="BH1103" s="2194">
        <f>IF(N1103="sníž. přenesená",J1103,0)</f>
        <v>0</v>
      </c>
      <c r="BI1103" s="2194">
        <f>IF(N1103="nulová",J1103,0)</f>
        <v>0</v>
      </c>
      <c r="BJ1103" s="2056" t="s">
        <v>134</v>
      </c>
      <c r="BK1103" s="2194">
        <f>ROUND(I1103*H1103,2)</f>
        <v>0</v>
      </c>
      <c r="BL1103" s="2056" t="s">
        <v>2894</v>
      </c>
      <c r="BM1103" s="2193" t="s">
        <v>4216</v>
      </c>
    </row>
    <row r="1104" spans="2:65" s="2209" customFormat="1">
      <c r="B1104" s="2210"/>
      <c r="D1104" s="2197" t="s">
        <v>3303</v>
      </c>
      <c r="E1104" s="2211" t="s">
        <v>3146</v>
      </c>
      <c r="F1104" s="2212" t="s">
        <v>4217</v>
      </c>
      <c r="H1104" s="2213">
        <v>18.329999999999998</v>
      </c>
      <c r="L1104" s="2210"/>
      <c r="M1104" s="2214"/>
      <c r="T1104" s="2215"/>
      <c r="AT1104" s="2211" t="s">
        <v>3303</v>
      </c>
      <c r="AU1104" s="2211" t="s">
        <v>134</v>
      </c>
      <c r="AV1104" s="2209" t="s">
        <v>134</v>
      </c>
      <c r="AW1104" s="2209" t="s">
        <v>3171</v>
      </c>
      <c r="AX1104" s="2209" t="s">
        <v>3213</v>
      </c>
      <c r="AY1104" s="2211" t="s">
        <v>3285</v>
      </c>
    </row>
    <row r="1105" spans="2:65" s="2209" customFormat="1">
      <c r="B1105" s="2210"/>
      <c r="D1105" s="2197" t="s">
        <v>3303</v>
      </c>
      <c r="E1105" s="2211" t="s">
        <v>3146</v>
      </c>
      <c r="F1105" s="2212" t="s">
        <v>4218</v>
      </c>
      <c r="H1105" s="2213">
        <v>12.09</v>
      </c>
      <c r="L1105" s="2210"/>
      <c r="M1105" s="2214"/>
      <c r="T1105" s="2215"/>
      <c r="AT1105" s="2211" t="s">
        <v>3303</v>
      </c>
      <c r="AU1105" s="2211" t="s">
        <v>134</v>
      </c>
      <c r="AV1105" s="2209" t="s">
        <v>134</v>
      </c>
      <c r="AW1105" s="2209" t="s">
        <v>3171</v>
      </c>
      <c r="AX1105" s="2209" t="s">
        <v>3213</v>
      </c>
      <c r="AY1105" s="2211" t="s">
        <v>3285</v>
      </c>
    </row>
    <row r="1106" spans="2:65" s="2209" customFormat="1">
      <c r="B1106" s="2210"/>
      <c r="D1106" s="2197" t="s">
        <v>3303</v>
      </c>
      <c r="E1106" s="2211" t="s">
        <v>3146</v>
      </c>
      <c r="F1106" s="2212" t="s">
        <v>4219</v>
      </c>
      <c r="H1106" s="2213">
        <v>12.323</v>
      </c>
      <c r="L1106" s="2210"/>
      <c r="M1106" s="2214"/>
      <c r="T1106" s="2215"/>
      <c r="AT1106" s="2211" t="s">
        <v>3303</v>
      </c>
      <c r="AU1106" s="2211" t="s">
        <v>134</v>
      </c>
      <c r="AV1106" s="2209" t="s">
        <v>134</v>
      </c>
      <c r="AW1106" s="2209" t="s">
        <v>3171</v>
      </c>
      <c r="AX1106" s="2209" t="s">
        <v>3213</v>
      </c>
      <c r="AY1106" s="2211" t="s">
        <v>3285</v>
      </c>
    </row>
    <row r="1107" spans="2:65" s="2216" customFormat="1">
      <c r="B1107" s="2217"/>
      <c r="D1107" s="2197" t="s">
        <v>3303</v>
      </c>
      <c r="E1107" s="2218" t="s">
        <v>3146</v>
      </c>
      <c r="F1107" s="2219" t="s">
        <v>3306</v>
      </c>
      <c r="H1107" s="2220">
        <v>42.743000000000002</v>
      </c>
      <c r="L1107" s="2217"/>
      <c r="M1107" s="2221"/>
      <c r="T1107" s="2222"/>
      <c r="AT1107" s="2218" t="s">
        <v>3303</v>
      </c>
      <c r="AU1107" s="2218" t="s">
        <v>134</v>
      </c>
      <c r="AV1107" s="2216" t="s">
        <v>856</v>
      </c>
      <c r="AW1107" s="2216" t="s">
        <v>3171</v>
      </c>
      <c r="AX1107" s="2216" t="s">
        <v>133</v>
      </c>
      <c r="AY1107" s="2218" t="s">
        <v>3285</v>
      </c>
    </row>
    <row r="1108" spans="2:65" s="2178" customFormat="1" ht="25.9" customHeight="1">
      <c r="B1108" s="2179"/>
      <c r="D1108" s="2180" t="s">
        <v>3212</v>
      </c>
      <c r="E1108" s="2181" t="s">
        <v>4220</v>
      </c>
      <c r="F1108" s="2181" t="s">
        <v>4221</v>
      </c>
      <c r="J1108" s="2182">
        <f>BK1108</f>
        <v>0</v>
      </c>
      <c r="L1108" s="2179"/>
      <c r="M1108" s="2183"/>
      <c r="P1108" s="2184">
        <f>SUM(P1109:P1114)</f>
        <v>30</v>
      </c>
      <c r="R1108" s="2184">
        <f>SUM(R1109:R1114)</f>
        <v>0</v>
      </c>
      <c r="T1108" s="2185">
        <f>SUM(T1109:T1114)</f>
        <v>0</v>
      </c>
      <c r="AR1108" s="2180" t="s">
        <v>854</v>
      </c>
      <c r="AT1108" s="2186" t="s">
        <v>3212</v>
      </c>
      <c r="AU1108" s="2186" t="s">
        <v>3213</v>
      </c>
      <c r="AY1108" s="2180" t="s">
        <v>3285</v>
      </c>
      <c r="BK1108" s="2187">
        <f>SUM(BK1109:BK1114)</f>
        <v>0</v>
      </c>
    </row>
    <row r="1109" spans="2:65" s="2070" customFormat="1" ht="24.2" customHeight="1">
      <c r="B1109" s="2164"/>
      <c r="C1109" s="4608" t="s">
        <v>5253</v>
      </c>
      <c r="D1109" s="4608" t="s">
        <v>3286</v>
      </c>
      <c r="E1109" s="4609" t="s">
        <v>4223</v>
      </c>
      <c r="F1109" s="4610" t="s">
        <v>4224</v>
      </c>
      <c r="G1109" s="4611" t="s">
        <v>155</v>
      </c>
      <c r="H1109" s="4612">
        <v>1</v>
      </c>
      <c r="I1109" s="4613"/>
      <c r="J1109" s="4613">
        <f>ROUND(I1109*H1109,2)</f>
        <v>0</v>
      </c>
      <c r="K1109" s="4610" t="s">
        <v>3146</v>
      </c>
      <c r="L1109" s="2071"/>
      <c r="M1109" s="2190" t="s">
        <v>3146</v>
      </c>
      <c r="N1109" s="2163" t="s">
        <v>3181</v>
      </c>
      <c r="O1109" s="2191">
        <v>0</v>
      </c>
      <c r="P1109" s="2191">
        <f>O1109*H1109</f>
        <v>0</v>
      </c>
      <c r="Q1109" s="2191">
        <v>0</v>
      </c>
      <c r="R1109" s="2191">
        <f>Q1109*H1109</f>
        <v>0</v>
      </c>
      <c r="S1109" s="2191">
        <v>0</v>
      </c>
      <c r="T1109" s="2192">
        <f>S1109*H1109</f>
        <v>0</v>
      </c>
      <c r="AR1109" s="2193" t="s">
        <v>3551</v>
      </c>
      <c r="AT1109" s="2193" t="s">
        <v>3286</v>
      </c>
      <c r="AU1109" s="2193" t="s">
        <v>133</v>
      </c>
      <c r="AY1109" s="2056" t="s">
        <v>3285</v>
      </c>
      <c r="BE1109" s="2194">
        <f>IF(N1109="základní",J1109,0)</f>
        <v>0</v>
      </c>
      <c r="BF1109" s="2194">
        <f>IF(N1109="snížená",J1109,0)</f>
        <v>0</v>
      </c>
      <c r="BG1109" s="2194">
        <f>IF(N1109="zákl. přenesená",J1109,0)</f>
        <v>0</v>
      </c>
      <c r="BH1109" s="2194">
        <f>IF(N1109="sníž. přenesená",J1109,0)</f>
        <v>0</v>
      </c>
      <c r="BI1109" s="2194">
        <f>IF(N1109="nulová",J1109,0)</f>
        <v>0</v>
      </c>
      <c r="BJ1109" s="2056" t="s">
        <v>134</v>
      </c>
      <c r="BK1109" s="2194">
        <f>ROUND(I1109*H1109,2)</f>
        <v>0</v>
      </c>
      <c r="BL1109" s="2056" t="s">
        <v>3551</v>
      </c>
      <c r="BM1109" s="2193" t="s">
        <v>4225</v>
      </c>
    </row>
    <row r="1110" spans="2:65" s="2070" customFormat="1" ht="24.2" customHeight="1">
      <c r="B1110" s="2164"/>
      <c r="C1110" s="4608" t="s">
        <v>5254</v>
      </c>
      <c r="D1110" s="4608" t="s">
        <v>3286</v>
      </c>
      <c r="E1110" s="4609" t="s">
        <v>4227</v>
      </c>
      <c r="F1110" s="4610" t="s">
        <v>4228</v>
      </c>
      <c r="G1110" s="4611" t="s">
        <v>155</v>
      </c>
      <c r="H1110" s="4612">
        <v>1</v>
      </c>
      <c r="I1110" s="4613"/>
      <c r="J1110" s="4613">
        <f>ROUND(I1110*H1110,2)</f>
        <v>0</v>
      </c>
      <c r="K1110" s="4610" t="s">
        <v>3146</v>
      </c>
      <c r="L1110" s="2071"/>
      <c r="M1110" s="2190" t="s">
        <v>3146</v>
      </c>
      <c r="N1110" s="2163" t="s">
        <v>3181</v>
      </c>
      <c r="O1110" s="2191">
        <v>0</v>
      </c>
      <c r="P1110" s="2191">
        <f>O1110*H1110</f>
        <v>0</v>
      </c>
      <c r="Q1110" s="2191">
        <v>0</v>
      </c>
      <c r="R1110" s="2191">
        <f>Q1110*H1110</f>
        <v>0</v>
      </c>
      <c r="S1110" s="2191">
        <v>0</v>
      </c>
      <c r="T1110" s="2192">
        <f>S1110*H1110</f>
        <v>0</v>
      </c>
      <c r="AR1110" s="2193" t="s">
        <v>3551</v>
      </c>
      <c r="AT1110" s="2193" t="s">
        <v>3286</v>
      </c>
      <c r="AU1110" s="2193" t="s">
        <v>133</v>
      </c>
      <c r="AY1110" s="2056" t="s">
        <v>3285</v>
      </c>
      <c r="BE1110" s="2194">
        <f>IF(N1110="základní",J1110,0)</f>
        <v>0</v>
      </c>
      <c r="BF1110" s="2194">
        <f>IF(N1110="snížená",J1110,0)</f>
        <v>0</v>
      </c>
      <c r="BG1110" s="2194">
        <f>IF(N1110="zákl. přenesená",J1110,0)</f>
        <v>0</v>
      </c>
      <c r="BH1110" s="2194">
        <f>IF(N1110="sníž. přenesená",J1110,0)</f>
        <v>0</v>
      </c>
      <c r="BI1110" s="2194">
        <f>IF(N1110="nulová",J1110,0)</f>
        <v>0</v>
      </c>
      <c r="BJ1110" s="2056" t="s">
        <v>134</v>
      </c>
      <c r="BK1110" s="2194">
        <f>ROUND(I1110*H1110,2)</f>
        <v>0</v>
      </c>
      <c r="BL1110" s="2056" t="s">
        <v>3551</v>
      </c>
      <c r="BM1110" s="2193" t="s">
        <v>4229</v>
      </c>
    </row>
    <row r="1111" spans="2:65" s="2070" customFormat="1" ht="24.2" customHeight="1">
      <c r="B1111" s="2164"/>
      <c r="C1111" s="4608" t="s">
        <v>990</v>
      </c>
      <c r="D1111" s="4608" t="s">
        <v>3286</v>
      </c>
      <c r="E1111" s="4609" t="s">
        <v>4231</v>
      </c>
      <c r="F1111" s="4610" t="s">
        <v>4232</v>
      </c>
      <c r="G1111" s="4611" t="s">
        <v>155</v>
      </c>
      <c r="H1111" s="4612">
        <v>1</v>
      </c>
      <c r="I1111" s="4613"/>
      <c r="J1111" s="4613">
        <f>ROUND(I1111*H1111,2)</f>
        <v>0</v>
      </c>
      <c r="K1111" s="4610" t="s">
        <v>3146</v>
      </c>
      <c r="L1111" s="2071"/>
      <c r="M1111" s="2190" t="s">
        <v>3146</v>
      </c>
      <c r="N1111" s="2163" t="s">
        <v>3181</v>
      </c>
      <c r="O1111" s="2191">
        <v>0</v>
      </c>
      <c r="P1111" s="2191">
        <f>O1111*H1111</f>
        <v>0</v>
      </c>
      <c r="Q1111" s="2191">
        <v>0</v>
      </c>
      <c r="R1111" s="2191">
        <f>Q1111*H1111</f>
        <v>0</v>
      </c>
      <c r="S1111" s="2191">
        <v>0</v>
      </c>
      <c r="T1111" s="2192">
        <f>S1111*H1111</f>
        <v>0</v>
      </c>
      <c r="AR1111" s="2193" t="s">
        <v>3551</v>
      </c>
      <c r="AT1111" s="2193" t="s">
        <v>3286</v>
      </c>
      <c r="AU1111" s="2193" t="s">
        <v>133</v>
      </c>
      <c r="AY1111" s="2056" t="s">
        <v>3285</v>
      </c>
      <c r="BE1111" s="2194">
        <f>IF(N1111="základní",J1111,0)</f>
        <v>0</v>
      </c>
      <c r="BF1111" s="2194">
        <f>IF(N1111="snížená",J1111,0)</f>
        <v>0</v>
      </c>
      <c r="BG1111" s="2194">
        <f>IF(N1111="zákl. přenesená",J1111,0)</f>
        <v>0</v>
      </c>
      <c r="BH1111" s="2194">
        <f>IF(N1111="sníž. přenesená",J1111,0)</f>
        <v>0</v>
      </c>
      <c r="BI1111" s="2194">
        <f>IF(N1111="nulová",J1111,0)</f>
        <v>0</v>
      </c>
      <c r="BJ1111" s="2056" t="s">
        <v>134</v>
      </c>
      <c r="BK1111" s="2194">
        <f>ROUND(I1111*H1111,2)</f>
        <v>0</v>
      </c>
      <c r="BL1111" s="2056" t="s">
        <v>3551</v>
      </c>
      <c r="BM1111" s="2193" t="s">
        <v>4233</v>
      </c>
    </row>
    <row r="1112" spans="2:65" s="2070" customFormat="1" ht="16.5" customHeight="1">
      <c r="B1112" s="2164"/>
      <c r="C1112" s="5561" t="s">
        <v>5255</v>
      </c>
      <c r="D1112" s="4608" t="s">
        <v>3286</v>
      </c>
      <c r="E1112" s="4609" t="s">
        <v>4235</v>
      </c>
      <c r="F1112" s="4610" t="s">
        <v>4236</v>
      </c>
      <c r="G1112" s="4611" t="s">
        <v>155</v>
      </c>
      <c r="H1112" s="4612">
        <v>1</v>
      </c>
      <c r="I1112" s="4613"/>
      <c r="J1112" s="4613">
        <f>ROUND(I1112*H1112,2)</f>
        <v>0</v>
      </c>
      <c r="K1112" s="4610" t="s">
        <v>3146</v>
      </c>
      <c r="L1112" s="2071"/>
      <c r="M1112" s="2190" t="s">
        <v>3146</v>
      </c>
      <c r="N1112" s="2163" t="s">
        <v>3181</v>
      </c>
      <c r="O1112" s="2191">
        <v>0</v>
      </c>
      <c r="P1112" s="2191">
        <f>O1112*H1112</f>
        <v>0</v>
      </c>
      <c r="Q1112" s="2191">
        <v>0</v>
      </c>
      <c r="R1112" s="2191">
        <f>Q1112*H1112</f>
        <v>0</v>
      </c>
      <c r="S1112" s="2191">
        <v>0</v>
      </c>
      <c r="T1112" s="2192">
        <f>S1112*H1112</f>
        <v>0</v>
      </c>
      <c r="AR1112" s="2193" t="s">
        <v>3551</v>
      </c>
      <c r="AT1112" s="2193" t="s">
        <v>3286</v>
      </c>
      <c r="AU1112" s="2193" t="s">
        <v>133</v>
      </c>
      <c r="AY1112" s="2056" t="s">
        <v>3285</v>
      </c>
      <c r="BE1112" s="2194">
        <f>IF(N1112="základní",J1112,0)</f>
        <v>0</v>
      </c>
      <c r="BF1112" s="2194">
        <f>IF(N1112="snížená",J1112,0)</f>
        <v>0</v>
      </c>
      <c r="BG1112" s="2194">
        <f>IF(N1112="zákl. přenesená",J1112,0)</f>
        <v>0</v>
      </c>
      <c r="BH1112" s="2194">
        <f>IF(N1112="sníž. přenesená",J1112,0)</f>
        <v>0</v>
      </c>
      <c r="BI1112" s="2194">
        <f>IF(N1112="nulová",J1112,0)</f>
        <v>0</v>
      </c>
      <c r="BJ1112" s="2056" t="s">
        <v>134</v>
      </c>
      <c r="BK1112" s="2194">
        <f>ROUND(I1112*H1112,2)</f>
        <v>0</v>
      </c>
      <c r="BL1112" s="2056" t="s">
        <v>3551</v>
      </c>
      <c r="BM1112" s="2193" t="s">
        <v>4237</v>
      </c>
    </row>
    <row r="1113" spans="2:65" s="2070" customFormat="1" ht="101.25">
      <c r="B1113" s="2164"/>
      <c r="C1113" s="4608"/>
      <c r="D1113" s="4608"/>
      <c r="E1113" s="4609"/>
      <c r="F1113" s="5560" t="s">
        <v>11639</v>
      </c>
      <c r="G1113" s="4611"/>
      <c r="H1113" s="4612"/>
      <c r="I1113" s="4613"/>
      <c r="J1113" s="4613"/>
      <c r="K1113" s="4610"/>
      <c r="L1113" s="2071"/>
      <c r="M1113" s="2190"/>
      <c r="N1113" s="2163"/>
      <c r="O1113" s="2191"/>
      <c r="P1113" s="2191"/>
      <c r="Q1113" s="2191"/>
      <c r="R1113" s="2191"/>
      <c r="S1113" s="2191"/>
      <c r="T1113" s="2192"/>
      <c r="AR1113" s="2193"/>
      <c r="AT1113" s="2193"/>
      <c r="AU1113" s="2193"/>
      <c r="AY1113" s="2056"/>
      <c r="BE1113" s="2194"/>
      <c r="BF1113" s="2194"/>
      <c r="BG1113" s="2194"/>
      <c r="BH1113" s="2194"/>
      <c r="BI1113" s="2194"/>
      <c r="BJ1113" s="2056"/>
      <c r="BK1113" s="2194"/>
      <c r="BL1113" s="2056"/>
      <c r="BM1113" s="2193"/>
    </row>
    <row r="1114" spans="2:65" s="2070" customFormat="1" ht="16.5" customHeight="1">
      <c r="B1114" s="2164"/>
      <c r="C1114" s="4608" t="s">
        <v>5256</v>
      </c>
      <c r="D1114" s="4608" t="s">
        <v>3286</v>
      </c>
      <c r="E1114" s="4609" t="s">
        <v>4239</v>
      </c>
      <c r="F1114" s="4610" t="s">
        <v>4240</v>
      </c>
      <c r="G1114" s="4611" t="s">
        <v>191</v>
      </c>
      <c r="H1114" s="4612">
        <v>30</v>
      </c>
      <c r="I1114" s="4613"/>
      <c r="J1114" s="4613">
        <f>ROUND(I1114*H1114,2)</f>
        <v>0</v>
      </c>
      <c r="K1114" s="4610" t="s">
        <v>142</v>
      </c>
      <c r="L1114" s="2071"/>
      <c r="M1114" s="2190" t="s">
        <v>3146</v>
      </c>
      <c r="N1114" s="2163" t="s">
        <v>3181</v>
      </c>
      <c r="O1114" s="2191">
        <v>1</v>
      </c>
      <c r="P1114" s="2191">
        <f>O1114*H1114</f>
        <v>30</v>
      </c>
      <c r="Q1114" s="2191">
        <v>0</v>
      </c>
      <c r="R1114" s="2191">
        <f>Q1114*H1114</f>
        <v>0</v>
      </c>
      <c r="S1114" s="2191">
        <v>0</v>
      </c>
      <c r="T1114" s="2192">
        <f>S1114*H1114</f>
        <v>0</v>
      </c>
      <c r="AR1114" s="2193" t="s">
        <v>3551</v>
      </c>
      <c r="AT1114" s="2193" t="s">
        <v>3286</v>
      </c>
      <c r="AU1114" s="2193" t="s">
        <v>133</v>
      </c>
      <c r="AY1114" s="2056" t="s">
        <v>3285</v>
      </c>
      <c r="BE1114" s="2194">
        <f>IF(N1114="základní",J1114,0)</f>
        <v>0</v>
      </c>
      <c r="BF1114" s="2194">
        <f>IF(N1114="snížená",J1114,0)</f>
        <v>0</v>
      </c>
      <c r="BG1114" s="2194">
        <f>IF(N1114="zákl. přenesená",J1114,0)</f>
        <v>0</v>
      </c>
      <c r="BH1114" s="2194">
        <f>IF(N1114="sníž. přenesená",J1114,0)</f>
        <v>0</v>
      </c>
      <c r="BI1114" s="2194">
        <f>IF(N1114="nulová",J1114,0)</f>
        <v>0</v>
      </c>
      <c r="BJ1114" s="2056" t="s">
        <v>134</v>
      </c>
      <c r="BK1114" s="2194">
        <f>ROUND(I1114*H1114,2)</f>
        <v>0</v>
      </c>
      <c r="BL1114" s="2056" t="s">
        <v>3551</v>
      </c>
      <c r="BM1114" s="2193" t="s">
        <v>4241</v>
      </c>
    </row>
    <row r="1115" spans="2:65" s="2178" customFormat="1" ht="25.9" customHeight="1">
      <c r="B1115" s="2179"/>
      <c r="D1115" s="2180" t="s">
        <v>3212</v>
      </c>
      <c r="E1115" s="2181" t="s">
        <v>4242</v>
      </c>
      <c r="F1115" s="2181" t="s">
        <v>4243</v>
      </c>
      <c r="J1115" s="2182">
        <f>BK1115</f>
        <v>0</v>
      </c>
      <c r="L1115" s="2179"/>
      <c r="M1115" s="2183"/>
      <c r="P1115" s="2184">
        <f>SUM(P1116:P1123)</f>
        <v>0</v>
      </c>
      <c r="R1115" s="2184">
        <f>SUM(R1116:R1123)</f>
        <v>0</v>
      </c>
      <c r="T1115" s="2185">
        <f>SUM(T1116:T1123)</f>
        <v>0</v>
      </c>
      <c r="AR1115" s="2180" t="s">
        <v>854</v>
      </c>
      <c r="AT1115" s="2186" t="s">
        <v>3212</v>
      </c>
      <c r="AU1115" s="2186" t="s">
        <v>3213</v>
      </c>
      <c r="AY1115" s="2180" t="s">
        <v>3285</v>
      </c>
      <c r="BK1115" s="2187">
        <f>SUM(BK1116:BK1123)</f>
        <v>0</v>
      </c>
    </row>
    <row r="1116" spans="2:65" s="2070" customFormat="1" ht="24.2" customHeight="1">
      <c r="B1116" s="2164"/>
      <c r="C1116" s="4608" t="s">
        <v>5257</v>
      </c>
      <c r="D1116" s="4608" t="s">
        <v>3286</v>
      </c>
      <c r="E1116" s="4609" t="s">
        <v>4245</v>
      </c>
      <c r="F1116" s="4610" t="s">
        <v>4246</v>
      </c>
      <c r="G1116" s="4611" t="s">
        <v>149</v>
      </c>
      <c r="H1116" s="4612">
        <v>4900</v>
      </c>
      <c r="I1116" s="4613"/>
      <c r="J1116" s="4613">
        <f>ROUND(I1116*H1116,2)</f>
        <v>0</v>
      </c>
      <c r="K1116" s="4610" t="s">
        <v>3146</v>
      </c>
      <c r="L1116" s="2071"/>
      <c r="M1116" s="2190" t="s">
        <v>3146</v>
      </c>
      <c r="N1116" s="2163" t="s">
        <v>3181</v>
      </c>
      <c r="O1116" s="2191">
        <v>0</v>
      </c>
      <c r="P1116" s="2191">
        <f>O1116*H1116</f>
        <v>0</v>
      </c>
      <c r="Q1116" s="2191">
        <v>0</v>
      </c>
      <c r="R1116" s="2191">
        <f>Q1116*H1116</f>
        <v>0</v>
      </c>
      <c r="S1116" s="2191">
        <v>0</v>
      </c>
      <c r="T1116" s="2192">
        <f>S1116*H1116</f>
        <v>0</v>
      </c>
      <c r="AR1116" s="2193" t="s">
        <v>3551</v>
      </c>
      <c r="AT1116" s="2193" t="s">
        <v>3286</v>
      </c>
      <c r="AU1116" s="2193" t="s">
        <v>133</v>
      </c>
      <c r="AY1116" s="2056" t="s">
        <v>3285</v>
      </c>
      <c r="BE1116" s="2194">
        <f>IF(N1116="základní",J1116,0)</f>
        <v>0</v>
      </c>
      <c r="BF1116" s="2194">
        <f>IF(N1116="snížená",J1116,0)</f>
        <v>0</v>
      </c>
      <c r="BG1116" s="2194">
        <f>IF(N1116="zákl. přenesená",J1116,0)</f>
        <v>0</v>
      </c>
      <c r="BH1116" s="2194">
        <f>IF(N1116="sníž. přenesená",J1116,0)</f>
        <v>0</v>
      </c>
      <c r="BI1116" s="2194">
        <f>IF(N1116="nulová",J1116,0)</f>
        <v>0</v>
      </c>
      <c r="BJ1116" s="2056" t="s">
        <v>134</v>
      </c>
      <c r="BK1116" s="2194">
        <f>ROUND(I1116*H1116,2)</f>
        <v>0</v>
      </c>
      <c r="BL1116" s="2056" t="s">
        <v>3551</v>
      </c>
      <c r="BM1116" s="2193" t="s">
        <v>4247</v>
      </c>
    </row>
    <row r="1117" spans="2:65" s="2070" customFormat="1" ht="24.2" customHeight="1">
      <c r="B1117" s="2164"/>
      <c r="C1117" s="4608" t="s">
        <v>5258</v>
      </c>
      <c r="D1117" s="4608" t="s">
        <v>3286</v>
      </c>
      <c r="E1117" s="4609" t="s">
        <v>4249</v>
      </c>
      <c r="F1117" s="4610" t="s">
        <v>4246</v>
      </c>
      <c r="G1117" s="4611" t="s">
        <v>149</v>
      </c>
      <c r="H1117" s="4612">
        <v>1060</v>
      </c>
      <c r="I1117" s="4613"/>
      <c r="J1117" s="4613">
        <f>ROUND(I1117*H1117,2)</f>
        <v>0</v>
      </c>
      <c r="K1117" s="4610" t="s">
        <v>3146</v>
      </c>
      <c r="L1117" s="2071"/>
      <c r="M1117" s="2190" t="s">
        <v>3146</v>
      </c>
      <c r="N1117" s="2163" t="s">
        <v>3181</v>
      </c>
      <c r="O1117" s="2191">
        <v>0</v>
      </c>
      <c r="P1117" s="2191">
        <f>O1117*H1117</f>
        <v>0</v>
      </c>
      <c r="Q1117" s="2191">
        <v>0</v>
      </c>
      <c r="R1117" s="2191">
        <f>Q1117*H1117</f>
        <v>0</v>
      </c>
      <c r="S1117" s="2191">
        <v>0</v>
      </c>
      <c r="T1117" s="2192">
        <f>S1117*H1117</f>
        <v>0</v>
      </c>
      <c r="AR1117" s="2193" t="s">
        <v>3551</v>
      </c>
      <c r="AT1117" s="2193" t="s">
        <v>3286</v>
      </c>
      <c r="AU1117" s="2193" t="s">
        <v>133</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3551</v>
      </c>
      <c r="BM1117" s="2193" t="s">
        <v>4250</v>
      </c>
    </row>
    <row r="1118" spans="2:65" s="2070" customFormat="1" ht="16.5" customHeight="1">
      <c r="B1118" s="2164"/>
      <c r="C1118" s="4608" t="s">
        <v>5259</v>
      </c>
      <c r="D1118" s="4608" t="s">
        <v>3286</v>
      </c>
      <c r="E1118" s="4609" t="s">
        <v>4046</v>
      </c>
      <c r="F1118" s="4610" t="s">
        <v>4047</v>
      </c>
      <c r="G1118" s="4611" t="s">
        <v>611</v>
      </c>
      <c r="H1118" s="4612">
        <v>25.218</v>
      </c>
      <c r="I1118" s="4613"/>
      <c r="J1118" s="4613">
        <f>ROUND(I1118*H1118,2)</f>
        <v>0</v>
      </c>
      <c r="K1118" s="4610" t="s">
        <v>3146</v>
      </c>
      <c r="L1118" s="2071"/>
      <c r="M1118" s="2190" t="s">
        <v>3146</v>
      </c>
      <c r="N1118" s="2163" t="s">
        <v>3181</v>
      </c>
      <c r="O1118" s="2191">
        <v>0</v>
      </c>
      <c r="P1118" s="2191">
        <f>O1118*H1118</f>
        <v>0</v>
      </c>
      <c r="Q1118" s="2191">
        <v>0</v>
      </c>
      <c r="R1118" s="2191">
        <f>Q1118*H1118</f>
        <v>0</v>
      </c>
      <c r="S1118" s="2191">
        <v>0</v>
      </c>
      <c r="T1118" s="2192">
        <f>S1118*H1118</f>
        <v>0</v>
      </c>
      <c r="AR1118" s="2193" t="s">
        <v>3551</v>
      </c>
      <c r="AT1118" s="2193" t="s">
        <v>3286</v>
      </c>
      <c r="AU1118" s="2193" t="s">
        <v>133</v>
      </c>
      <c r="AY1118" s="2056" t="s">
        <v>3285</v>
      </c>
      <c r="BE1118" s="2194">
        <f>IF(N1118="základní",J1118,0)</f>
        <v>0</v>
      </c>
      <c r="BF1118" s="2194">
        <f>IF(N1118="snížená",J1118,0)</f>
        <v>0</v>
      </c>
      <c r="BG1118" s="2194">
        <f>IF(N1118="zákl. přenesená",J1118,0)</f>
        <v>0</v>
      </c>
      <c r="BH1118" s="2194">
        <f>IF(N1118="sníž. přenesená",J1118,0)</f>
        <v>0</v>
      </c>
      <c r="BI1118" s="2194">
        <f>IF(N1118="nulová",J1118,0)</f>
        <v>0</v>
      </c>
      <c r="BJ1118" s="2056" t="s">
        <v>134</v>
      </c>
      <c r="BK1118" s="2194">
        <f>ROUND(I1118*H1118,2)</f>
        <v>0</v>
      </c>
      <c r="BL1118" s="2056" t="s">
        <v>3551</v>
      </c>
      <c r="BM1118" s="2193" t="s">
        <v>4048</v>
      </c>
    </row>
    <row r="1119" spans="2:65" s="2209" customFormat="1" ht="22.5">
      <c r="B1119" s="2210"/>
      <c r="D1119" s="2197" t="s">
        <v>3303</v>
      </c>
      <c r="E1119" s="2211" t="s">
        <v>3146</v>
      </c>
      <c r="F1119" s="2212" t="s">
        <v>4049</v>
      </c>
      <c r="H1119" s="2213">
        <v>17.018000000000001</v>
      </c>
      <c r="L1119" s="2210"/>
      <c r="M1119" s="2214"/>
      <c r="T1119" s="2215"/>
      <c r="AT1119" s="2211" t="s">
        <v>3303</v>
      </c>
      <c r="AU1119" s="2211" t="s">
        <v>133</v>
      </c>
      <c r="AV1119" s="2209" t="s">
        <v>134</v>
      </c>
      <c r="AW1119" s="2209" t="s">
        <v>3171</v>
      </c>
      <c r="AX1119" s="2209" t="s">
        <v>3213</v>
      </c>
      <c r="AY1119" s="2211" t="s">
        <v>3285</v>
      </c>
    </row>
    <row r="1120" spans="2:65" s="2209" customFormat="1">
      <c r="B1120" s="2210"/>
      <c r="D1120" s="2197" t="s">
        <v>3303</v>
      </c>
      <c r="E1120" s="2211" t="s">
        <v>3146</v>
      </c>
      <c r="F1120" s="2212" t="s">
        <v>4050</v>
      </c>
      <c r="H1120" s="2213">
        <v>8.1999999999999993</v>
      </c>
      <c r="L1120" s="2210"/>
      <c r="M1120" s="2214"/>
      <c r="T1120" s="2215"/>
      <c r="AT1120" s="2211" t="s">
        <v>3303</v>
      </c>
      <c r="AU1120" s="2211" t="s">
        <v>133</v>
      </c>
      <c r="AV1120" s="2209" t="s">
        <v>134</v>
      </c>
      <c r="AW1120" s="2209" t="s">
        <v>3171</v>
      </c>
      <c r="AX1120" s="2209" t="s">
        <v>3213</v>
      </c>
      <c r="AY1120" s="2211" t="s">
        <v>3285</v>
      </c>
    </row>
    <row r="1121" spans="2:65" s="2195" customFormat="1" ht="22.5">
      <c r="B1121" s="2196"/>
      <c r="D1121" s="2197" t="s">
        <v>3303</v>
      </c>
      <c r="E1121" s="2198" t="s">
        <v>3146</v>
      </c>
      <c r="F1121" s="2199" t="s">
        <v>4051</v>
      </c>
      <c r="H1121" s="2198" t="s">
        <v>3146</v>
      </c>
      <c r="L1121" s="2196"/>
      <c r="M1121" s="2200"/>
      <c r="T1121" s="2201"/>
      <c r="AT1121" s="2198" t="s">
        <v>3303</v>
      </c>
      <c r="AU1121" s="2198" t="s">
        <v>133</v>
      </c>
      <c r="AV1121" s="2195" t="s">
        <v>133</v>
      </c>
      <c r="AW1121" s="2195" t="s">
        <v>3171</v>
      </c>
      <c r="AX1121" s="2195" t="s">
        <v>3213</v>
      </c>
      <c r="AY1121" s="2198" t="s">
        <v>3285</v>
      </c>
    </row>
    <row r="1122" spans="2:65" s="2195" customFormat="1" ht="22.5">
      <c r="B1122" s="2196"/>
      <c r="D1122" s="2197" t="s">
        <v>3303</v>
      </c>
      <c r="E1122" s="2198" t="s">
        <v>3146</v>
      </c>
      <c r="F1122" s="2199" t="s">
        <v>4052</v>
      </c>
      <c r="H1122" s="2198" t="s">
        <v>3146</v>
      </c>
      <c r="L1122" s="2196"/>
      <c r="M1122" s="2200"/>
      <c r="T1122" s="2201"/>
      <c r="AT1122" s="2198" t="s">
        <v>3303</v>
      </c>
      <c r="AU1122" s="2198" t="s">
        <v>133</v>
      </c>
      <c r="AV1122" s="2195" t="s">
        <v>133</v>
      </c>
      <c r="AW1122" s="2195" t="s">
        <v>3171</v>
      </c>
      <c r="AX1122" s="2195" t="s">
        <v>3213</v>
      </c>
      <c r="AY1122" s="2198" t="s">
        <v>3285</v>
      </c>
    </row>
    <row r="1123" spans="2:65" s="2216" customFormat="1">
      <c r="B1123" s="2217"/>
      <c r="D1123" s="2197" t="s">
        <v>3303</v>
      </c>
      <c r="E1123" s="2218" t="s">
        <v>3146</v>
      </c>
      <c r="F1123" s="2219" t="s">
        <v>3306</v>
      </c>
      <c r="H1123" s="2220">
        <v>25.218</v>
      </c>
      <c r="L1123" s="2217"/>
      <c r="M1123" s="2221"/>
      <c r="T1123" s="2222"/>
      <c r="AT1123" s="2218" t="s">
        <v>3303</v>
      </c>
      <c r="AU1123" s="2218" t="s">
        <v>133</v>
      </c>
      <c r="AV1123" s="2216" t="s">
        <v>856</v>
      </c>
      <c r="AW1123" s="2216" t="s">
        <v>3171</v>
      </c>
      <c r="AX1123" s="2216" t="s">
        <v>133</v>
      </c>
      <c r="AY1123" s="2218" t="s">
        <v>3285</v>
      </c>
    </row>
    <row r="1124" spans="2:65" s="2178" customFormat="1" ht="25.9" customHeight="1">
      <c r="B1124" s="2179"/>
      <c r="D1124" s="2180" t="s">
        <v>3212</v>
      </c>
      <c r="E1124" s="2181" t="s">
        <v>188</v>
      </c>
      <c r="F1124" s="2181" t="s">
        <v>4251</v>
      </c>
      <c r="J1124" s="2182">
        <f>BK1124</f>
        <v>0</v>
      </c>
      <c r="L1124" s="2179"/>
      <c r="M1124" s="2183"/>
      <c r="P1124" s="2184">
        <f>SUM(P1125:P1126)</f>
        <v>80</v>
      </c>
      <c r="R1124" s="2184">
        <f>SUM(R1125:R1126)</f>
        <v>0</v>
      </c>
      <c r="T1124" s="2185">
        <f>SUM(T1125:T1126)</f>
        <v>0</v>
      </c>
      <c r="W1124" s="5560"/>
      <c r="AR1124" s="2180" t="s">
        <v>856</v>
      </c>
      <c r="AT1124" s="2186" t="s">
        <v>3212</v>
      </c>
      <c r="AU1124" s="2186" t="s">
        <v>3213</v>
      </c>
      <c r="AY1124" s="2180" t="s">
        <v>3285</v>
      </c>
      <c r="BK1124" s="2187">
        <f>SUM(BK1125:BK1126)</f>
        <v>0</v>
      </c>
    </row>
    <row r="1125" spans="2:65" s="2070" customFormat="1" ht="21.75" customHeight="1">
      <c r="B1125" s="2164"/>
      <c r="C1125" s="4608" t="s">
        <v>5260</v>
      </c>
      <c r="D1125" s="4608" t="s">
        <v>3286</v>
      </c>
      <c r="E1125" s="4609" t="s">
        <v>4253</v>
      </c>
      <c r="F1125" s="4610" t="s">
        <v>4254</v>
      </c>
      <c r="G1125" s="4611" t="s">
        <v>191</v>
      </c>
      <c r="H1125" s="4612">
        <v>56</v>
      </c>
      <c r="I1125" s="4613"/>
      <c r="J1125" s="4613">
        <f>ROUND(I1125*H1125,2)</f>
        <v>0</v>
      </c>
      <c r="K1125" s="4610" t="s">
        <v>142</v>
      </c>
      <c r="L1125" s="2071"/>
      <c r="M1125" s="2190" t="s">
        <v>3146</v>
      </c>
      <c r="N1125" s="2163" t="s">
        <v>3181</v>
      </c>
      <c r="O1125" s="2191">
        <v>1</v>
      </c>
      <c r="P1125" s="2191">
        <f>O1125*H1125</f>
        <v>56</v>
      </c>
      <c r="Q1125" s="2191">
        <v>0</v>
      </c>
      <c r="R1125" s="2191">
        <f>Q1125*H1125</f>
        <v>0</v>
      </c>
      <c r="S1125" s="2191">
        <v>0</v>
      </c>
      <c r="T1125" s="2192">
        <f>S1125*H1125</f>
        <v>0</v>
      </c>
      <c r="AR1125" s="2193" t="s">
        <v>3551</v>
      </c>
      <c r="AT1125" s="2193" t="s">
        <v>3286</v>
      </c>
      <c r="AU1125" s="2193" t="s">
        <v>133</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f>ROUND(I1125*H1125,2)</f>
        <v>0</v>
      </c>
      <c r="BL1125" s="2056" t="s">
        <v>3551</v>
      </c>
      <c r="BM1125" s="2193" t="s">
        <v>4257</v>
      </c>
    </row>
    <row r="1126" spans="2:65" s="2070" customFormat="1" ht="16.5" customHeight="1">
      <c r="B1126" s="2164"/>
      <c r="C1126" s="4608" t="s">
        <v>5261</v>
      </c>
      <c r="D1126" s="4608" t="s">
        <v>3286</v>
      </c>
      <c r="E1126" s="4609" t="s">
        <v>4258</v>
      </c>
      <c r="F1126" s="4610" t="s">
        <v>4259</v>
      </c>
      <c r="G1126" s="4611" t="s">
        <v>191</v>
      </c>
      <c r="H1126" s="4612">
        <v>24</v>
      </c>
      <c r="I1126" s="4613"/>
      <c r="J1126" s="4613">
        <f>ROUND(I1126*H1126,2)</f>
        <v>0</v>
      </c>
      <c r="K1126" s="4610" t="s">
        <v>142</v>
      </c>
      <c r="L1126" s="2071"/>
      <c r="M1126" s="2226" t="s">
        <v>3146</v>
      </c>
      <c r="N1126" s="2227" t="s">
        <v>3181</v>
      </c>
      <c r="O1126" s="2228">
        <v>1</v>
      </c>
      <c r="P1126" s="2228">
        <f>O1126*H1126</f>
        <v>24</v>
      </c>
      <c r="Q1126" s="2228">
        <v>0</v>
      </c>
      <c r="R1126" s="2228">
        <f>Q1126*H1126</f>
        <v>0</v>
      </c>
      <c r="S1126" s="2228">
        <v>0</v>
      </c>
      <c r="T1126" s="2229">
        <f>S1126*H1126</f>
        <v>0</v>
      </c>
      <c r="AR1126" s="2193" t="s">
        <v>4255</v>
      </c>
      <c r="AT1126" s="2193" t="s">
        <v>3286</v>
      </c>
      <c r="AU1126" s="2193" t="s">
        <v>133</v>
      </c>
      <c r="AY1126" s="2056" t="s">
        <v>3285</v>
      </c>
      <c r="BE1126" s="2194">
        <f>IF(N1126="základní",J1126,0)</f>
        <v>0</v>
      </c>
      <c r="BF1126" s="2194">
        <f>IF(N1126="snížená",J1126,0)</f>
        <v>0</v>
      </c>
      <c r="BG1126" s="2194">
        <f>IF(N1126="zákl. přenesená",J1126,0)</f>
        <v>0</v>
      </c>
      <c r="BH1126" s="2194">
        <f>IF(N1126="sníž. přenesená",J1126,0)</f>
        <v>0</v>
      </c>
      <c r="BI1126" s="2194">
        <f>IF(N1126="nulová",J1126,0)</f>
        <v>0</v>
      </c>
      <c r="BJ1126" s="2056" t="s">
        <v>134</v>
      </c>
      <c r="BK1126" s="2194">
        <f>ROUND(I1126*H1126,2)</f>
        <v>0</v>
      </c>
      <c r="BL1126" s="2056" t="s">
        <v>4255</v>
      </c>
      <c r="BM1126" s="2193" t="s">
        <v>4260</v>
      </c>
    </row>
    <row r="1127" spans="2:65" s="2070" customFormat="1" ht="6.95" customHeight="1">
      <c r="B1127" s="2084"/>
      <c r="C1127" s="2085"/>
      <c r="D1127" s="2085"/>
      <c r="E1127" s="2085"/>
      <c r="F1127" s="2085"/>
      <c r="G1127" s="2085"/>
      <c r="H1127" s="2085"/>
      <c r="I1127" s="2085"/>
      <c r="J1127" s="2085"/>
      <c r="K1127" s="2085"/>
      <c r="L1127" s="2071"/>
    </row>
  </sheetData>
  <autoFilter ref="C146:K1126" xr:uid="{00000000-0009-0000-0000-000001000000}"/>
  <mergeCells count="15">
    <mergeCell ref="I1008:J1008"/>
    <mergeCell ref="E87:H87"/>
    <mergeCell ref="L2:V2"/>
    <mergeCell ref="E7:H7"/>
    <mergeCell ref="E9:H9"/>
    <mergeCell ref="E27:H27"/>
    <mergeCell ref="E85:H85"/>
    <mergeCell ref="D123:F123"/>
    <mergeCell ref="D124:F124"/>
    <mergeCell ref="D125:F125"/>
    <mergeCell ref="E137:H137"/>
    <mergeCell ref="E139:H139"/>
    <mergeCell ref="I177:J177"/>
    <mergeCell ref="I199:J199"/>
    <mergeCell ref="I202:J202"/>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37"/>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671" t="s">
        <v>10718</v>
      </c>
      <c r="M2" s="5672"/>
      <c r="N2" s="5672"/>
      <c r="O2" s="5672"/>
      <c r="P2" s="5672"/>
      <c r="Q2" s="5672"/>
      <c r="R2" s="5672"/>
      <c r="S2" s="5672"/>
      <c r="T2" s="5672"/>
      <c r="U2" s="5672"/>
      <c r="V2" s="5672"/>
      <c r="AT2" s="2056" t="s">
        <v>3224</v>
      </c>
      <c r="AZ2" s="2230" t="s">
        <v>4261</v>
      </c>
      <c r="BA2" s="2230" t="s">
        <v>4262</v>
      </c>
      <c r="BB2" s="2230" t="s">
        <v>611</v>
      </c>
      <c r="BC2" s="2230" t="s">
        <v>4263</v>
      </c>
      <c r="BD2" s="2230" t="s">
        <v>854</v>
      </c>
    </row>
    <row r="3" spans="2:56" ht="6.95" customHeight="1">
      <c r="B3" s="2057"/>
      <c r="C3" s="2058"/>
      <c r="D3" s="2058"/>
      <c r="E3" s="2058"/>
      <c r="F3" s="2058"/>
      <c r="G3" s="2058"/>
      <c r="H3" s="2058"/>
      <c r="I3" s="2058"/>
      <c r="J3" s="2058"/>
      <c r="K3" s="2058"/>
      <c r="L3" s="2059"/>
      <c r="AT3" s="2056" t="s">
        <v>133</v>
      </c>
      <c r="AZ3" s="2230" t="s">
        <v>4264</v>
      </c>
      <c r="BA3" s="2230" t="s">
        <v>4265</v>
      </c>
      <c r="BB3" s="2230" t="s">
        <v>611</v>
      </c>
      <c r="BC3" s="2230" t="s">
        <v>4266</v>
      </c>
      <c r="BD3" s="2230" t="s">
        <v>854</v>
      </c>
    </row>
    <row r="4" spans="2:56" ht="24.95" customHeight="1">
      <c r="B4" s="2059"/>
      <c r="D4" s="2060" t="s">
        <v>3238</v>
      </c>
      <c r="L4" s="2059"/>
      <c r="M4" s="2136" t="s">
        <v>3152</v>
      </c>
      <c r="AT4" s="2056" t="s">
        <v>3148</v>
      </c>
      <c r="AZ4" s="2230" t="s">
        <v>4267</v>
      </c>
      <c r="BA4" s="2230" t="s">
        <v>4268</v>
      </c>
      <c r="BB4" s="2230" t="s">
        <v>611</v>
      </c>
      <c r="BC4" s="2230" t="s">
        <v>4269</v>
      </c>
      <c r="BD4" s="2230" t="s">
        <v>854</v>
      </c>
    </row>
    <row r="5" spans="2:56" ht="6.95" customHeight="1">
      <c r="B5" s="2059"/>
      <c r="L5" s="2059"/>
      <c r="AZ5" s="2230" t="s">
        <v>4270</v>
      </c>
      <c r="BA5" s="2230" t="s">
        <v>4271</v>
      </c>
      <c r="BB5" s="2230" t="s">
        <v>611</v>
      </c>
      <c r="BC5" s="2230" t="s">
        <v>4272</v>
      </c>
      <c r="BD5" s="2230" t="s">
        <v>854</v>
      </c>
    </row>
    <row r="6" spans="2:56" ht="12" customHeight="1">
      <c r="B6" s="2059"/>
      <c r="D6" s="2065" t="s">
        <v>3156</v>
      </c>
      <c r="L6" s="2059"/>
      <c r="AZ6" s="2230" t="s">
        <v>4273</v>
      </c>
      <c r="BA6" s="2230" t="s">
        <v>4274</v>
      </c>
      <c r="BB6" s="2230" t="s">
        <v>611</v>
      </c>
      <c r="BC6" s="2230" t="s">
        <v>4275</v>
      </c>
      <c r="BD6" s="2230" t="s">
        <v>854</v>
      </c>
    </row>
    <row r="7" spans="2:56" ht="16.5" customHeight="1">
      <c r="B7" s="2059"/>
      <c r="E7" s="5713" t="str">
        <f>'Rekapitulace stavby'!K6</f>
        <v>Dostavba domova pro seniory ve Vrchlabí - PD</v>
      </c>
      <c r="F7" s="5714"/>
      <c r="G7" s="5714"/>
      <c r="H7" s="5714"/>
      <c r="L7" s="2059"/>
      <c r="AZ7" s="2230" t="s">
        <v>4276</v>
      </c>
      <c r="BA7" s="2230" t="s">
        <v>4277</v>
      </c>
      <c r="BB7" s="2230" t="s">
        <v>611</v>
      </c>
      <c r="BC7" s="2230" t="s">
        <v>4278</v>
      </c>
      <c r="BD7" s="2230" t="s">
        <v>854</v>
      </c>
    </row>
    <row r="8" spans="2:56" s="2070" customFormat="1" ht="12" customHeight="1">
      <c r="B8" s="2071"/>
      <c r="D8" s="2065" t="s">
        <v>3239</v>
      </c>
      <c r="L8" s="2071"/>
      <c r="AZ8" s="2230" t="s">
        <v>4279</v>
      </c>
      <c r="BA8" s="2230" t="s">
        <v>4280</v>
      </c>
      <c r="BB8" s="2230" t="s">
        <v>611</v>
      </c>
      <c r="BC8" s="2230" t="s">
        <v>4281</v>
      </c>
      <c r="BD8" s="2230" t="s">
        <v>854</v>
      </c>
    </row>
    <row r="9" spans="2:56" s="2070" customFormat="1" ht="16.5" customHeight="1">
      <c r="B9" s="2071"/>
      <c r="E9" s="5692" t="s">
        <v>4282</v>
      </c>
      <c r="F9" s="5712"/>
      <c r="G9" s="5712"/>
      <c r="H9" s="5712"/>
      <c r="L9" s="2071"/>
      <c r="AZ9" s="2230" t="s">
        <v>4283</v>
      </c>
      <c r="BA9" s="2230" t="s">
        <v>4284</v>
      </c>
      <c r="BB9" s="2230" t="s">
        <v>611</v>
      </c>
      <c r="BC9" s="2230" t="s">
        <v>4285</v>
      </c>
      <c r="BD9" s="2230" t="s">
        <v>854</v>
      </c>
    </row>
    <row r="10" spans="2:56" s="2070" customFormat="1">
      <c r="B10" s="2071"/>
      <c r="L10" s="2071"/>
      <c r="AZ10" s="2230" t="s">
        <v>4286</v>
      </c>
      <c r="BA10" s="2230" t="s">
        <v>4287</v>
      </c>
      <c r="BB10" s="2230" t="s">
        <v>611</v>
      </c>
      <c r="BC10" s="2230" t="s">
        <v>4288</v>
      </c>
      <c r="BD10" s="2230" t="s">
        <v>854</v>
      </c>
    </row>
    <row r="11" spans="2:56" s="2070" customFormat="1" ht="12" customHeight="1">
      <c r="B11" s="2071"/>
      <c r="D11" s="2065" t="s">
        <v>3158</v>
      </c>
      <c r="F11" s="2063" t="s">
        <v>3146</v>
      </c>
      <c r="I11" s="2065" t="s">
        <v>3159</v>
      </c>
      <c r="J11" s="2063" t="s">
        <v>3146</v>
      </c>
      <c r="L11" s="2071"/>
      <c r="AZ11" s="2230" t="s">
        <v>4289</v>
      </c>
      <c r="BA11" s="2230" t="s">
        <v>4290</v>
      </c>
      <c r="BB11" s="2230" t="s">
        <v>611</v>
      </c>
      <c r="BC11" s="2230" t="s">
        <v>4291</v>
      </c>
      <c r="BD11" s="2230" t="s">
        <v>854</v>
      </c>
    </row>
    <row r="12" spans="2:56" s="2070" customFormat="1" ht="12" customHeight="1">
      <c r="B12" s="2071"/>
      <c r="D12" s="2065" t="s">
        <v>3160</v>
      </c>
      <c r="F12" s="2063" t="s">
        <v>3161</v>
      </c>
      <c r="I12" s="2065" t="s">
        <v>3162</v>
      </c>
      <c r="J12" s="2094" t="str">
        <f>'Rekapitulace stavby'!AN8</f>
        <v>15. 5. 2023</v>
      </c>
      <c r="L12" s="2071"/>
      <c r="AZ12" s="2230" t="s">
        <v>4292</v>
      </c>
      <c r="BA12" s="2230" t="s">
        <v>4293</v>
      </c>
      <c r="BB12" s="2230" t="s">
        <v>611</v>
      </c>
      <c r="BC12" s="2230" t="s">
        <v>4294</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75" t="s">
        <v>3146</v>
      </c>
      <c r="F27" s="5675"/>
      <c r="G27" s="5675"/>
      <c r="H27" s="567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SUM(BE130:BE336)),  2)</f>
        <v>0</v>
      </c>
      <c r="I35" s="2141">
        <v>0.21</v>
      </c>
      <c r="J35" s="2140">
        <f>ROUND(((SUM(BE109:BE110) + SUM(BE130:BE336))*I35),  2)</f>
        <v>0</v>
      </c>
      <c r="L35" s="2071"/>
    </row>
    <row r="36" spans="2:12" s="2070" customFormat="1" ht="14.45" customHeight="1">
      <c r="B36" s="2071"/>
      <c r="E36" s="2065" t="s">
        <v>3181</v>
      </c>
      <c r="F36" s="2140">
        <f>ROUND((SUM(BF109:BF110) + SUM(BF130:BF336)),  2)</f>
        <v>0</v>
      </c>
      <c r="I36" s="2141">
        <v>0.15</v>
      </c>
      <c r="J36" s="2140">
        <f>ROUND(((SUM(BF109:BF110) + SUM(BF130:BF336))*I36),  2)</f>
        <v>0</v>
      </c>
      <c r="L36" s="2071"/>
    </row>
    <row r="37" spans="2:12" s="2070" customFormat="1" ht="14.45" hidden="1" customHeight="1">
      <c r="B37" s="2071"/>
      <c r="E37" s="2065" t="s">
        <v>3182</v>
      </c>
      <c r="F37" s="2140">
        <f>ROUND((SUM(BG109:BG110) + SUM(BG130:BG336)),  2)</f>
        <v>0</v>
      </c>
      <c r="I37" s="2141">
        <v>0.21</v>
      </c>
      <c r="J37" s="2140">
        <f>0</f>
        <v>0</v>
      </c>
      <c r="L37" s="2071"/>
    </row>
    <row r="38" spans="2:12" s="2070" customFormat="1" ht="14.45" hidden="1" customHeight="1">
      <c r="B38" s="2071"/>
      <c r="E38" s="2065" t="s">
        <v>3183</v>
      </c>
      <c r="F38" s="2140">
        <f>ROUND((SUM(BH109:BH110) + SUM(BH130:BH336)),  2)</f>
        <v>0</v>
      </c>
      <c r="I38" s="2141">
        <v>0.15</v>
      </c>
      <c r="J38" s="2140">
        <f>0</f>
        <v>0</v>
      </c>
      <c r="L38" s="2071"/>
    </row>
    <row r="39" spans="2:12" s="2070" customFormat="1" ht="14.45" hidden="1" customHeight="1">
      <c r="B39" s="2071"/>
      <c r="E39" s="2065" t="s">
        <v>3184</v>
      </c>
      <c r="F39" s="2140">
        <f>ROUND((SUM(BI109:BI110) + SUM(BI130:BI336)),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13" t="str">
        <f>E7</f>
        <v>Dostavba domova pro seniory ve Vrchlabí - PD</v>
      </c>
      <c r="F85" s="5714"/>
      <c r="G85" s="5714"/>
      <c r="H85" s="5714"/>
      <c r="L85" s="2071"/>
    </row>
    <row r="86" spans="2:47" s="2070" customFormat="1" ht="12" customHeight="1">
      <c r="B86" s="2071"/>
      <c r="C86" s="2065" t="s">
        <v>3239</v>
      </c>
      <c r="L86" s="2071"/>
    </row>
    <row r="87" spans="2:47" s="2070" customFormat="1" ht="16.5" customHeight="1">
      <c r="B87" s="2071"/>
      <c r="E87" s="5692" t="str">
        <f>E9</f>
        <v>01.1 - Novostavba - podlahy</v>
      </c>
      <c r="F87" s="5712"/>
      <c r="G87" s="5712"/>
      <c r="H87" s="5712"/>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4295</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4296</v>
      </c>
      <c r="E103" s="2160"/>
      <c r="F103" s="2160"/>
      <c r="G103" s="2160"/>
      <c r="H103" s="2160"/>
      <c r="I103" s="2160"/>
      <c r="J103" s="2161">
        <f>J215</f>
        <v>0</v>
      </c>
      <c r="L103" s="2158"/>
    </row>
    <row r="104" spans="2:14" s="2157" customFormat="1" ht="19.899999999999999" customHeight="1">
      <c r="B104" s="2158"/>
      <c r="D104" s="2159" t="s">
        <v>3262</v>
      </c>
      <c r="E104" s="2160"/>
      <c r="F104" s="2160"/>
      <c r="G104" s="2160"/>
      <c r="H104" s="2160"/>
      <c r="I104" s="2160"/>
      <c r="J104" s="2161">
        <f>J256</f>
        <v>0</v>
      </c>
      <c r="L104" s="2158"/>
    </row>
    <row r="105" spans="2:14" s="2157" customFormat="1" ht="19.899999999999999" customHeight="1">
      <c r="B105" s="2158"/>
      <c r="D105" s="2159" t="s">
        <v>4297</v>
      </c>
      <c r="E105" s="2160"/>
      <c r="F105" s="2160"/>
      <c r="G105" s="2160"/>
      <c r="H105" s="2160"/>
      <c r="I105" s="2160"/>
      <c r="J105" s="2161">
        <f>J316</f>
        <v>0</v>
      </c>
      <c r="L105" s="2158"/>
    </row>
    <row r="106" spans="2:14" s="2157" customFormat="1" ht="19.899999999999999" customHeight="1">
      <c r="B106" s="2158"/>
      <c r="D106" s="2159" t="s">
        <v>3264</v>
      </c>
      <c r="E106" s="2160"/>
      <c r="F106" s="2160"/>
      <c r="G106" s="2160"/>
      <c r="H106" s="2160"/>
      <c r="I106" s="2160"/>
      <c r="J106" s="2161">
        <f>J330</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713" t="str">
        <f>E7</f>
        <v>Dostavba domova pro seniory ve Vrchlabí - PD</v>
      </c>
      <c r="F120" s="5714"/>
      <c r="G120" s="5714"/>
      <c r="H120" s="5714"/>
      <c r="L120" s="2071"/>
    </row>
    <row r="121" spans="2:12" s="2070" customFormat="1" ht="12" customHeight="1">
      <c r="B121" s="2071"/>
      <c r="C121" s="2065" t="s">
        <v>3239</v>
      </c>
      <c r="L121" s="2071"/>
    </row>
    <row r="122" spans="2:12" s="2070" customFormat="1" ht="16.5" customHeight="1">
      <c r="B122" s="2071"/>
      <c r="E122" s="5692" t="str">
        <f>E9</f>
        <v>01.1 - Novostavba - podlahy</v>
      </c>
      <c r="F122" s="5712"/>
      <c r="G122" s="5712"/>
      <c r="H122" s="5712"/>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654.88736422999989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3656</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11028</v>
      </c>
      <c r="F133" s="4610" t="s">
        <v>11029</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11030</v>
      </c>
    </row>
    <row r="134" spans="2:65" s="2209" customFormat="1">
      <c r="B134" s="2210"/>
      <c r="D134" s="2197" t="s">
        <v>3303</v>
      </c>
      <c r="E134" s="2211" t="s">
        <v>3146</v>
      </c>
      <c r="F134" s="2212" t="s">
        <v>11031</v>
      </c>
      <c r="H134" s="2213">
        <v>14.7</v>
      </c>
      <c r="L134" s="2210"/>
      <c r="M134" s="2214"/>
      <c r="T134" s="2215"/>
      <c r="AT134" s="2211" t="s">
        <v>3303</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11032</v>
      </c>
      <c r="F135" s="4610" t="s">
        <v>11033</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11034</v>
      </c>
    </row>
    <row r="136" spans="2:65" s="2209" customFormat="1">
      <c r="B136" s="2210"/>
      <c r="D136" s="2197" t="s">
        <v>3303</v>
      </c>
      <c r="E136" s="2211" t="s">
        <v>3146</v>
      </c>
      <c r="F136" s="2212" t="s">
        <v>4283</v>
      </c>
      <c r="H136" s="2213">
        <v>37.840000000000003</v>
      </c>
      <c r="L136" s="2210"/>
      <c r="M136" s="2214"/>
      <c r="T136" s="2215"/>
      <c r="AT136" s="2211" t="s">
        <v>3303</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4298</v>
      </c>
      <c r="F137" s="4610" t="s">
        <v>4299</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4300</v>
      </c>
    </row>
    <row r="138" spans="2:65" s="2209" customFormat="1">
      <c r="B138" s="2210"/>
      <c r="D138" s="2197" t="s">
        <v>3303</v>
      </c>
      <c r="E138" s="2211" t="s">
        <v>3146</v>
      </c>
      <c r="F138" s="2212" t="s">
        <v>4301</v>
      </c>
      <c r="H138" s="2213">
        <v>3237.2759999999998</v>
      </c>
      <c r="L138" s="2210"/>
      <c r="M138" s="2214"/>
      <c r="T138" s="2215"/>
      <c r="AT138" s="2211" t="s">
        <v>3303</v>
      </c>
      <c r="AU138" s="2211" t="s">
        <v>134</v>
      </c>
      <c r="AV138" s="2209" t="s">
        <v>134</v>
      </c>
      <c r="AW138" s="2209" t="s">
        <v>3171</v>
      </c>
      <c r="AX138" s="2209" t="s">
        <v>3213</v>
      </c>
      <c r="AY138" s="2211" t="s">
        <v>3285</v>
      </c>
    </row>
    <row r="139" spans="2:65" s="2216" customFormat="1">
      <c r="B139" s="2217"/>
      <c r="D139" s="2197" t="s">
        <v>3303</v>
      </c>
      <c r="E139" s="2218" t="s">
        <v>3146</v>
      </c>
      <c r="F139" s="2219" t="s">
        <v>3306</v>
      </c>
      <c r="H139" s="2220">
        <v>3237.2759999999998</v>
      </c>
      <c r="L139" s="2217"/>
      <c r="M139" s="2221"/>
      <c r="T139" s="2222"/>
      <c r="AT139" s="2218" t="s">
        <v>3303</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4302</v>
      </c>
      <c r="F140" s="4610" t="s">
        <v>4303</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4304</v>
      </c>
    </row>
    <row r="141" spans="2:65" s="2209" customFormat="1">
      <c r="B141" s="2210"/>
      <c r="D141" s="2197" t="s">
        <v>3303</v>
      </c>
      <c r="E141" s="2211" t="s">
        <v>3146</v>
      </c>
      <c r="F141" s="2212" t="s">
        <v>4305</v>
      </c>
      <c r="H141" s="2213">
        <v>942.43799999999999</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4306</v>
      </c>
      <c r="H142" s="2213">
        <v>348.95</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4307</v>
      </c>
      <c r="H143" s="2213">
        <v>2793.1</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4308</v>
      </c>
      <c r="H144" s="2213">
        <v>1875</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4309</v>
      </c>
      <c r="H145" s="2213">
        <v>12562.06</v>
      </c>
      <c r="L145" s="2210"/>
      <c r="M145" s="2214"/>
      <c r="T145" s="2215"/>
      <c r="AT145" s="2211" t="s">
        <v>3303</v>
      </c>
      <c r="AU145" s="2211" t="s">
        <v>134</v>
      </c>
      <c r="AV145" s="2209" t="s">
        <v>134</v>
      </c>
      <c r="AW145" s="2209" t="s">
        <v>3171</v>
      </c>
      <c r="AX145" s="2209" t="s">
        <v>3213</v>
      </c>
      <c r="AY145" s="2211" t="s">
        <v>3285</v>
      </c>
    </row>
    <row r="146" spans="2:65" s="2209" customFormat="1">
      <c r="B146" s="2210"/>
      <c r="D146" s="2197" t="s">
        <v>3303</v>
      </c>
      <c r="E146" s="2211" t="s">
        <v>3146</v>
      </c>
      <c r="F146" s="2212" t="s">
        <v>4310</v>
      </c>
      <c r="H146" s="2213">
        <v>433.93</v>
      </c>
      <c r="L146" s="2210"/>
      <c r="M146" s="2214"/>
      <c r="T146" s="2215"/>
      <c r="AT146" s="2211" t="s">
        <v>3303</v>
      </c>
      <c r="AU146" s="2211" t="s">
        <v>134</v>
      </c>
      <c r="AV146" s="2209" t="s">
        <v>134</v>
      </c>
      <c r="AW146" s="2209" t="s">
        <v>3171</v>
      </c>
      <c r="AX146" s="2209" t="s">
        <v>3213</v>
      </c>
      <c r="AY146" s="2211" t="s">
        <v>3285</v>
      </c>
    </row>
    <row r="147" spans="2:65" s="2209" customFormat="1">
      <c r="B147" s="2210"/>
      <c r="D147" s="2197" t="s">
        <v>3303</v>
      </c>
      <c r="E147" s="2211" t="s">
        <v>3146</v>
      </c>
      <c r="F147" s="2212" t="s">
        <v>4311</v>
      </c>
      <c r="H147" s="2213">
        <v>184.8</v>
      </c>
      <c r="L147" s="2210"/>
      <c r="M147" s="2214"/>
      <c r="T147" s="2215"/>
      <c r="AT147" s="2211" t="s">
        <v>3303</v>
      </c>
      <c r="AU147" s="2211" t="s">
        <v>134</v>
      </c>
      <c r="AV147" s="2209" t="s">
        <v>134</v>
      </c>
      <c r="AW147" s="2209" t="s">
        <v>3171</v>
      </c>
      <c r="AX147" s="2209" t="s">
        <v>3213</v>
      </c>
      <c r="AY147" s="2211" t="s">
        <v>3285</v>
      </c>
    </row>
    <row r="148" spans="2:65" s="2209" customFormat="1">
      <c r="B148" s="2210"/>
      <c r="D148" s="2197" t="s">
        <v>3303</v>
      </c>
      <c r="E148" s="2211" t="s">
        <v>3146</v>
      </c>
      <c r="F148" s="2212" t="s">
        <v>4312</v>
      </c>
      <c r="H148" s="2213">
        <v>257.25</v>
      </c>
      <c r="L148" s="2210"/>
      <c r="M148" s="2214"/>
      <c r="T148" s="2215"/>
      <c r="AT148" s="2211" t="s">
        <v>3303</v>
      </c>
      <c r="AU148" s="2211" t="s">
        <v>134</v>
      </c>
      <c r="AV148" s="2209" t="s">
        <v>134</v>
      </c>
      <c r="AW148" s="2209" t="s">
        <v>3171</v>
      </c>
      <c r="AX148" s="2209" t="s">
        <v>3213</v>
      </c>
      <c r="AY148" s="2211" t="s">
        <v>3285</v>
      </c>
    </row>
    <row r="149" spans="2:65" s="2216" customFormat="1">
      <c r="B149" s="2217"/>
      <c r="D149" s="2197" t="s">
        <v>3303</v>
      </c>
      <c r="E149" s="2218" t="s">
        <v>3146</v>
      </c>
      <c r="F149" s="2219" t="s">
        <v>3306</v>
      </c>
      <c r="H149" s="2220">
        <v>19397.527999999998</v>
      </c>
      <c r="L149" s="2217"/>
      <c r="M149" s="2221"/>
      <c r="T149" s="2222"/>
      <c r="AT149" s="2218" t="s">
        <v>3303</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4313</v>
      </c>
      <c r="F150" s="4610" t="s">
        <v>4314</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4315</v>
      </c>
    </row>
    <row r="151" spans="2:65" s="2209" customFormat="1">
      <c r="B151" s="2210"/>
      <c r="D151" s="2197" t="s">
        <v>3303</v>
      </c>
      <c r="E151" s="2211" t="s">
        <v>3146</v>
      </c>
      <c r="F151" s="2212" t="s">
        <v>4316</v>
      </c>
      <c r="H151" s="2213">
        <v>1950.5119999999999</v>
      </c>
      <c r="L151" s="2210"/>
      <c r="M151" s="2214"/>
      <c r="T151" s="2215"/>
      <c r="AT151" s="2211" t="s">
        <v>3303</v>
      </c>
      <c r="AU151" s="2211" t="s">
        <v>134</v>
      </c>
      <c r="AV151" s="2209" t="s">
        <v>134</v>
      </c>
      <c r="AW151" s="2209" t="s">
        <v>3171</v>
      </c>
      <c r="AX151" s="2209" t="s">
        <v>3213</v>
      </c>
      <c r="AY151" s="2211" t="s">
        <v>3285</v>
      </c>
    </row>
    <row r="152" spans="2:65" s="2216" customFormat="1">
      <c r="B152" s="2217"/>
      <c r="D152" s="2197" t="s">
        <v>3303</v>
      </c>
      <c r="E152" s="2218" t="s">
        <v>3146</v>
      </c>
      <c r="F152" s="2219" t="s">
        <v>3306</v>
      </c>
      <c r="H152" s="2220">
        <v>1950.5119999999999</v>
      </c>
      <c r="L152" s="2217"/>
      <c r="M152" s="2221"/>
      <c r="T152" s="2222"/>
      <c r="AT152" s="2218" t="s">
        <v>3303</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4317</v>
      </c>
      <c r="F153" s="4610" t="s">
        <v>4318</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4319</v>
      </c>
    </row>
    <row r="154" spans="2:65" s="2209" customFormat="1">
      <c r="B154" s="2210"/>
      <c r="D154" s="2197" t="s">
        <v>3303</v>
      </c>
      <c r="E154" s="2211" t="s">
        <v>3146</v>
      </c>
      <c r="F154" s="2212" t="s">
        <v>4320</v>
      </c>
      <c r="H154" s="2213">
        <v>848.3</v>
      </c>
      <c r="L154" s="2210"/>
      <c r="M154" s="2214"/>
      <c r="T154" s="2215"/>
      <c r="AT154" s="2211" t="s">
        <v>3303</v>
      </c>
      <c r="AU154" s="2211" t="s">
        <v>134</v>
      </c>
      <c r="AV154" s="2209" t="s">
        <v>134</v>
      </c>
      <c r="AW154" s="2209" t="s">
        <v>3171</v>
      </c>
      <c r="AX154" s="2209" t="s">
        <v>3213</v>
      </c>
      <c r="AY154" s="2211" t="s">
        <v>3285</v>
      </c>
    </row>
    <row r="155" spans="2:65" s="2216" customFormat="1">
      <c r="B155" s="2217"/>
      <c r="D155" s="2197" t="s">
        <v>3303</v>
      </c>
      <c r="E155" s="2218" t="s">
        <v>3146</v>
      </c>
      <c r="F155" s="2219" t="s">
        <v>3306</v>
      </c>
      <c r="H155" s="2220">
        <v>848.3</v>
      </c>
      <c r="L155" s="2217"/>
      <c r="M155" s="2221"/>
      <c r="T155" s="2222"/>
      <c r="AT155" s="2218" t="s">
        <v>3303</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4321</v>
      </c>
      <c r="F156" s="4610" t="s">
        <v>4322</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4323</v>
      </c>
    </row>
    <row r="157" spans="2:65" s="2209" customFormat="1">
      <c r="B157" s="2210"/>
      <c r="D157" s="2197" t="s">
        <v>3303</v>
      </c>
      <c r="E157" s="2211" t="s">
        <v>3146</v>
      </c>
      <c r="F157" s="2212" t="s">
        <v>4324</v>
      </c>
      <c r="H157" s="2213">
        <v>1.1910000000000001</v>
      </c>
      <c r="L157" s="2210"/>
      <c r="M157" s="2214"/>
      <c r="T157" s="2215"/>
      <c r="AT157" s="2211" t="s">
        <v>3303</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4325</v>
      </c>
      <c r="F158" s="4610" t="s">
        <v>4326</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4327</v>
      </c>
    </row>
    <row r="159" spans="2:65" s="2209" customFormat="1">
      <c r="B159" s="2210"/>
      <c r="D159" s="2197" t="s">
        <v>3303</v>
      </c>
      <c r="E159" s="2211" t="s">
        <v>3146</v>
      </c>
      <c r="F159" s="2212" t="s">
        <v>4328</v>
      </c>
      <c r="H159" s="2213">
        <v>3.5739999999999998</v>
      </c>
      <c r="L159" s="2210"/>
      <c r="M159" s="2214"/>
      <c r="T159" s="2215"/>
      <c r="AT159" s="2211" t="s">
        <v>3303</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4329</v>
      </c>
      <c r="F160" s="4610" t="s">
        <v>4330</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4331</v>
      </c>
    </row>
    <row r="161" spans="2:65" s="2209" customFormat="1">
      <c r="B161" s="2210"/>
      <c r="D161" s="2197" t="s">
        <v>3303</v>
      </c>
      <c r="E161" s="2211" t="s">
        <v>3146</v>
      </c>
      <c r="F161" s="2212" t="s">
        <v>4289</v>
      </c>
      <c r="H161" s="2213">
        <v>21.66</v>
      </c>
      <c r="L161" s="2210"/>
      <c r="M161" s="2214"/>
      <c r="T161" s="2215"/>
      <c r="AT161" s="2211" t="s">
        <v>3303</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4332</v>
      </c>
      <c r="F162" s="4616" t="s">
        <v>4333</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4334</v>
      </c>
    </row>
    <row r="163" spans="2:65" s="2209" customFormat="1">
      <c r="B163" s="2210"/>
      <c r="D163" s="2197" t="s">
        <v>3303</v>
      </c>
      <c r="F163" s="2212" t="s">
        <v>4335</v>
      </c>
      <c r="H163" s="2213">
        <v>22.742999999999999</v>
      </c>
      <c r="L163" s="2210"/>
      <c r="M163" s="2214"/>
      <c r="T163" s="2215"/>
      <c r="AT163" s="2211" t="s">
        <v>3303</v>
      </c>
      <c r="AU163" s="2211" t="s">
        <v>134</v>
      </c>
      <c r="AV163" s="2209" t="s">
        <v>134</v>
      </c>
      <c r="AW163" s="2209" t="s">
        <v>3148</v>
      </c>
      <c r="AX163" s="2209" t="s">
        <v>133</v>
      </c>
      <c r="AY163" s="2211" t="s">
        <v>3285</v>
      </c>
    </row>
    <row r="164" spans="2:65" s="2178" customFormat="1" ht="22.9" customHeight="1">
      <c r="B164" s="2179"/>
      <c r="D164" s="2180" t="s">
        <v>3212</v>
      </c>
      <c r="E164" s="2188" t="s">
        <v>3923</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4336</v>
      </c>
      <c r="F165" s="4610" t="s">
        <v>4337</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4338</v>
      </c>
    </row>
    <row r="166" spans="2:65" s="2178" customFormat="1" ht="25.9" customHeight="1">
      <c r="B166" s="2179"/>
      <c r="D166" s="2180" t="s">
        <v>3212</v>
      </c>
      <c r="E166" s="2181" t="s">
        <v>995</v>
      </c>
      <c r="F166" s="2181" t="s">
        <v>996</v>
      </c>
      <c r="J166" s="2182">
        <f>BK166</f>
        <v>0</v>
      </c>
      <c r="L166" s="2179"/>
      <c r="M166" s="2183"/>
      <c r="P166" s="2184">
        <f>P167+P176+P215+P256+P316+P330</f>
        <v>6791.9424940000008</v>
      </c>
      <c r="R166" s="2184">
        <f>R167+R176+R215+R256+R316+R330</f>
        <v>63.61002598999999</v>
      </c>
      <c r="T166" s="2185">
        <f>T167+T176+T215+T256+T316+T330</f>
        <v>0</v>
      </c>
      <c r="AR166" s="2180" t="s">
        <v>134</v>
      </c>
      <c r="AT166" s="2186" t="s">
        <v>3212</v>
      </c>
      <c r="AU166" s="2186" t="s">
        <v>3213</v>
      </c>
      <c r="AY166" s="2180" t="s">
        <v>3285</v>
      </c>
      <c r="BK166" s="2187">
        <f>BK167+BK176+BK215+BK256+BK316+BK330</f>
        <v>0</v>
      </c>
    </row>
    <row r="167" spans="2:65" s="2178" customFormat="1" ht="22.9" customHeight="1">
      <c r="B167" s="2179"/>
      <c r="D167" s="2180" t="s">
        <v>3212</v>
      </c>
      <c r="E167" s="2188" t="s">
        <v>3933</v>
      </c>
      <c r="F167" s="2188" t="s">
        <v>3934</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4339</v>
      </c>
      <c r="F168" s="4610" t="s">
        <v>4340</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4341</v>
      </c>
    </row>
    <row r="169" spans="2:65" s="2209" customFormat="1">
      <c r="B169" s="2210"/>
      <c r="D169" s="2197" t="s">
        <v>3303</v>
      </c>
      <c r="E169" s="2211" t="s">
        <v>3146</v>
      </c>
      <c r="F169" s="2212" t="s">
        <v>4289</v>
      </c>
      <c r="H169" s="2213">
        <v>21.66</v>
      </c>
      <c r="L169" s="2210"/>
      <c r="M169" s="2214"/>
      <c r="T169" s="2215"/>
      <c r="AT169" s="2211" t="s">
        <v>3303</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4342</v>
      </c>
      <c r="F170" s="4610" t="s">
        <v>4343</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4344</v>
      </c>
    </row>
    <row r="171" spans="2:65" s="2070" customFormat="1" ht="24.2" customHeight="1">
      <c r="B171" s="2164"/>
      <c r="C171" s="4608" t="s">
        <v>1823</v>
      </c>
      <c r="D171" s="4608" t="s">
        <v>3286</v>
      </c>
      <c r="E171" s="4609" t="s">
        <v>4345</v>
      </c>
      <c r="F171" s="4610" t="s">
        <v>4346</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4347</v>
      </c>
    </row>
    <row r="172" spans="2:65" s="2070" customFormat="1" ht="49.15" customHeight="1">
      <c r="B172" s="2164"/>
      <c r="C172" s="4614" t="s">
        <v>1827</v>
      </c>
      <c r="D172" s="4614" t="s">
        <v>135</v>
      </c>
      <c r="E172" s="4615" t="s">
        <v>4348</v>
      </c>
      <c r="F172" s="4616" t="s">
        <v>4349</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3389</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4350</v>
      </c>
    </row>
    <row r="173" spans="2:65" s="2209" customFormat="1">
      <c r="B173" s="2210"/>
      <c r="D173" s="2197" t="s">
        <v>3303</v>
      </c>
      <c r="F173" s="2212" t="s">
        <v>4351</v>
      </c>
      <c r="H173" s="2213">
        <v>25.245000000000001</v>
      </c>
      <c r="L173" s="2210"/>
      <c r="M173" s="2214"/>
      <c r="T173" s="2215"/>
      <c r="AT173" s="2211" t="s">
        <v>3303</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4352</v>
      </c>
      <c r="F174" s="4610" t="s">
        <v>4353</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4354</v>
      </c>
    </row>
    <row r="175" spans="2:65" s="2070" customFormat="1" ht="24.2" customHeight="1">
      <c r="B175" s="2164"/>
      <c r="C175" s="4608" t="s">
        <v>2897</v>
      </c>
      <c r="D175" s="4608" t="s">
        <v>3286</v>
      </c>
      <c r="E175" s="4609" t="s">
        <v>4355</v>
      </c>
      <c r="F175" s="4610" t="s">
        <v>4356</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4357</v>
      </c>
    </row>
    <row r="176" spans="2:65" s="2178" customFormat="1" ht="22.9" customHeight="1">
      <c r="B176" s="2179"/>
      <c r="D176" s="2180" t="s">
        <v>3212</v>
      </c>
      <c r="E176" s="2188" t="s">
        <v>4009</v>
      </c>
      <c r="F176" s="2188" t="s">
        <v>4010</v>
      </c>
      <c r="J176" s="2189">
        <f>BK176</f>
        <v>0</v>
      </c>
      <c r="L176" s="2179"/>
      <c r="M176" s="2183"/>
      <c r="P176" s="2184">
        <f>SUM(P177:P214)</f>
        <v>767.32319199999995</v>
      </c>
      <c r="R176" s="2184">
        <f>SUM(R177:R214)</f>
        <v>5.7253600200000001</v>
      </c>
      <c r="T176" s="2185">
        <f>SUM(T177:T214)</f>
        <v>0</v>
      </c>
      <c r="AR176" s="2180" t="s">
        <v>134</v>
      </c>
      <c r="AT176" s="2186" t="s">
        <v>3212</v>
      </c>
      <c r="AU176" s="2186" t="s">
        <v>133</v>
      </c>
      <c r="AY176" s="2180" t="s">
        <v>3285</v>
      </c>
      <c r="BK176" s="2187">
        <f>SUM(BK177:BK214)</f>
        <v>0</v>
      </c>
    </row>
    <row r="177" spans="2:65" s="2070" customFormat="1" ht="24.2" customHeight="1">
      <c r="B177" s="2164"/>
      <c r="C177" s="4608" t="s">
        <v>2475</v>
      </c>
      <c r="D177" s="4608" t="s">
        <v>3286</v>
      </c>
      <c r="E177" s="4609" t="s">
        <v>4358</v>
      </c>
      <c r="F177" s="4610" t="s">
        <v>4359</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4360</v>
      </c>
    </row>
    <row r="178" spans="2:65" s="2209" customFormat="1">
      <c r="B178" s="2210"/>
      <c r="D178" s="2197" t="s">
        <v>3303</v>
      </c>
      <c r="E178" s="2211" t="s">
        <v>3146</v>
      </c>
      <c r="F178" s="2212" t="s">
        <v>4273</v>
      </c>
      <c r="H178" s="2213">
        <v>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4276</v>
      </c>
      <c r="H179" s="2213">
        <v>1794.58</v>
      </c>
      <c r="L179" s="2210"/>
      <c r="M179" s="2214"/>
      <c r="T179" s="2215"/>
      <c r="AT179" s="2211" t="s">
        <v>3303</v>
      </c>
      <c r="AU179" s="2211" t="s">
        <v>134</v>
      </c>
      <c r="AV179" s="2209" t="s">
        <v>134</v>
      </c>
      <c r="AW179" s="2209" t="s">
        <v>3171</v>
      </c>
      <c r="AX179" s="2209" t="s">
        <v>3213</v>
      </c>
      <c r="AY179" s="2211" t="s">
        <v>3285</v>
      </c>
    </row>
    <row r="180" spans="2:65" s="2209" customFormat="1">
      <c r="B180" s="2210"/>
      <c r="D180" s="2197" t="s">
        <v>3303</v>
      </c>
      <c r="E180" s="2211" t="s">
        <v>3146</v>
      </c>
      <c r="F180" s="2212" t="s">
        <v>4279</v>
      </c>
      <c r="H180" s="2213">
        <v>61.99</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4286</v>
      </c>
      <c r="H181" s="2213">
        <v>26.4</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4292</v>
      </c>
      <c r="H182" s="2213">
        <v>36.75</v>
      </c>
      <c r="L182" s="2210"/>
      <c r="M182" s="2214"/>
      <c r="T182" s="2215"/>
      <c r="AT182" s="2211" t="s">
        <v>3303</v>
      </c>
      <c r="AU182" s="2211" t="s">
        <v>134</v>
      </c>
      <c r="AV182" s="2209" t="s">
        <v>134</v>
      </c>
      <c r="AW182" s="2209" t="s">
        <v>3171</v>
      </c>
      <c r="AX182" s="2209" t="s">
        <v>3213</v>
      </c>
      <c r="AY182" s="2211" t="s">
        <v>3285</v>
      </c>
    </row>
    <row r="183" spans="2:65" s="2202" customFormat="1">
      <c r="B183" s="2203"/>
      <c r="D183" s="2197" t="s">
        <v>3303</v>
      </c>
      <c r="E183" s="2204" t="s">
        <v>3146</v>
      </c>
      <c r="F183" s="2205" t="s">
        <v>3305</v>
      </c>
      <c r="H183" s="2206">
        <v>2294.7199999999998</v>
      </c>
      <c r="L183" s="2203"/>
      <c r="M183" s="2207"/>
      <c r="T183" s="2208"/>
      <c r="AT183" s="2204" t="s">
        <v>3303</v>
      </c>
      <c r="AU183" s="2204" t="s">
        <v>134</v>
      </c>
      <c r="AV183" s="2202" t="s">
        <v>854</v>
      </c>
      <c r="AW183" s="2202" t="s">
        <v>3171</v>
      </c>
      <c r="AX183" s="2202" t="s">
        <v>3213</v>
      </c>
      <c r="AY183" s="2204" t="s">
        <v>3285</v>
      </c>
    </row>
    <row r="184" spans="2:65" s="2209" customFormat="1">
      <c r="B184" s="2210"/>
      <c r="D184" s="2197" t="s">
        <v>3303</v>
      </c>
      <c r="E184" s="2211" t="s">
        <v>3146</v>
      </c>
      <c r="F184" s="2212" t="s">
        <v>4361</v>
      </c>
      <c r="H184" s="2213">
        <v>2294.7199999999998</v>
      </c>
      <c r="L184" s="2210"/>
      <c r="M184" s="2214"/>
      <c r="T184" s="2215"/>
      <c r="AT184" s="2211" t="s">
        <v>3303</v>
      </c>
      <c r="AU184" s="2211" t="s">
        <v>134</v>
      </c>
      <c r="AV184" s="2209" t="s">
        <v>134</v>
      </c>
      <c r="AW184" s="2209" t="s">
        <v>3171</v>
      </c>
      <c r="AX184" s="2209" t="s">
        <v>3213</v>
      </c>
      <c r="AY184" s="2211" t="s">
        <v>3285</v>
      </c>
    </row>
    <row r="185" spans="2:65" s="2216" customFormat="1">
      <c r="B185" s="2217"/>
      <c r="D185" s="2197" t="s">
        <v>3303</v>
      </c>
      <c r="E185" s="2218" t="s">
        <v>3146</v>
      </c>
      <c r="F185" s="2219" t="s">
        <v>3306</v>
      </c>
      <c r="H185" s="2220">
        <v>4589.4399999999996</v>
      </c>
      <c r="L185" s="2217"/>
      <c r="M185" s="2221"/>
      <c r="T185" s="2222"/>
      <c r="AT185" s="2218" t="s">
        <v>3303</v>
      </c>
      <c r="AU185" s="2218" t="s">
        <v>134</v>
      </c>
      <c r="AV185" s="2216" t="s">
        <v>856</v>
      </c>
      <c r="AW185" s="2216" t="s">
        <v>3171</v>
      </c>
      <c r="AX185" s="2216" t="s">
        <v>133</v>
      </c>
      <c r="AY185" s="2218" t="s">
        <v>3285</v>
      </c>
    </row>
    <row r="186" spans="2:65" s="2070" customFormat="1" ht="24.2" customHeight="1">
      <c r="B186" s="2164"/>
      <c r="C186" s="4614" t="s">
        <v>1846</v>
      </c>
      <c r="D186" s="4614" t="s">
        <v>135</v>
      </c>
      <c r="E186" s="4615" t="s">
        <v>4362</v>
      </c>
      <c r="F186" s="4616" t="s">
        <v>4363</v>
      </c>
      <c r="G186" s="4617" t="s">
        <v>611</v>
      </c>
      <c r="H186" s="4618">
        <v>2409.4560000000001</v>
      </c>
      <c r="I186" s="4619"/>
      <c r="J186" s="4619">
        <f>ROUND(I186*H186,2)</f>
        <v>0</v>
      </c>
      <c r="K186" s="4616" t="s">
        <v>142</v>
      </c>
      <c r="L186" s="2223"/>
      <c r="M186" s="2224" t="s">
        <v>3146</v>
      </c>
      <c r="N186" s="2225" t="s">
        <v>3181</v>
      </c>
      <c r="O186" s="2191">
        <v>0</v>
      </c>
      <c r="P186" s="2191">
        <f>O186*H186</f>
        <v>0</v>
      </c>
      <c r="Q186" s="2191">
        <v>5.1999999999999995E-4</v>
      </c>
      <c r="R186" s="2191">
        <f>Q186*H186</f>
        <v>1.25291712</v>
      </c>
      <c r="S186" s="2191">
        <v>0</v>
      </c>
      <c r="T186" s="2192">
        <f>S186*H186</f>
        <v>0</v>
      </c>
      <c r="AR186" s="2193" t="s">
        <v>3389</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4364</v>
      </c>
    </row>
    <row r="187" spans="2:65" s="2209" customFormat="1">
      <c r="B187" s="2210"/>
      <c r="D187" s="2197" t="s">
        <v>3303</v>
      </c>
      <c r="E187" s="2211" t="s">
        <v>3146</v>
      </c>
      <c r="F187" s="2212" t="s">
        <v>4273</v>
      </c>
      <c r="H187" s="2213">
        <v>375</v>
      </c>
      <c r="L187" s="2210"/>
      <c r="M187" s="2214"/>
      <c r="T187" s="2215"/>
      <c r="AT187" s="2211" t="s">
        <v>3303</v>
      </c>
      <c r="AU187" s="2211" t="s">
        <v>134</v>
      </c>
      <c r="AV187" s="2209" t="s">
        <v>134</v>
      </c>
      <c r="AW187" s="2209" t="s">
        <v>3171</v>
      </c>
      <c r="AX187" s="2209" t="s">
        <v>3213</v>
      </c>
      <c r="AY187" s="2211" t="s">
        <v>3285</v>
      </c>
    </row>
    <row r="188" spans="2:65" s="2209" customFormat="1">
      <c r="B188" s="2210"/>
      <c r="D188" s="2197" t="s">
        <v>3303</v>
      </c>
      <c r="E188" s="2211" t="s">
        <v>3146</v>
      </c>
      <c r="F188" s="2212" t="s">
        <v>4276</v>
      </c>
      <c r="H188" s="2213">
        <v>1794.58</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2212" t="s">
        <v>4279</v>
      </c>
      <c r="H189" s="2213">
        <v>61.99</v>
      </c>
      <c r="L189" s="2210"/>
      <c r="M189" s="2214"/>
      <c r="T189" s="2215"/>
      <c r="AT189" s="2211" t="s">
        <v>3303</v>
      </c>
      <c r="AU189" s="2211" t="s">
        <v>134</v>
      </c>
      <c r="AV189" s="2209" t="s">
        <v>134</v>
      </c>
      <c r="AW189" s="2209" t="s">
        <v>3171</v>
      </c>
      <c r="AX189" s="2209" t="s">
        <v>3213</v>
      </c>
      <c r="AY189" s="2211" t="s">
        <v>3285</v>
      </c>
    </row>
    <row r="190" spans="2:65" s="2209" customFormat="1">
      <c r="B190" s="2210"/>
      <c r="D190" s="2197" t="s">
        <v>3303</v>
      </c>
      <c r="E190" s="2211" t="s">
        <v>3146</v>
      </c>
      <c r="F190" s="2212" t="s">
        <v>4286</v>
      </c>
      <c r="H190" s="2213">
        <v>26.4</v>
      </c>
      <c r="L190" s="2210"/>
      <c r="M190" s="2214"/>
      <c r="T190" s="2215"/>
      <c r="AT190" s="2211" t="s">
        <v>3303</v>
      </c>
      <c r="AU190" s="2211" t="s">
        <v>134</v>
      </c>
      <c r="AV190" s="2209" t="s">
        <v>134</v>
      </c>
      <c r="AW190" s="2209" t="s">
        <v>3171</v>
      </c>
      <c r="AX190" s="2209" t="s">
        <v>3213</v>
      </c>
      <c r="AY190" s="2211" t="s">
        <v>3285</v>
      </c>
    </row>
    <row r="191" spans="2:65" s="2209" customFormat="1">
      <c r="B191" s="2210"/>
      <c r="D191" s="2197" t="s">
        <v>3303</v>
      </c>
      <c r="E191" s="2211" t="s">
        <v>3146</v>
      </c>
      <c r="F191" s="2212" t="s">
        <v>4292</v>
      </c>
      <c r="H191" s="2213">
        <v>36.75</v>
      </c>
      <c r="L191" s="2210"/>
      <c r="M191" s="2214"/>
      <c r="T191" s="2215"/>
      <c r="AT191" s="2211" t="s">
        <v>3303</v>
      </c>
      <c r="AU191" s="2211" t="s">
        <v>134</v>
      </c>
      <c r="AV191" s="2209" t="s">
        <v>134</v>
      </c>
      <c r="AW191" s="2209" t="s">
        <v>3171</v>
      </c>
      <c r="AX191" s="2209" t="s">
        <v>3213</v>
      </c>
      <c r="AY191" s="2211" t="s">
        <v>3285</v>
      </c>
    </row>
    <row r="192" spans="2:65" s="2216" customFormat="1">
      <c r="B192" s="2217"/>
      <c r="D192" s="2197" t="s">
        <v>3303</v>
      </c>
      <c r="E192" s="2218" t="s">
        <v>3146</v>
      </c>
      <c r="F192" s="2219" t="s">
        <v>3306</v>
      </c>
      <c r="H192" s="2220">
        <v>2294.7199999999998</v>
      </c>
      <c r="L192" s="2217"/>
      <c r="M192" s="2221"/>
      <c r="T192" s="2222"/>
      <c r="AT192" s="2218" t="s">
        <v>3303</v>
      </c>
      <c r="AU192" s="2218" t="s">
        <v>134</v>
      </c>
      <c r="AV192" s="2216" t="s">
        <v>856</v>
      </c>
      <c r="AW192" s="2216" t="s">
        <v>3171</v>
      </c>
      <c r="AX192" s="2216" t="s">
        <v>133</v>
      </c>
      <c r="AY192" s="2218" t="s">
        <v>3285</v>
      </c>
    </row>
    <row r="193" spans="2:65" s="2209" customFormat="1">
      <c r="B193" s="2210"/>
      <c r="D193" s="2197" t="s">
        <v>3303</v>
      </c>
      <c r="F193" s="2212" t="s">
        <v>4365</v>
      </c>
      <c r="H193" s="2213">
        <v>2409.4560000000001</v>
      </c>
      <c r="L193" s="2210"/>
      <c r="M193" s="2214"/>
      <c r="T193" s="2215"/>
      <c r="AT193" s="2211" t="s">
        <v>3303</v>
      </c>
      <c r="AU193" s="2211" t="s">
        <v>134</v>
      </c>
      <c r="AV193" s="2209" t="s">
        <v>134</v>
      </c>
      <c r="AW193" s="2209" t="s">
        <v>3148</v>
      </c>
      <c r="AX193" s="2209" t="s">
        <v>133</v>
      </c>
      <c r="AY193" s="2211" t="s">
        <v>3285</v>
      </c>
    </row>
    <row r="194" spans="2:65" s="2070" customFormat="1" ht="24.2" customHeight="1">
      <c r="B194" s="2164"/>
      <c r="C194" s="4614" t="s">
        <v>2272</v>
      </c>
      <c r="D194" s="4614" t="s">
        <v>135</v>
      </c>
      <c r="E194" s="4615" t="s">
        <v>4366</v>
      </c>
      <c r="F194" s="4616" t="s">
        <v>4367</v>
      </c>
      <c r="G194" s="4617" t="s">
        <v>611</v>
      </c>
      <c r="H194" s="4618">
        <v>2409.4560000000001</v>
      </c>
      <c r="I194" s="4619"/>
      <c r="J194" s="4619">
        <f>ROUND(I194*H194,2)</f>
        <v>0</v>
      </c>
      <c r="K194" s="4616" t="s">
        <v>142</v>
      </c>
      <c r="L194" s="2223"/>
      <c r="M194" s="2224" t="s">
        <v>3146</v>
      </c>
      <c r="N194" s="2225" t="s">
        <v>3181</v>
      </c>
      <c r="O194" s="2191">
        <v>0</v>
      </c>
      <c r="P194" s="2191">
        <f>O194*H194</f>
        <v>0</v>
      </c>
      <c r="Q194" s="2191">
        <v>8.9999999999999998E-4</v>
      </c>
      <c r="R194" s="2191">
        <f>Q194*H194</f>
        <v>2.1685104000000002</v>
      </c>
      <c r="S194" s="2191">
        <v>0</v>
      </c>
      <c r="T194" s="2192">
        <f>S194*H194</f>
        <v>0</v>
      </c>
      <c r="AR194" s="2193" t="s">
        <v>3389</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2894</v>
      </c>
      <c r="BM194" s="2193" t="s">
        <v>4368</v>
      </c>
    </row>
    <row r="195" spans="2:65" s="2209" customFormat="1">
      <c r="B195" s="2210"/>
      <c r="D195" s="2197" t="s">
        <v>3303</v>
      </c>
      <c r="E195" s="2211" t="s">
        <v>3146</v>
      </c>
      <c r="F195" s="2212" t="s">
        <v>4361</v>
      </c>
      <c r="H195" s="2213">
        <v>2294.7199999999998</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2294.7199999999998</v>
      </c>
      <c r="L196" s="2217"/>
      <c r="M196" s="2221"/>
      <c r="T196" s="2222"/>
      <c r="AT196" s="2218" t="s">
        <v>3303</v>
      </c>
      <c r="AU196" s="2218" t="s">
        <v>134</v>
      </c>
      <c r="AV196" s="2216" t="s">
        <v>856</v>
      </c>
      <c r="AW196" s="2216" t="s">
        <v>3171</v>
      </c>
      <c r="AX196" s="2216" t="s">
        <v>133</v>
      </c>
      <c r="AY196" s="2218" t="s">
        <v>3285</v>
      </c>
    </row>
    <row r="197" spans="2:65" s="2209" customFormat="1">
      <c r="B197" s="2210"/>
      <c r="D197" s="2197" t="s">
        <v>3303</v>
      </c>
      <c r="F197" s="2212" t="s">
        <v>4365</v>
      </c>
      <c r="H197" s="2213">
        <v>2409.4560000000001</v>
      </c>
      <c r="L197" s="2210"/>
      <c r="M197" s="2214"/>
      <c r="T197" s="2215"/>
      <c r="AT197" s="2211" t="s">
        <v>3303</v>
      </c>
      <c r="AU197" s="2211" t="s">
        <v>134</v>
      </c>
      <c r="AV197" s="2209" t="s">
        <v>134</v>
      </c>
      <c r="AW197" s="2209" t="s">
        <v>3148</v>
      </c>
      <c r="AX197" s="2209" t="s">
        <v>133</v>
      </c>
      <c r="AY197" s="2211" t="s">
        <v>3285</v>
      </c>
    </row>
    <row r="198" spans="2:65" s="2070" customFormat="1" ht="24.2" customHeight="1">
      <c r="B198" s="2164"/>
      <c r="C198" s="4608" t="s">
        <v>989</v>
      </c>
      <c r="D198" s="4608" t="s">
        <v>3286</v>
      </c>
      <c r="E198" s="4609" t="s">
        <v>4369</v>
      </c>
      <c r="F198" s="4610" t="s">
        <v>4370</v>
      </c>
      <c r="G198" s="4611" t="s">
        <v>611</v>
      </c>
      <c r="H198" s="4612">
        <v>942.55600000000004</v>
      </c>
      <c r="I198" s="4613"/>
      <c r="J198" s="4613">
        <f>ROUND(I198*H198,2)</f>
        <v>0</v>
      </c>
      <c r="K198" s="4610" t="s">
        <v>142</v>
      </c>
      <c r="L198" s="2071"/>
      <c r="M198" s="2190" t="s">
        <v>3146</v>
      </c>
      <c r="N198" s="2163" t="s">
        <v>3181</v>
      </c>
      <c r="O198" s="2191">
        <v>0.16700000000000001</v>
      </c>
      <c r="P198" s="2191">
        <f>O198*H198</f>
        <v>157.40685200000001</v>
      </c>
      <c r="Q198" s="2191">
        <v>0</v>
      </c>
      <c r="R198" s="2191">
        <f>Q198*H198</f>
        <v>0</v>
      </c>
      <c r="S198" s="2191">
        <v>0</v>
      </c>
      <c r="T198" s="2192">
        <f>S198*H198</f>
        <v>0</v>
      </c>
      <c r="AR198" s="2193" t="s">
        <v>2894</v>
      </c>
      <c r="AT198" s="2193" t="s">
        <v>3286</v>
      </c>
      <c r="AU198" s="2193" t="s">
        <v>134</v>
      </c>
      <c r="AY198" s="2056" t="s">
        <v>3285</v>
      </c>
      <c r="BE198" s="2194">
        <f>IF(N198="základní",J198,0)</f>
        <v>0</v>
      </c>
      <c r="BF198" s="2194">
        <f>IF(N198="snížená",J198,0)</f>
        <v>0</v>
      </c>
      <c r="BG198" s="2194">
        <f>IF(N198="zákl. přenesená",J198,0)</f>
        <v>0</v>
      </c>
      <c r="BH198" s="2194">
        <f>IF(N198="sníž. přenesená",J198,0)</f>
        <v>0</v>
      </c>
      <c r="BI198" s="2194">
        <f>IF(N198="nulová",J198,0)</f>
        <v>0</v>
      </c>
      <c r="BJ198" s="2056" t="s">
        <v>134</v>
      </c>
      <c r="BK198" s="2194">
        <f>ROUND(I198*H198,2)</f>
        <v>0</v>
      </c>
      <c r="BL198" s="2056" t="s">
        <v>2894</v>
      </c>
      <c r="BM198" s="2193" t="s">
        <v>4371</v>
      </c>
    </row>
    <row r="199" spans="2:65" s="2209" customFormat="1">
      <c r="B199" s="2210"/>
      <c r="D199" s="2197" t="s">
        <v>3303</v>
      </c>
      <c r="E199" s="2211" t="s">
        <v>3146</v>
      </c>
      <c r="F199" s="2212" t="s">
        <v>4261</v>
      </c>
      <c r="H199" s="2213">
        <v>314.14600000000002</v>
      </c>
      <c r="L199" s="2210"/>
      <c r="M199" s="2214"/>
      <c r="T199" s="2215"/>
      <c r="AT199" s="2211" t="s">
        <v>3303</v>
      </c>
      <c r="AU199" s="2211" t="s">
        <v>134</v>
      </c>
      <c r="AV199" s="2209" t="s">
        <v>134</v>
      </c>
      <c r="AW199" s="2209" t="s">
        <v>3171</v>
      </c>
      <c r="AX199" s="2209" t="s">
        <v>3213</v>
      </c>
      <c r="AY199" s="2211" t="s">
        <v>3285</v>
      </c>
    </row>
    <row r="200" spans="2:65" s="2209" customFormat="1">
      <c r="B200" s="2210"/>
      <c r="D200" s="2197" t="s">
        <v>3303</v>
      </c>
      <c r="E200" s="2211" t="s">
        <v>3146</v>
      </c>
      <c r="F200" s="2212" t="s">
        <v>4264</v>
      </c>
      <c r="H200" s="2213">
        <v>69.790000000000006</v>
      </c>
      <c r="L200" s="2210"/>
      <c r="M200" s="2214"/>
      <c r="T200" s="2215"/>
      <c r="AT200" s="2211" t="s">
        <v>3303</v>
      </c>
      <c r="AU200" s="2211" t="s">
        <v>134</v>
      </c>
      <c r="AV200" s="2209" t="s">
        <v>134</v>
      </c>
      <c r="AW200" s="2209" t="s">
        <v>3171</v>
      </c>
      <c r="AX200" s="2209" t="s">
        <v>3213</v>
      </c>
      <c r="AY200" s="2211" t="s">
        <v>3285</v>
      </c>
    </row>
    <row r="201" spans="2:65" s="2209" customFormat="1">
      <c r="B201" s="2210"/>
      <c r="D201" s="2197" t="s">
        <v>3303</v>
      </c>
      <c r="E201" s="2211" t="s">
        <v>3146</v>
      </c>
      <c r="F201" s="2212" t="s">
        <v>4267</v>
      </c>
      <c r="H201" s="2213">
        <v>558.62</v>
      </c>
      <c r="L201" s="2210"/>
      <c r="M201" s="2214"/>
      <c r="T201" s="2215"/>
      <c r="AT201" s="2211" t="s">
        <v>3303</v>
      </c>
      <c r="AU201" s="2211" t="s">
        <v>134</v>
      </c>
      <c r="AV201" s="2209" t="s">
        <v>134</v>
      </c>
      <c r="AW201" s="2209" t="s">
        <v>3171</v>
      </c>
      <c r="AX201" s="2209" t="s">
        <v>3213</v>
      </c>
      <c r="AY201" s="2211" t="s">
        <v>3285</v>
      </c>
    </row>
    <row r="202" spans="2:65" s="2216" customFormat="1">
      <c r="B202" s="2217"/>
      <c r="D202" s="2197" t="s">
        <v>3303</v>
      </c>
      <c r="E202" s="2218" t="s">
        <v>3146</v>
      </c>
      <c r="F202" s="2219" t="s">
        <v>3306</v>
      </c>
      <c r="H202" s="2220">
        <v>942.55600000000004</v>
      </c>
      <c r="L202" s="2217"/>
      <c r="M202" s="2221"/>
      <c r="T202" s="2222"/>
      <c r="AT202" s="2218" t="s">
        <v>3303</v>
      </c>
      <c r="AU202" s="2218" t="s">
        <v>134</v>
      </c>
      <c r="AV202" s="2216" t="s">
        <v>856</v>
      </c>
      <c r="AW202" s="2216" t="s">
        <v>3171</v>
      </c>
      <c r="AX202" s="2216" t="s">
        <v>133</v>
      </c>
      <c r="AY202" s="2218" t="s">
        <v>3285</v>
      </c>
    </row>
    <row r="203" spans="2:65" s="2070" customFormat="1" ht="21.75" customHeight="1">
      <c r="B203" s="2164"/>
      <c r="C203" s="4614" t="s">
        <v>2917</v>
      </c>
      <c r="D203" s="4614" t="s">
        <v>135</v>
      </c>
      <c r="E203" s="4615" t="s">
        <v>4372</v>
      </c>
      <c r="F203" s="4616" t="s">
        <v>4373</v>
      </c>
      <c r="G203" s="4617" t="s">
        <v>221</v>
      </c>
      <c r="H203" s="4618">
        <v>217.73</v>
      </c>
      <c r="I203" s="4619"/>
      <c r="J203" s="4619">
        <f>ROUND(I203*H203,2)</f>
        <v>0</v>
      </c>
      <c r="K203" s="4616" t="s">
        <v>3146</v>
      </c>
      <c r="L203" s="2223"/>
      <c r="M203" s="2224" t="s">
        <v>3146</v>
      </c>
      <c r="N203" s="2225" t="s">
        <v>3181</v>
      </c>
      <c r="O203" s="2191">
        <v>0</v>
      </c>
      <c r="P203" s="2191">
        <f>O203*H203</f>
        <v>0</v>
      </c>
      <c r="Q203" s="2191">
        <v>3.65E-3</v>
      </c>
      <c r="R203" s="2191">
        <f>Q203*H203</f>
        <v>0.79471449999999999</v>
      </c>
      <c r="S203" s="2191">
        <v>0</v>
      </c>
      <c r="T203" s="2192">
        <f>S203*H203</f>
        <v>0</v>
      </c>
      <c r="AR203" s="2193" t="s">
        <v>3389</v>
      </c>
      <c r="AT203" s="2193" t="s">
        <v>135</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2894</v>
      </c>
      <c r="BM203" s="2193" t="s">
        <v>4374</v>
      </c>
    </row>
    <row r="204" spans="2:65" s="2209" customFormat="1">
      <c r="B204" s="2210"/>
      <c r="D204" s="2197" t="s">
        <v>3303</v>
      </c>
      <c r="E204" s="2211" t="s">
        <v>3146</v>
      </c>
      <c r="F204" s="2212" t="s">
        <v>4375</v>
      </c>
      <c r="H204" s="2213">
        <v>72.567999999999998</v>
      </c>
      <c r="L204" s="2210"/>
      <c r="M204" s="2214"/>
      <c r="T204" s="2215"/>
      <c r="AT204" s="2211" t="s">
        <v>3303</v>
      </c>
      <c r="AU204" s="2211" t="s">
        <v>134</v>
      </c>
      <c r="AV204" s="2209" t="s">
        <v>134</v>
      </c>
      <c r="AW204" s="2209" t="s">
        <v>3171</v>
      </c>
      <c r="AX204" s="2209" t="s">
        <v>3213</v>
      </c>
      <c r="AY204" s="2211" t="s">
        <v>3285</v>
      </c>
    </row>
    <row r="205" spans="2:65" s="2209" customFormat="1">
      <c r="B205" s="2210"/>
      <c r="D205" s="2197" t="s">
        <v>3303</v>
      </c>
      <c r="E205" s="2211" t="s">
        <v>3146</v>
      </c>
      <c r="F205" s="2212" t="s">
        <v>4376</v>
      </c>
      <c r="H205" s="2213">
        <v>16.120999999999999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4377</v>
      </c>
      <c r="H206" s="2213">
        <v>129.041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217.73</v>
      </c>
      <c r="L207" s="2217"/>
      <c r="M207" s="2221"/>
      <c r="T207" s="2222"/>
      <c r="AT207" s="2218" t="s">
        <v>3303</v>
      </c>
      <c r="AU207" s="2218" t="s">
        <v>134</v>
      </c>
      <c r="AV207" s="2216" t="s">
        <v>856</v>
      </c>
      <c r="AW207" s="2216" t="s">
        <v>3171</v>
      </c>
      <c r="AX207" s="2216" t="s">
        <v>133</v>
      </c>
      <c r="AY207" s="2218" t="s">
        <v>3285</v>
      </c>
    </row>
    <row r="208" spans="2:65" s="2070" customFormat="1" ht="24.2" customHeight="1">
      <c r="B208" s="2164"/>
      <c r="C208" s="4608" t="s">
        <v>1220</v>
      </c>
      <c r="D208" s="4608" t="s">
        <v>3286</v>
      </c>
      <c r="E208" s="4609" t="s">
        <v>4378</v>
      </c>
      <c r="F208" s="4610" t="s">
        <v>4379</v>
      </c>
      <c r="G208" s="4611" t="s">
        <v>611</v>
      </c>
      <c r="H208" s="4612">
        <v>3237.2759999999998</v>
      </c>
      <c r="I208" s="4613"/>
      <c r="J208" s="4613">
        <f>ROUND(I208*H208,2)</f>
        <v>0</v>
      </c>
      <c r="K208" s="4610" t="s">
        <v>142</v>
      </c>
      <c r="L208" s="2071"/>
      <c r="M208" s="2190" t="s">
        <v>3146</v>
      </c>
      <c r="N208" s="2163" t="s">
        <v>3181</v>
      </c>
      <c r="O208" s="2191">
        <v>2.5000000000000001E-2</v>
      </c>
      <c r="P208" s="2191">
        <f>O208*H208</f>
        <v>80.931899999999999</v>
      </c>
      <c r="Q208" s="2191">
        <v>0</v>
      </c>
      <c r="R208" s="2191">
        <f>Q208*H208</f>
        <v>0</v>
      </c>
      <c r="S208" s="2191">
        <v>0</v>
      </c>
      <c r="T208" s="2192">
        <f>S208*H208</f>
        <v>0</v>
      </c>
      <c r="AR208" s="2193" t="s">
        <v>2894</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2894</v>
      </c>
      <c r="BM208" s="2193" t="s">
        <v>4380</v>
      </c>
    </row>
    <row r="209" spans="2:65" s="2209" customFormat="1">
      <c r="B209" s="2210"/>
      <c r="D209" s="2197" t="s">
        <v>3303</v>
      </c>
      <c r="E209" s="2211" t="s">
        <v>3146</v>
      </c>
      <c r="F209" s="2212" t="s">
        <v>4301</v>
      </c>
      <c r="H209" s="2213">
        <v>3237.2759999999998</v>
      </c>
      <c r="L209" s="2210"/>
      <c r="M209" s="2214"/>
      <c r="T209" s="2215"/>
      <c r="AT209" s="2211" t="s">
        <v>3303</v>
      </c>
      <c r="AU209" s="2211" t="s">
        <v>134</v>
      </c>
      <c r="AV209" s="2209" t="s">
        <v>134</v>
      </c>
      <c r="AW209" s="2209" t="s">
        <v>3171</v>
      </c>
      <c r="AX209" s="2209" t="s">
        <v>3213</v>
      </c>
      <c r="AY209" s="2211" t="s">
        <v>3285</v>
      </c>
    </row>
    <row r="210" spans="2:65" s="2216" customFormat="1">
      <c r="B210" s="2217"/>
      <c r="D210" s="2197" t="s">
        <v>3303</v>
      </c>
      <c r="E210" s="2218" t="s">
        <v>3146</v>
      </c>
      <c r="F210" s="2219" t="s">
        <v>3306</v>
      </c>
      <c r="H210" s="2220">
        <v>3237.2759999999998</v>
      </c>
      <c r="L210" s="2217"/>
      <c r="M210" s="2221"/>
      <c r="T210" s="2222"/>
      <c r="AT210" s="2218" t="s">
        <v>3303</v>
      </c>
      <c r="AU210" s="2218" t="s">
        <v>134</v>
      </c>
      <c r="AV210" s="2216" t="s">
        <v>856</v>
      </c>
      <c r="AW210" s="2216" t="s">
        <v>3171</v>
      </c>
      <c r="AX210" s="2216" t="s">
        <v>133</v>
      </c>
      <c r="AY210" s="2218" t="s">
        <v>3285</v>
      </c>
    </row>
    <row r="211" spans="2:65" s="2070" customFormat="1" ht="16.5" customHeight="1">
      <c r="B211" s="2164"/>
      <c r="C211" s="4614" t="s">
        <v>2358</v>
      </c>
      <c r="D211" s="4614" t="s">
        <v>135</v>
      </c>
      <c r="E211" s="4615" t="s">
        <v>4381</v>
      </c>
      <c r="F211" s="4616" t="s">
        <v>4382</v>
      </c>
      <c r="G211" s="4617" t="s">
        <v>611</v>
      </c>
      <c r="H211" s="4618">
        <v>3773.0450000000001</v>
      </c>
      <c r="I211" s="4619"/>
      <c r="J211" s="4619">
        <f>ROUND(I211*H211,2)</f>
        <v>0</v>
      </c>
      <c r="K211" s="4616" t="s">
        <v>142</v>
      </c>
      <c r="L211" s="2223"/>
      <c r="M211" s="2224" t="s">
        <v>3146</v>
      </c>
      <c r="N211" s="2225" t="s">
        <v>3181</v>
      </c>
      <c r="O211" s="2191">
        <v>0</v>
      </c>
      <c r="P211" s="2191">
        <f>O211*H211</f>
        <v>0</v>
      </c>
      <c r="Q211" s="2191">
        <v>4.0000000000000002E-4</v>
      </c>
      <c r="R211" s="2191">
        <f>Q211*H211</f>
        <v>1.5092180000000002</v>
      </c>
      <c r="S211" s="2191">
        <v>0</v>
      </c>
      <c r="T211" s="2192">
        <f>S211*H211</f>
        <v>0</v>
      </c>
      <c r="AR211" s="2193" t="s">
        <v>3389</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4383</v>
      </c>
    </row>
    <row r="212" spans="2:65" s="2209" customFormat="1">
      <c r="B212" s="2210"/>
      <c r="D212" s="2197" t="s">
        <v>3303</v>
      </c>
      <c r="F212" s="2212" t="s">
        <v>4384</v>
      </c>
      <c r="H212" s="2213">
        <v>3773.0450000000001</v>
      </c>
      <c r="L212" s="2210"/>
      <c r="M212" s="2214"/>
      <c r="T212" s="2215"/>
      <c r="AT212" s="2211" t="s">
        <v>3303</v>
      </c>
      <c r="AU212" s="2211" t="s">
        <v>134</v>
      </c>
      <c r="AV212" s="2209" t="s">
        <v>134</v>
      </c>
      <c r="AW212" s="2209" t="s">
        <v>3148</v>
      </c>
      <c r="AX212" s="2209" t="s">
        <v>133</v>
      </c>
      <c r="AY212" s="2211" t="s">
        <v>3285</v>
      </c>
    </row>
    <row r="213" spans="2:65" s="2070" customFormat="1" ht="24.2" customHeight="1">
      <c r="B213" s="2164"/>
      <c r="C213" s="4608" t="s">
        <v>2073</v>
      </c>
      <c r="D213" s="4608" t="s">
        <v>3286</v>
      </c>
      <c r="E213" s="4609" t="s">
        <v>4385</v>
      </c>
      <c r="F213" s="4610" t="s">
        <v>4386</v>
      </c>
      <c r="G213" s="4611" t="s">
        <v>302</v>
      </c>
      <c r="H213" s="4612">
        <v>5.7249999999999996</v>
      </c>
      <c r="I213" s="4613"/>
      <c r="J213" s="4613">
        <f>ROUND(I213*H213,2)</f>
        <v>0</v>
      </c>
      <c r="K213" s="4610" t="s">
        <v>142</v>
      </c>
      <c r="L213" s="2071"/>
      <c r="M213" s="2190" t="s">
        <v>3146</v>
      </c>
      <c r="N213" s="2163" t="s">
        <v>3181</v>
      </c>
      <c r="O213" s="2191">
        <v>1.966</v>
      </c>
      <c r="P213" s="2191">
        <f>O213*H213</f>
        <v>11.25535</v>
      </c>
      <c r="Q213" s="2191">
        <v>0</v>
      </c>
      <c r="R213" s="2191">
        <f>Q213*H213</f>
        <v>0</v>
      </c>
      <c r="S213" s="2191">
        <v>0</v>
      </c>
      <c r="T213" s="2192">
        <f>S213*H213</f>
        <v>0</v>
      </c>
      <c r="AR213" s="2193" t="s">
        <v>2894</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2894</v>
      </c>
      <c r="BM213" s="2193" t="s">
        <v>4387</v>
      </c>
    </row>
    <row r="214" spans="2:65" s="2070" customFormat="1" ht="24.2" customHeight="1">
      <c r="B214" s="2164"/>
      <c r="C214" s="4608" t="s">
        <v>2522</v>
      </c>
      <c r="D214" s="4608" t="s">
        <v>3286</v>
      </c>
      <c r="E214" s="4609" t="s">
        <v>4388</v>
      </c>
      <c r="F214" s="4610" t="s">
        <v>4389</v>
      </c>
      <c r="G214" s="4611" t="s">
        <v>302</v>
      </c>
      <c r="H214" s="4612">
        <v>5.7249999999999996</v>
      </c>
      <c r="I214" s="4613"/>
      <c r="J214" s="4613">
        <f>ROUND(I214*H214,2)</f>
        <v>0</v>
      </c>
      <c r="K214" s="4610" t="s">
        <v>142</v>
      </c>
      <c r="L214" s="2071"/>
      <c r="M214" s="2190" t="s">
        <v>3146</v>
      </c>
      <c r="N214" s="2163" t="s">
        <v>3181</v>
      </c>
      <c r="O214" s="2191">
        <v>1.45</v>
      </c>
      <c r="P214" s="2191">
        <f>O214*H214</f>
        <v>8.3012499999999996</v>
      </c>
      <c r="Q214" s="2191">
        <v>0</v>
      </c>
      <c r="R214" s="2191">
        <f>Q214*H214</f>
        <v>0</v>
      </c>
      <c r="S214" s="2191">
        <v>0</v>
      </c>
      <c r="T214" s="2192">
        <f>S214*H214</f>
        <v>0</v>
      </c>
      <c r="AR214" s="2193" t="s">
        <v>2894</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2894</v>
      </c>
      <c r="BM214" s="2193" t="s">
        <v>4390</v>
      </c>
    </row>
    <row r="215" spans="2:65" s="2178" customFormat="1" ht="22.9" customHeight="1">
      <c r="B215" s="2179"/>
      <c r="D215" s="2180" t="s">
        <v>3212</v>
      </c>
      <c r="E215" s="2188" t="s">
        <v>4391</v>
      </c>
      <c r="F215" s="2188" t="s">
        <v>4392</v>
      </c>
      <c r="J215" s="2189">
        <f>BK215</f>
        <v>0</v>
      </c>
      <c r="L215" s="2179"/>
      <c r="M215" s="2183"/>
      <c r="P215" s="2184">
        <f>SUM(P216:P255)</f>
        <v>1195.1863599999999</v>
      </c>
      <c r="R215" s="2184">
        <f>SUM(R216:R255)</f>
        <v>30.826294439999998</v>
      </c>
      <c r="T215" s="2185">
        <f>SUM(T216:T255)</f>
        <v>0</v>
      </c>
      <c r="AR215" s="2180" t="s">
        <v>134</v>
      </c>
      <c r="AT215" s="2186" t="s">
        <v>3212</v>
      </c>
      <c r="AU215" s="2186" t="s">
        <v>133</v>
      </c>
      <c r="AY215" s="2180" t="s">
        <v>3285</v>
      </c>
      <c r="BK215" s="2187">
        <f>SUM(BK216:BK255)</f>
        <v>0</v>
      </c>
    </row>
    <row r="216" spans="2:65" s="2070" customFormat="1" ht="16.5" customHeight="1">
      <c r="B216" s="2164"/>
      <c r="C216" s="4608" t="s">
        <v>2527</v>
      </c>
      <c r="D216" s="4608" t="s">
        <v>3286</v>
      </c>
      <c r="E216" s="4609" t="s">
        <v>4393</v>
      </c>
      <c r="F216" s="4610" t="s">
        <v>4394</v>
      </c>
      <c r="G216" s="4611" t="s">
        <v>611</v>
      </c>
      <c r="H216" s="4612">
        <v>726.98599999999999</v>
      </c>
      <c r="I216" s="4613"/>
      <c r="J216" s="4613">
        <f>ROUND(I216*H216,2)</f>
        <v>0</v>
      </c>
      <c r="K216" s="4610" t="s">
        <v>142</v>
      </c>
      <c r="L216" s="2071"/>
      <c r="M216" s="2190" t="s">
        <v>3146</v>
      </c>
      <c r="N216" s="2163" t="s">
        <v>3181</v>
      </c>
      <c r="O216" s="2191">
        <v>2.4E-2</v>
      </c>
      <c r="P216" s="2191">
        <f>O216*H216</f>
        <v>17.447664</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4395</v>
      </c>
    </row>
    <row r="217" spans="2:65" s="2209" customFormat="1">
      <c r="B217" s="2210"/>
      <c r="D217" s="2197" t="s">
        <v>3303</v>
      </c>
      <c r="E217" s="2211" t="s">
        <v>3146</v>
      </c>
      <c r="F217" s="2212" t="s">
        <v>4396</v>
      </c>
      <c r="H217" s="2213">
        <v>726.98599999999999</v>
      </c>
      <c r="L217" s="2210"/>
      <c r="M217" s="2214"/>
      <c r="T217" s="2215"/>
      <c r="AT217" s="2211" t="s">
        <v>3303</v>
      </c>
      <c r="AU217" s="2211" t="s">
        <v>134</v>
      </c>
      <c r="AV217" s="2209" t="s">
        <v>134</v>
      </c>
      <c r="AW217" s="2209" t="s">
        <v>3171</v>
      </c>
      <c r="AX217" s="2209" t="s">
        <v>3213</v>
      </c>
      <c r="AY217" s="2211" t="s">
        <v>3285</v>
      </c>
    </row>
    <row r="218" spans="2:65" s="2216" customFormat="1">
      <c r="B218" s="2217"/>
      <c r="D218" s="2197" t="s">
        <v>3303</v>
      </c>
      <c r="E218" s="2218" t="s">
        <v>3146</v>
      </c>
      <c r="F218" s="2219" t="s">
        <v>3306</v>
      </c>
      <c r="H218" s="2220">
        <v>726.98599999999999</v>
      </c>
      <c r="L218" s="2217"/>
      <c r="M218" s="2221"/>
      <c r="T218" s="2222"/>
      <c r="AT218" s="2218" t="s">
        <v>3303</v>
      </c>
      <c r="AU218" s="2218" t="s">
        <v>134</v>
      </c>
      <c r="AV218" s="2216" t="s">
        <v>856</v>
      </c>
      <c r="AW218" s="2216" t="s">
        <v>3171</v>
      </c>
      <c r="AX218" s="2216" t="s">
        <v>133</v>
      </c>
      <c r="AY218" s="2218" t="s">
        <v>3285</v>
      </c>
    </row>
    <row r="219" spans="2:65" s="2070" customFormat="1" ht="16.5" customHeight="1">
      <c r="B219" s="2164"/>
      <c r="C219" s="4608" t="s">
        <v>637</v>
      </c>
      <c r="D219" s="4608" t="s">
        <v>3286</v>
      </c>
      <c r="E219" s="4609" t="s">
        <v>4397</v>
      </c>
      <c r="F219" s="4610" t="s">
        <v>4398</v>
      </c>
      <c r="G219" s="4611" t="s">
        <v>611</v>
      </c>
      <c r="H219" s="4612">
        <v>726.98599999999999</v>
      </c>
      <c r="I219" s="4613"/>
      <c r="J219" s="4613">
        <f>ROUND(I219*H219,2)</f>
        <v>0</v>
      </c>
      <c r="K219" s="4610" t="s">
        <v>142</v>
      </c>
      <c r="L219" s="2071"/>
      <c r="M219" s="2190" t="s">
        <v>3146</v>
      </c>
      <c r="N219" s="2163" t="s">
        <v>3181</v>
      </c>
      <c r="O219" s="2191">
        <v>4.3999999999999997E-2</v>
      </c>
      <c r="P219" s="2191">
        <f>O219*H219</f>
        <v>31.987383999999999</v>
      </c>
      <c r="Q219" s="2191">
        <v>2.9999999999999997E-4</v>
      </c>
      <c r="R219" s="2191">
        <f>Q219*H219</f>
        <v>0.21809579999999998</v>
      </c>
      <c r="S219" s="2191">
        <v>0</v>
      </c>
      <c r="T219" s="2192">
        <f>S219*H219</f>
        <v>0</v>
      </c>
      <c r="AR219" s="2193" t="s">
        <v>2894</v>
      </c>
      <c r="AT219" s="2193" t="s">
        <v>3286</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4399</v>
      </c>
    </row>
    <row r="220" spans="2:65" s="2070" customFormat="1" ht="24.2" customHeight="1">
      <c r="B220" s="2164"/>
      <c r="C220" s="4608" t="s">
        <v>2366</v>
      </c>
      <c r="D220" s="4608" t="s">
        <v>3286</v>
      </c>
      <c r="E220" s="4609" t="s">
        <v>4400</v>
      </c>
      <c r="F220" s="4610" t="s">
        <v>4401</v>
      </c>
      <c r="G220" s="4611" t="s">
        <v>611</v>
      </c>
      <c r="H220" s="4612">
        <v>726.98599999999999</v>
      </c>
      <c r="I220" s="4613"/>
      <c r="J220" s="4613">
        <f>ROUND(I220*H220,2)</f>
        <v>0</v>
      </c>
      <c r="K220" s="4610" t="s">
        <v>142</v>
      </c>
      <c r="L220" s="2071"/>
      <c r="M220" s="2190" t="s">
        <v>3146</v>
      </c>
      <c r="N220" s="2163" t="s">
        <v>3181</v>
      </c>
      <c r="O220" s="2191">
        <v>0.245</v>
      </c>
      <c r="P220" s="2191">
        <f>O220*H220</f>
        <v>178.11157</v>
      </c>
      <c r="Q220" s="2191">
        <v>7.5799999999999999E-3</v>
      </c>
      <c r="R220" s="2191">
        <f>Q220*H220</f>
        <v>5.5105538799999998</v>
      </c>
      <c r="S220" s="2191">
        <v>0</v>
      </c>
      <c r="T220" s="2192">
        <f>S220*H220</f>
        <v>0</v>
      </c>
      <c r="AR220" s="2193" t="s">
        <v>2894</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2894</v>
      </c>
      <c r="BM220" s="2193" t="s">
        <v>4402</v>
      </c>
    </row>
    <row r="221" spans="2:65" s="2070" customFormat="1" ht="24.2" customHeight="1">
      <c r="B221" s="2164"/>
      <c r="C221" s="4608" t="s">
        <v>3382</v>
      </c>
      <c r="D221" s="4608" t="s">
        <v>3286</v>
      </c>
      <c r="E221" s="4609" t="s">
        <v>4403</v>
      </c>
      <c r="F221" s="4610" t="s">
        <v>4404</v>
      </c>
      <c r="G221" s="4611" t="s">
        <v>141</v>
      </c>
      <c r="H221" s="4612">
        <v>323.02199999999999</v>
      </c>
      <c r="I221" s="4613"/>
      <c r="J221" s="4613">
        <f>ROUND(I221*H221,2)</f>
        <v>0</v>
      </c>
      <c r="K221" s="4610" t="s">
        <v>142</v>
      </c>
      <c r="L221" s="2071"/>
      <c r="M221" s="2190" t="s">
        <v>3146</v>
      </c>
      <c r="N221" s="2163" t="s">
        <v>3181</v>
      </c>
      <c r="O221" s="2191">
        <v>0.20899999999999999</v>
      </c>
      <c r="P221" s="2191">
        <f>O221*H221</f>
        <v>67.511597999999992</v>
      </c>
      <c r="Q221" s="2191">
        <v>5.8E-4</v>
      </c>
      <c r="R221" s="2191">
        <f>Q221*H221</f>
        <v>0.18735276000000001</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4405</v>
      </c>
    </row>
    <row r="222" spans="2:65" s="2195" customFormat="1">
      <c r="B222" s="2196"/>
      <c r="D222" s="2197" t="s">
        <v>3303</v>
      </c>
      <c r="E222" s="2198" t="s">
        <v>3146</v>
      </c>
      <c r="F222" s="2199" t="s">
        <v>3517</v>
      </c>
      <c r="H222" s="2198" t="s">
        <v>3146</v>
      </c>
      <c r="L222" s="2196"/>
      <c r="M222" s="2200"/>
      <c r="T222" s="2201"/>
      <c r="AT222" s="2198" t="s">
        <v>3303</v>
      </c>
      <c r="AU222" s="2198" t="s">
        <v>134</v>
      </c>
      <c r="AV222" s="2195" t="s">
        <v>133</v>
      </c>
      <c r="AW222" s="2195" t="s">
        <v>3171</v>
      </c>
      <c r="AX222" s="2195" t="s">
        <v>3213</v>
      </c>
      <c r="AY222" s="2198" t="s">
        <v>3285</v>
      </c>
    </row>
    <row r="223" spans="2:65" s="2209" customFormat="1" ht="33.75">
      <c r="B223" s="2210"/>
      <c r="D223" s="2197" t="s">
        <v>3303</v>
      </c>
      <c r="E223" s="2211" t="s">
        <v>3146</v>
      </c>
      <c r="F223" s="2212" t="s">
        <v>4406</v>
      </c>
      <c r="H223" s="2213">
        <v>273.86200000000002</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3661</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4407</v>
      </c>
      <c r="H225" s="2213">
        <v>7.9</v>
      </c>
      <c r="L225" s="2210"/>
      <c r="M225" s="2214"/>
      <c r="T225" s="2215"/>
      <c r="AT225" s="2211" t="s">
        <v>3303</v>
      </c>
      <c r="AU225" s="2211" t="s">
        <v>134</v>
      </c>
      <c r="AV225" s="2209" t="s">
        <v>134</v>
      </c>
      <c r="AW225" s="2209" t="s">
        <v>3171</v>
      </c>
      <c r="AX225" s="2209" t="s">
        <v>3213</v>
      </c>
      <c r="AY225" s="2211" t="s">
        <v>3285</v>
      </c>
    </row>
    <row r="226" spans="2:65" s="2209" customFormat="1">
      <c r="B226" s="2210"/>
      <c r="D226" s="2197" t="s">
        <v>3303</v>
      </c>
      <c r="E226" s="2211" t="s">
        <v>3146</v>
      </c>
      <c r="F226" s="2212" t="s">
        <v>4408</v>
      </c>
      <c r="H226" s="2213">
        <v>11.5</v>
      </c>
      <c r="L226" s="2210"/>
      <c r="M226" s="2214"/>
      <c r="T226" s="2215"/>
      <c r="AT226" s="2211" t="s">
        <v>3303</v>
      </c>
      <c r="AU226" s="2211" t="s">
        <v>134</v>
      </c>
      <c r="AV226" s="2209" t="s">
        <v>134</v>
      </c>
      <c r="AW226" s="2209" t="s">
        <v>3171</v>
      </c>
      <c r="AX226" s="2209" t="s">
        <v>3213</v>
      </c>
      <c r="AY226" s="2211" t="s">
        <v>3285</v>
      </c>
    </row>
    <row r="227" spans="2:65" s="2195" customFormat="1">
      <c r="B227" s="2196"/>
      <c r="D227" s="2197" t="s">
        <v>3303</v>
      </c>
      <c r="E227" s="2198" t="s">
        <v>3146</v>
      </c>
      <c r="F227" s="2199" t="s">
        <v>3578</v>
      </c>
      <c r="H227" s="2198" t="s">
        <v>3146</v>
      </c>
      <c r="L227" s="2196"/>
      <c r="M227" s="2200"/>
      <c r="T227" s="2201"/>
      <c r="AT227" s="2198" t="s">
        <v>3303</v>
      </c>
      <c r="AU227" s="2198" t="s">
        <v>134</v>
      </c>
      <c r="AV227" s="2195" t="s">
        <v>133</v>
      </c>
      <c r="AW227" s="2195" t="s">
        <v>3171</v>
      </c>
      <c r="AX227" s="2195" t="s">
        <v>3213</v>
      </c>
      <c r="AY227" s="2198" t="s">
        <v>3285</v>
      </c>
    </row>
    <row r="228" spans="2:65" s="2209" customFormat="1">
      <c r="B228" s="2210"/>
      <c r="D228" s="2197" t="s">
        <v>3303</v>
      </c>
      <c r="E228" s="2211" t="s">
        <v>3146</v>
      </c>
      <c r="F228" s="2212" t="s">
        <v>4409</v>
      </c>
      <c r="H228" s="2213">
        <v>9.19</v>
      </c>
      <c r="L228" s="2210"/>
      <c r="M228" s="2214"/>
      <c r="T228" s="2215"/>
      <c r="AT228" s="2211" t="s">
        <v>3303</v>
      </c>
      <c r="AU228" s="2211" t="s">
        <v>134</v>
      </c>
      <c r="AV228" s="2209" t="s">
        <v>134</v>
      </c>
      <c r="AW228" s="2209" t="s">
        <v>3171</v>
      </c>
      <c r="AX228" s="2209" t="s">
        <v>3213</v>
      </c>
      <c r="AY228" s="2211" t="s">
        <v>3285</v>
      </c>
    </row>
    <row r="229" spans="2:65" s="2195" customFormat="1">
      <c r="B229" s="2196"/>
      <c r="D229" s="2197" t="s">
        <v>3303</v>
      </c>
      <c r="E229" s="2198" t="s">
        <v>3146</v>
      </c>
      <c r="F229" s="2199" t="s">
        <v>3580</v>
      </c>
      <c r="H229" s="2198" t="s">
        <v>3146</v>
      </c>
      <c r="L229" s="2196"/>
      <c r="M229" s="2200"/>
      <c r="T229" s="2201"/>
      <c r="AT229" s="2198" t="s">
        <v>3303</v>
      </c>
      <c r="AU229" s="2198" t="s">
        <v>134</v>
      </c>
      <c r="AV229" s="2195" t="s">
        <v>133</v>
      </c>
      <c r="AW229" s="2195" t="s">
        <v>3171</v>
      </c>
      <c r="AX229" s="2195" t="s">
        <v>3213</v>
      </c>
      <c r="AY229" s="2198" t="s">
        <v>3285</v>
      </c>
    </row>
    <row r="230" spans="2:65" s="2209" customFormat="1">
      <c r="B230" s="2210"/>
      <c r="D230" s="2197" t="s">
        <v>3303</v>
      </c>
      <c r="E230" s="2211" t="s">
        <v>3146</v>
      </c>
      <c r="F230" s="2212" t="s">
        <v>4410</v>
      </c>
      <c r="H230" s="2213">
        <v>6.3</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4411</v>
      </c>
      <c r="H231" s="2213">
        <v>11.12</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4412</v>
      </c>
      <c r="H232" s="2213">
        <v>3.15</v>
      </c>
      <c r="L232" s="2210"/>
      <c r="M232" s="2214"/>
      <c r="T232" s="2215"/>
      <c r="AT232" s="2211" t="s">
        <v>3303</v>
      </c>
      <c r="AU232" s="2211" t="s">
        <v>134</v>
      </c>
      <c r="AV232" s="2209" t="s">
        <v>134</v>
      </c>
      <c r="AW232" s="2209" t="s">
        <v>3171</v>
      </c>
      <c r="AX232" s="2209" t="s">
        <v>3213</v>
      </c>
      <c r="AY232" s="2211" t="s">
        <v>3285</v>
      </c>
    </row>
    <row r="233" spans="2:65" s="2216" customFormat="1">
      <c r="B233" s="2217"/>
      <c r="D233" s="2197" t="s">
        <v>3303</v>
      </c>
      <c r="E233" s="2218" t="s">
        <v>3146</v>
      </c>
      <c r="F233" s="2219" t="s">
        <v>3306</v>
      </c>
      <c r="H233" s="2220">
        <v>323.02199999999999</v>
      </c>
      <c r="L233" s="2217"/>
      <c r="M233" s="2221"/>
      <c r="T233" s="2222"/>
      <c r="AT233" s="2218" t="s">
        <v>3303</v>
      </c>
      <c r="AU233" s="2218" t="s">
        <v>134</v>
      </c>
      <c r="AV233" s="2216" t="s">
        <v>856</v>
      </c>
      <c r="AW233" s="2216" t="s">
        <v>3171</v>
      </c>
      <c r="AX233" s="2216" t="s">
        <v>133</v>
      </c>
      <c r="AY233" s="2218" t="s">
        <v>3285</v>
      </c>
    </row>
    <row r="234" spans="2:65" s="2070" customFormat="1" ht="33" customHeight="1">
      <c r="B234" s="2164"/>
      <c r="C234" s="4608" t="s">
        <v>3386</v>
      </c>
      <c r="D234" s="4608" t="s">
        <v>3286</v>
      </c>
      <c r="E234" s="4609" t="s">
        <v>4413</v>
      </c>
      <c r="F234" s="4610" t="s">
        <v>4414</v>
      </c>
      <c r="G234" s="4611" t="s">
        <v>141</v>
      </c>
      <c r="H234" s="4612">
        <v>15.5</v>
      </c>
      <c r="I234" s="4613"/>
      <c r="J234" s="4613">
        <f>ROUND(I234*H234,2)</f>
        <v>0</v>
      </c>
      <c r="K234" s="4610" t="s">
        <v>142</v>
      </c>
      <c r="L234" s="2071"/>
      <c r="M234" s="2190" t="s">
        <v>3146</v>
      </c>
      <c r="N234" s="2163" t="s">
        <v>3181</v>
      </c>
      <c r="O234" s="2191">
        <v>0.30499999999999999</v>
      </c>
      <c r="P234" s="2191">
        <f>O234*H234</f>
        <v>4.7275</v>
      </c>
      <c r="Q234" s="2191">
        <v>5.8E-4</v>
      </c>
      <c r="R234" s="2191">
        <f>Q234*H234</f>
        <v>8.9899999999999997E-3</v>
      </c>
      <c r="S234" s="2191">
        <v>0</v>
      </c>
      <c r="T234" s="2192">
        <f>S234*H234</f>
        <v>0</v>
      </c>
      <c r="AR234" s="2193" t="s">
        <v>2894</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2894</v>
      </c>
      <c r="BM234" s="2193" t="s">
        <v>4415</v>
      </c>
    </row>
    <row r="235" spans="2:65" s="2070" customFormat="1" ht="37.9" customHeight="1">
      <c r="B235" s="2164"/>
      <c r="C235" s="4608" t="s">
        <v>3389</v>
      </c>
      <c r="D235" s="4608" t="s">
        <v>3286</v>
      </c>
      <c r="E235" s="4609" t="s">
        <v>4416</v>
      </c>
      <c r="F235" s="4610" t="s">
        <v>4417</v>
      </c>
      <c r="G235" s="4611" t="s">
        <v>611</v>
      </c>
      <c r="H235" s="4612">
        <v>726.98599999999999</v>
      </c>
      <c r="I235" s="4613"/>
      <c r="J235" s="4613">
        <f>ROUND(I235*H235,2)</f>
        <v>0</v>
      </c>
      <c r="K235" s="4610" t="s">
        <v>142</v>
      </c>
      <c r="L235" s="2071"/>
      <c r="M235" s="2190" t="s">
        <v>3146</v>
      </c>
      <c r="N235" s="2163" t="s">
        <v>3181</v>
      </c>
      <c r="O235" s="2191">
        <v>0.71899999999999997</v>
      </c>
      <c r="P235" s="2191">
        <f>O235*H235</f>
        <v>522.70293400000003</v>
      </c>
      <c r="Q235" s="2191">
        <v>9.1000000000000004E-3</v>
      </c>
      <c r="R235" s="2191">
        <f>Q235*H235</f>
        <v>6.6155726000000001</v>
      </c>
      <c r="S235" s="2191">
        <v>0</v>
      </c>
      <c r="T235" s="2192">
        <f>S235*H235</f>
        <v>0</v>
      </c>
      <c r="AR235" s="2193" t="s">
        <v>2894</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2894</v>
      </c>
      <c r="BM235" s="2193" t="s">
        <v>4418</v>
      </c>
    </row>
    <row r="236" spans="2:65" s="2209" customFormat="1">
      <c r="B236" s="2210"/>
      <c r="D236" s="2197" t="s">
        <v>3303</v>
      </c>
      <c r="E236" s="2211" t="s">
        <v>3146</v>
      </c>
      <c r="F236" s="2212" t="s">
        <v>4396</v>
      </c>
      <c r="H236" s="2213">
        <v>726.98599999999999</v>
      </c>
      <c r="L236" s="2210"/>
      <c r="M236" s="2214"/>
      <c r="T236" s="2215"/>
      <c r="AT236" s="2211" t="s">
        <v>3303</v>
      </c>
      <c r="AU236" s="2211" t="s">
        <v>134</v>
      </c>
      <c r="AV236" s="2209" t="s">
        <v>134</v>
      </c>
      <c r="AW236" s="2209" t="s">
        <v>3171</v>
      </c>
      <c r="AX236" s="2209" t="s">
        <v>3213</v>
      </c>
      <c r="AY236" s="2211" t="s">
        <v>3285</v>
      </c>
    </row>
    <row r="237" spans="2:65" s="2216" customFormat="1">
      <c r="B237" s="2217"/>
      <c r="D237" s="2197" t="s">
        <v>3303</v>
      </c>
      <c r="E237" s="2218" t="s">
        <v>3146</v>
      </c>
      <c r="F237" s="2219" t="s">
        <v>3306</v>
      </c>
      <c r="H237" s="2220">
        <v>726.98599999999999</v>
      </c>
      <c r="L237" s="2217"/>
      <c r="M237" s="2221"/>
      <c r="T237" s="2222"/>
      <c r="AT237" s="2218" t="s">
        <v>3303</v>
      </c>
      <c r="AU237" s="2218" t="s">
        <v>134</v>
      </c>
      <c r="AV237" s="2216" t="s">
        <v>856</v>
      </c>
      <c r="AW237" s="2216" t="s">
        <v>3171</v>
      </c>
      <c r="AX237" s="2216" t="s">
        <v>133</v>
      </c>
      <c r="AY237" s="2218" t="s">
        <v>3285</v>
      </c>
    </row>
    <row r="238" spans="2:65" s="2070" customFormat="1" ht="37.9" customHeight="1">
      <c r="B238" s="2164"/>
      <c r="C238" s="4614" t="s">
        <v>3395</v>
      </c>
      <c r="D238" s="4614" t="s">
        <v>135</v>
      </c>
      <c r="E238" s="4615" t="s">
        <v>4419</v>
      </c>
      <c r="F238" s="4616" t="s">
        <v>4420</v>
      </c>
      <c r="G238" s="4617" t="s">
        <v>611</v>
      </c>
      <c r="H238" s="4618">
        <v>894.42899999999997</v>
      </c>
      <c r="I238" s="4619"/>
      <c r="J238" s="4619">
        <f>ROUND(I238*H238,2)</f>
        <v>0</v>
      </c>
      <c r="K238" s="4616" t="s">
        <v>142</v>
      </c>
      <c r="L238" s="2223"/>
      <c r="M238" s="2224" t="s">
        <v>3146</v>
      </c>
      <c r="N238" s="2225" t="s">
        <v>3181</v>
      </c>
      <c r="O238" s="2191">
        <v>0</v>
      </c>
      <c r="P238" s="2191">
        <f>O238*H238</f>
        <v>0</v>
      </c>
      <c r="Q238" s="2191">
        <v>1.9199999999999998E-2</v>
      </c>
      <c r="R238" s="2191">
        <f>Q238*H238</f>
        <v>17.173036799999998</v>
      </c>
      <c r="S238" s="2191">
        <v>0</v>
      </c>
      <c r="T238" s="2192">
        <f>S238*H238</f>
        <v>0</v>
      </c>
      <c r="AR238" s="2193" t="s">
        <v>3389</v>
      </c>
      <c r="AT238" s="2193" t="s">
        <v>135</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2894</v>
      </c>
      <c r="BM238" s="2193" t="s">
        <v>4421</v>
      </c>
    </row>
    <row r="239" spans="2:65" s="2209" customFormat="1">
      <c r="B239" s="2210"/>
      <c r="D239" s="2197" t="s">
        <v>3303</v>
      </c>
      <c r="E239" s="2211" t="s">
        <v>3146</v>
      </c>
      <c r="F239" s="2212" t="s">
        <v>4422</v>
      </c>
      <c r="H239" s="2213">
        <v>836.03399999999999</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4423</v>
      </c>
      <c r="H240" s="2213">
        <v>55.720999999999997</v>
      </c>
      <c r="L240" s="2210"/>
      <c r="M240" s="2214"/>
      <c r="T240" s="2215"/>
      <c r="AT240" s="2211" t="s">
        <v>3303</v>
      </c>
      <c r="AU240" s="2211" t="s">
        <v>134</v>
      </c>
      <c r="AV240" s="2209" t="s">
        <v>134</v>
      </c>
      <c r="AW240" s="2209" t="s">
        <v>3171</v>
      </c>
      <c r="AX240" s="2209" t="s">
        <v>3213</v>
      </c>
      <c r="AY240" s="2211" t="s">
        <v>3285</v>
      </c>
    </row>
    <row r="241" spans="2:65" s="2209" customFormat="1">
      <c r="B241" s="2210"/>
      <c r="D241" s="2197" t="s">
        <v>3303</v>
      </c>
      <c r="E241" s="2211" t="s">
        <v>3146</v>
      </c>
      <c r="F241" s="2212" t="s">
        <v>4424</v>
      </c>
      <c r="H241" s="2213">
        <v>2.6739999999999999</v>
      </c>
      <c r="L241" s="2210"/>
      <c r="M241" s="2214"/>
      <c r="T241" s="2215"/>
      <c r="AT241" s="2211" t="s">
        <v>3303</v>
      </c>
      <c r="AU241" s="2211" t="s">
        <v>134</v>
      </c>
      <c r="AV241" s="2209" t="s">
        <v>134</v>
      </c>
      <c r="AW241" s="2209" t="s">
        <v>3171</v>
      </c>
      <c r="AX241" s="2209" t="s">
        <v>3213</v>
      </c>
      <c r="AY241" s="2211" t="s">
        <v>3285</v>
      </c>
    </row>
    <row r="242" spans="2:65" s="2216" customFormat="1">
      <c r="B242" s="2217"/>
      <c r="D242" s="2197" t="s">
        <v>3303</v>
      </c>
      <c r="E242" s="2218" t="s">
        <v>3146</v>
      </c>
      <c r="F242" s="2219" t="s">
        <v>3306</v>
      </c>
      <c r="H242" s="2220">
        <v>894.42899999999997</v>
      </c>
      <c r="L242" s="2217"/>
      <c r="M242" s="2221"/>
      <c r="T242" s="2222"/>
      <c r="AT242" s="2218" t="s">
        <v>3303</v>
      </c>
      <c r="AU242" s="2218" t="s">
        <v>134</v>
      </c>
      <c r="AV242" s="2216" t="s">
        <v>856</v>
      </c>
      <c r="AW242" s="2216" t="s">
        <v>3171</v>
      </c>
      <c r="AX242" s="2216" t="s">
        <v>133</v>
      </c>
      <c r="AY242" s="2218" t="s">
        <v>3285</v>
      </c>
    </row>
    <row r="243" spans="2:65" s="2070" customFormat="1" ht="37.9" customHeight="1">
      <c r="B243" s="2164"/>
      <c r="C243" s="4608" t="s">
        <v>3399</v>
      </c>
      <c r="D243" s="4608" t="s">
        <v>3286</v>
      </c>
      <c r="E243" s="4609" t="s">
        <v>4425</v>
      </c>
      <c r="F243" s="4610" t="s">
        <v>4426</v>
      </c>
      <c r="G243" s="4611" t="s">
        <v>611</v>
      </c>
      <c r="H243" s="4612">
        <v>612.13</v>
      </c>
      <c r="I243" s="4613"/>
      <c r="J243" s="4613">
        <f>ROUND(I243*H243,2)</f>
        <v>0</v>
      </c>
      <c r="K243" s="4610" t="s">
        <v>142</v>
      </c>
      <c r="L243" s="2071"/>
      <c r="M243" s="2190" t="s">
        <v>3146</v>
      </c>
      <c r="N243" s="2163" t="s">
        <v>3181</v>
      </c>
      <c r="O243" s="2191">
        <v>0.1</v>
      </c>
      <c r="P243" s="2191">
        <f>O243*H243</f>
        <v>61.213000000000001</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4427</v>
      </c>
    </row>
    <row r="244" spans="2:65" s="2070" customFormat="1" ht="37.9" customHeight="1">
      <c r="B244" s="2164"/>
      <c r="C244" s="4608" t="s">
        <v>2152</v>
      </c>
      <c r="D244" s="4608" t="s">
        <v>3286</v>
      </c>
      <c r="E244" s="4609" t="s">
        <v>4428</v>
      </c>
      <c r="F244" s="4610" t="s">
        <v>4429</v>
      </c>
      <c r="G244" s="4611" t="s">
        <v>611</v>
      </c>
      <c r="H244" s="4612">
        <v>612.13</v>
      </c>
      <c r="I244" s="4613"/>
      <c r="J244" s="4613">
        <f>ROUND(I244*H244,2)</f>
        <v>0</v>
      </c>
      <c r="K244" s="4610" t="s">
        <v>142</v>
      </c>
      <c r="L244" s="2071"/>
      <c r="M244" s="2190" t="s">
        <v>3146</v>
      </c>
      <c r="N244" s="2163" t="s">
        <v>3181</v>
      </c>
      <c r="O244" s="2191">
        <v>0.1</v>
      </c>
      <c r="P244" s="2191">
        <f>O244*H244</f>
        <v>61.213000000000001</v>
      </c>
      <c r="Q244" s="2191">
        <v>0</v>
      </c>
      <c r="R244" s="2191">
        <f>Q244*H244</f>
        <v>0</v>
      </c>
      <c r="S244" s="2191">
        <v>0</v>
      </c>
      <c r="T244" s="2192">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4430</v>
      </c>
    </row>
    <row r="245" spans="2:65" s="2070" customFormat="1" ht="24.2" customHeight="1">
      <c r="B245" s="2164"/>
      <c r="C245" s="4608" t="s">
        <v>2569</v>
      </c>
      <c r="D245" s="4608" t="s">
        <v>3286</v>
      </c>
      <c r="E245" s="4609" t="s">
        <v>4431</v>
      </c>
      <c r="F245" s="4610" t="s">
        <v>4432</v>
      </c>
      <c r="G245" s="4611" t="s">
        <v>611</v>
      </c>
      <c r="H245" s="4612">
        <v>612.13</v>
      </c>
      <c r="I245" s="4613"/>
      <c r="J245" s="4613">
        <f>ROUND(I245*H245,2)</f>
        <v>0</v>
      </c>
      <c r="K245" s="4610" t="s">
        <v>142</v>
      </c>
      <c r="L245" s="2071"/>
      <c r="M245" s="2190" t="s">
        <v>3146</v>
      </c>
      <c r="N245" s="2163" t="s">
        <v>3181</v>
      </c>
      <c r="O245" s="2191">
        <v>0.27800000000000002</v>
      </c>
      <c r="P245" s="2191">
        <f>O245*H245</f>
        <v>170.17214000000001</v>
      </c>
      <c r="Q245" s="2191">
        <v>1.5E-3</v>
      </c>
      <c r="R245" s="2191">
        <f>Q245*H245</f>
        <v>0.91819499999999998</v>
      </c>
      <c r="S245" s="2191">
        <v>0</v>
      </c>
      <c r="T245" s="2192">
        <f>S245*H245</f>
        <v>0</v>
      </c>
      <c r="AR245" s="2193" t="s">
        <v>2894</v>
      </c>
      <c r="AT245" s="2193" t="s">
        <v>3286</v>
      </c>
      <c r="AU245" s="2193" t="s">
        <v>134</v>
      </c>
      <c r="AY245" s="2056" t="s">
        <v>3285</v>
      </c>
      <c r="BE245" s="2194">
        <f>IF(N245="základní",J245,0)</f>
        <v>0</v>
      </c>
      <c r="BF245" s="2194">
        <f>IF(N245="snížená",J245,0)</f>
        <v>0</v>
      </c>
      <c r="BG245" s="2194">
        <f>IF(N245="zákl. přenesená",J245,0)</f>
        <v>0</v>
      </c>
      <c r="BH245" s="2194">
        <f>IF(N245="sníž. přenesená",J245,0)</f>
        <v>0</v>
      </c>
      <c r="BI245" s="2194">
        <f>IF(N245="nulová",J245,0)</f>
        <v>0</v>
      </c>
      <c r="BJ245" s="2056" t="s">
        <v>134</v>
      </c>
      <c r="BK245" s="2194">
        <f>ROUND(I245*H245,2)</f>
        <v>0</v>
      </c>
      <c r="BL245" s="2056" t="s">
        <v>2894</v>
      </c>
      <c r="BM245" s="2193" t="s">
        <v>4433</v>
      </c>
    </row>
    <row r="246" spans="2:65" s="2209" customFormat="1" ht="22.5">
      <c r="B246" s="2210"/>
      <c r="D246" s="2197" t="s">
        <v>3303</v>
      </c>
      <c r="E246" s="2211" t="s">
        <v>3146</v>
      </c>
      <c r="F246" s="2212" t="s">
        <v>4434</v>
      </c>
      <c r="H246" s="2213">
        <v>172.9</v>
      </c>
      <c r="L246" s="2210"/>
      <c r="M246" s="2214"/>
      <c r="T246" s="2215"/>
      <c r="AT246" s="2211" t="s">
        <v>3303</v>
      </c>
      <c r="AU246" s="2211" t="s">
        <v>134</v>
      </c>
      <c r="AV246" s="2209" t="s">
        <v>134</v>
      </c>
      <c r="AW246" s="2209" t="s">
        <v>3171</v>
      </c>
      <c r="AX246" s="2209" t="s">
        <v>3213</v>
      </c>
      <c r="AY246" s="2211" t="s">
        <v>3285</v>
      </c>
    </row>
    <row r="247" spans="2:65" s="2209" customFormat="1" ht="22.5">
      <c r="B247" s="2210"/>
      <c r="D247" s="2197" t="s">
        <v>3303</v>
      </c>
      <c r="E247" s="2211" t="s">
        <v>3146</v>
      </c>
      <c r="F247" s="2212" t="s">
        <v>4435</v>
      </c>
      <c r="H247" s="2213">
        <v>121.19</v>
      </c>
      <c r="L247" s="2210"/>
      <c r="M247" s="2214"/>
      <c r="T247" s="2215"/>
      <c r="AT247" s="2211" t="s">
        <v>3303</v>
      </c>
      <c r="AU247" s="2211" t="s">
        <v>134</v>
      </c>
      <c r="AV247" s="2209" t="s">
        <v>134</v>
      </c>
      <c r="AW247" s="2209" t="s">
        <v>3171</v>
      </c>
      <c r="AX247" s="2209" t="s">
        <v>3213</v>
      </c>
      <c r="AY247" s="2211" t="s">
        <v>3285</v>
      </c>
    </row>
    <row r="248" spans="2:65" s="2209" customFormat="1" ht="33.75">
      <c r="B248" s="2210"/>
      <c r="D248" s="2197" t="s">
        <v>3303</v>
      </c>
      <c r="E248" s="2211" t="s">
        <v>3146</v>
      </c>
      <c r="F248" s="2212" t="s">
        <v>4436</v>
      </c>
      <c r="H248" s="2213">
        <v>178.5</v>
      </c>
      <c r="L248" s="2210"/>
      <c r="M248" s="2214"/>
      <c r="T248" s="2215"/>
      <c r="AT248" s="2211" t="s">
        <v>3303</v>
      </c>
      <c r="AU248" s="2211" t="s">
        <v>134</v>
      </c>
      <c r="AV248" s="2209" t="s">
        <v>134</v>
      </c>
      <c r="AW248" s="2209" t="s">
        <v>3171</v>
      </c>
      <c r="AX248" s="2209" t="s">
        <v>3213</v>
      </c>
      <c r="AY248" s="2211" t="s">
        <v>3285</v>
      </c>
    </row>
    <row r="249" spans="2:65" s="2209" customFormat="1" ht="22.5">
      <c r="B249" s="2210"/>
      <c r="D249" s="2197" t="s">
        <v>3303</v>
      </c>
      <c r="E249" s="2211" t="s">
        <v>3146</v>
      </c>
      <c r="F249" s="2212" t="s">
        <v>4437</v>
      </c>
      <c r="H249" s="2213">
        <v>139.54</v>
      </c>
      <c r="L249" s="2210"/>
      <c r="M249" s="2214"/>
      <c r="T249" s="2215"/>
      <c r="AT249" s="2211" t="s">
        <v>3303</v>
      </c>
      <c r="AU249" s="2211" t="s">
        <v>134</v>
      </c>
      <c r="AV249" s="2209" t="s">
        <v>134</v>
      </c>
      <c r="AW249" s="2209" t="s">
        <v>3171</v>
      </c>
      <c r="AX249" s="2209" t="s">
        <v>3213</v>
      </c>
      <c r="AY249" s="2211" t="s">
        <v>3285</v>
      </c>
    </row>
    <row r="250" spans="2:65" s="2202" customFormat="1">
      <c r="B250" s="2203"/>
      <c r="D250" s="2197" t="s">
        <v>3303</v>
      </c>
      <c r="E250" s="2204" t="s">
        <v>3146</v>
      </c>
      <c r="F250" s="2205" t="s">
        <v>3305</v>
      </c>
      <c r="H250" s="2206">
        <v>612.13</v>
      </c>
      <c r="L250" s="2203"/>
      <c r="M250" s="2207"/>
      <c r="T250" s="2208"/>
      <c r="AT250" s="2204" t="s">
        <v>3303</v>
      </c>
      <c r="AU250" s="2204" t="s">
        <v>134</v>
      </c>
      <c r="AV250" s="2202" t="s">
        <v>854</v>
      </c>
      <c r="AW250" s="2202" t="s">
        <v>3171</v>
      </c>
      <c r="AX250" s="2202" t="s">
        <v>3213</v>
      </c>
      <c r="AY250" s="2204" t="s">
        <v>3285</v>
      </c>
    </row>
    <row r="251" spans="2:65" s="2216" customFormat="1">
      <c r="B251" s="2217"/>
      <c r="D251" s="2197" t="s">
        <v>3303</v>
      </c>
      <c r="E251" s="2218" t="s">
        <v>3146</v>
      </c>
      <c r="F251" s="2219" t="s">
        <v>3306</v>
      </c>
      <c r="H251" s="2220">
        <v>612.13</v>
      </c>
      <c r="L251" s="2217"/>
      <c r="M251" s="2221"/>
      <c r="T251" s="2222"/>
      <c r="AT251" s="2218" t="s">
        <v>3303</v>
      </c>
      <c r="AU251" s="2218" t="s">
        <v>134</v>
      </c>
      <c r="AV251" s="2216" t="s">
        <v>856</v>
      </c>
      <c r="AW251" s="2216" t="s">
        <v>3171</v>
      </c>
      <c r="AX251" s="2216" t="s">
        <v>133</v>
      </c>
      <c r="AY251" s="2218" t="s">
        <v>3285</v>
      </c>
    </row>
    <row r="252" spans="2:65" s="2070" customFormat="1" ht="24.2" customHeight="1">
      <c r="B252" s="2164"/>
      <c r="C252" s="4608" t="s">
        <v>2583</v>
      </c>
      <c r="D252" s="4608" t="s">
        <v>3286</v>
      </c>
      <c r="E252" s="4609" t="s">
        <v>11035</v>
      </c>
      <c r="F252" s="4610" t="s">
        <v>11036</v>
      </c>
      <c r="G252" s="4611" t="s">
        <v>611</v>
      </c>
      <c r="H252" s="4612">
        <v>37.840000000000003</v>
      </c>
      <c r="I252" s="4613"/>
      <c r="J252" s="4613">
        <f>ROUND(I252*H252,2)</f>
        <v>0</v>
      </c>
      <c r="K252" s="4610" t="s">
        <v>142</v>
      </c>
      <c r="L252" s="2071"/>
      <c r="M252" s="2190" t="s">
        <v>3146</v>
      </c>
      <c r="N252" s="2163" t="s">
        <v>3181</v>
      </c>
      <c r="O252" s="2191">
        <v>0.125</v>
      </c>
      <c r="P252" s="2191">
        <f>O252*H252</f>
        <v>4.7300000000000004</v>
      </c>
      <c r="Q252" s="2191">
        <v>5.1399999999999996E-3</v>
      </c>
      <c r="R252" s="2191">
        <f>Q252*H252</f>
        <v>0.19449759999999999</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11037</v>
      </c>
    </row>
    <row r="253" spans="2:65" s="2209" customFormat="1">
      <c r="B253" s="2210"/>
      <c r="D253" s="2197" t="s">
        <v>3303</v>
      </c>
      <c r="E253" s="2211" t="s">
        <v>3146</v>
      </c>
      <c r="F253" s="2212" t="s">
        <v>4283</v>
      </c>
      <c r="H253" s="2213">
        <v>37.840000000000003</v>
      </c>
      <c r="L253" s="2210"/>
      <c r="M253" s="2214"/>
      <c r="T253" s="2215"/>
      <c r="AT253" s="2211" t="s">
        <v>3303</v>
      </c>
      <c r="AU253" s="2211" t="s">
        <v>134</v>
      </c>
      <c r="AV253" s="2209" t="s">
        <v>134</v>
      </c>
      <c r="AW253" s="2209" t="s">
        <v>3171</v>
      </c>
      <c r="AX253" s="2209" t="s">
        <v>133</v>
      </c>
      <c r="AY253" s="2211" t="s">
        <v>3285</v>
      </c>
    </row>
    <row r="254" spans="2:65" s="2070" customFormat="1" ht="24.2" customHeight="1">
      <c r="B254" s="2164"/>
      <c r="C254" s="4608" t="s">
        <v>685</v>
      </c>
      <c r="D254" s="4608" t="s">
        <v>3286</v>
      </c>
      <c r="E254" s="4609" t="s">
        <v>4438</v>
      </c>
      <c r="F254" s="4610" t="s">
        <v>4439</v>
      </c>
      <c r="G254" s="4611" t="s">
        <v>302</v>
      </c>
      <c r="H254" s="4612">
        <v>30.826000000000001</v>
      </c>
      <c r="I254" s="4613"/>
      <c r="J254" s="4613">
        <f>ROUND(I254*H254,2)</f>
        <v>0</v>
      </c>
      <c r="K254" s="4610" t="s">
        <v>142</v>
      </c>
      <c r="L254" s="2071"/>
      <c r="M254" s="2190" t="s">
        <v>3146</v>
      </c>
      <c r="N254" s="2163" t="s">
        <v>3181</v>
      </c>
      <c r="O254" s="2191">
        <v>1.3049999999999999</v>
      </c>
      <c r="P254" s="2191">
        <f>O254*H254</f>
        <v>40.227930000000001</v>
      </c>
      <c r="Q254" s="2191">
        <v>0</v>
      </c>
      <c r="R254" s="2191">
        <f>Q254*H254</f>
        <v>0</v>
      </c>
      <c r="S254" s="2191">
        <v>0</v>
      </c>
      <c r="T254" s="2192">
        <f>S254*H254</f>
        <v>0</v>
      </c>
      <c r="AR254" s="2193" t="s">
        <v>2894</v>
      </c>
      <c r="AT254" s="2193" t="s">
        <v>3286</v>
      </c>
      <c r="AU254" s="2193" t="s">
        <v>134</v>
      </c>
      <c r="AY254" s="2056" t="s">
        <v>3285</v>
      </c>
      <c r="BE254" s="2194">
        <f>IF(N254="základní",J254,0)</f>
        <v>0</v>
      </c>
      <c r="BF254" s="2194">
        <f>IF(N254="snížená",J254,0)</f>
        <v>0</v>
      </c>
      <c r="BG254" s="2194">
        <f>IF(N254="zákl. přenesená",J254,0)</f>
        <v>0</v>
      </c>
      <c r="BH254" s="2194">
        <f>IF(N254="sníž. přenesená",J254,0)</f>
        <v>0</v>
      </c>
      <c r="BI254" s="2194">
        <f>IF(N254="nulová",J254,0)</f>
        <v>0</v>
      </c>
      <c r="BJ254" s="2056" t="s">
        <v>134</v>
      </c>
      <c r="BK254" s="2194">
        <f>ROUND(I254*H254,2)</f>
        <v>0</v>
      </c>
      <c r="BL254" s="2056" t="s">
        <v>2894</v>
      </c>
      <c r="BM254" s="2193" t="s">
        <v>4440</v>
      </c>
    </row>
    <row r="255" spans="2:65" s="2070" customFormat="1" ht="24.2" customHeight="1">
      <c r="B255" s="2164"/>
      <c r="C255" s="4608" t="s">
        <v>2605</v>
      </c>
      <c r="D255" s="4608" t="s">
        <v>3286</v>
      </c>
      <c r="E255" s="4609" t="s">
        <v>4441</v>
      </c>
      <c r="F255" s="4610" t="s">
        <v>4442</v>
      </c>
      <c r="G255" s="4611" t="s">
        <v>302</v>
      </c>
      <c r="H255" s="4612">
        <v>30.826000000000001</v>
      </c>
      <c r="I255" s="4613"/>
      <c r="J255" s="4613">
        <f>ROUND(I255*H255,2)</f>
        <v>0</v>
      </c>
      <c r="K255" s="4610" t="s">
        <v>142</v>
      </c>
      <c r="L255" s="2071"/>
      <c r="M255" s="2190" t="s">
        <v>3146</v>
      </c>
      <c r="N255" s="2163" t="s">
        <v>3181</v>
      </c>
      <c r="O255" s="2191">
        <v>1.1399999999999999</v>
      </c>
      <c r="P255" s="2191">
        <f>O255*H255</f>
        <v>35.141639999999995</v>
      </c>
      <c r="Q255" s="2191">
        <v>0</v>
      </c>
      <c r="R255" s="2191">
        <f>Q255*H255</f>
        <v>0</v>
      </c>
      <c r="S255" s="2191">
        <v>0</v>
      </c>
      <c r="T255" s="2192">
        <f>S255*H255</f>
        <v>0</v>
      </c>
      <c r="AR255" s="2193" t="s">
        <v>2894</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2894</v>
      </c>
      <c r="BM255" s="2193" t="s">
        <v>4443</v>
      </c>
    </row>
    <row r="256" spans="2:65" s="2178" customFormat="1" ht="22.9" customHeight="1">
      <c r="B256" s="2179"/>
      <c r="D256" s="2180" t="s">
        <v>3212</v>
      </c>
      <c r="E256" s="2188" t="s">
        <v>4117</v>
      </c>
      <c r="F256" s="2188" t="s">
        <v>4118</v>
      </c>
      <c r="J256" s="2189">
        <f>BK256</f>
        <v>0</v>
      </c>
      <c r="L256" s="2179"/>
      <c r="M256" s="2183"/>
      <c r="P256" s="2184">
        <f>SUM(P257:P315)</f>
        <v>4002.121764</v>
      </c>
      <c r="R256" s="2184">
        <f>SUM(R257:R315)</f>
        <v>20.845976729999997</v>
      </c>
      <c r="T256" s="2185">
        <f>SUM(T257:T315)</f>
        <v>0</v>
      </c>
      <c r="AR256" s="2180" t="s">
        <v>134</v>
      </c>
      <c r="AT256" s="2186" t="s">
        <v>3212</v>
      </c>
      <c r="AU256" s="2186" t="s">
        <v>133</v>
      </c>
      <c r="AY256" s="2180" t="s">
        <v>3285</v>
      </c>
      <c r="BK256" s="2187">
        <f>SUM(BK257:BK315)</f>
        <v>0</v>
      </c>
    </row>
    <row r="257" spans="2:65" s="2070" customFormat="1" ht="21.75" customHeight="1">
      <c r="B257" s="2164"/>
      <c r="C257" s="4608" t="s">
        <v>2616</v>
      </c>
      <c r="D257" s="4608" t="s">
        <v>3286</v>
      </c>
      <c r="E257" s="4609" t="s">
        <v>4444</v>
      </c>
      <c r="F257" s="4610" t="s">
        <v>4445</v>
      </c>
      <c r="G257" s="4611" t="s">
        <v>611</v>
      </c>
      <c r="H257" s="4612">
        <v>1927.52</v>
      </c>
      <c r="I257" s="4613"/>
      <c r="J257" s="4613">
        <f>ROUND(I257*H257,2)</f>
        <v>0</v>
      </c>
      <c r="K257" s="4610" t="s">
        <v>142</v>
      </c>
      <c r="L257" s="2071"/>
      <c r="M257" s="2190" t="s">
        <v>3146</v>
      </c>
      <c r="N257" s="2163" t="s">
        <v>3181</v>
      </c>
      <c r="O257" s="2191">
        <v>7.2999999999999995E-2</v>
      </c>
      <c r="P257" s="2191">
        <f>O257*H257</f>
        <v>140.70895999999999</v>
      </c>
      <c r="Q257" s="2191">
        <v>0</v>
      </c>
      <c r="R257" s="2191">
        <f>Q257*H257</f>
        <v>0</v>
      </c>
      <c r="S257" s="2191">
        <v>0</v>
      </c>
      <c r="T257" s="2192">
        <f>S257*H257</f>
        <v>0</v>
      </c>
      <c r="AR257" s="2193" t="s">
        <v>2894</v>
      </c>
      <c r="AT257" s="2193" t="s">
        <v>3286</v>
      </c>
      <c r="AU257" s="2193" t="s">
        <v>134</v>
      </c>
      <c r="AY257" s="2056" t="s">
        <v>3285</v>
      </c>
      <c r="BE257" s="2194">
        <f>IF(N257="základní",J257,0)</f>
        <v>0</v>
      </c>
      <c r="BF257" s="2194">
        <f>IF(N257="snížená",J257,0)</f>
        <v>0</v>
      </c>
      <c r="BG257" s="2194">
        <f>IF(N257="zákl. přenesená",J257,0)</f>
        <v>0</v>
      </c>
      <c r="BH257" s="2194">
        <f>IF(N257="sníž. přenesená",J257,0)</f>
        <v>0</v>
      </c>
      <c r="BI257" s="2194">
        <f>IF(N257="nulová",J257,0)</f>
        <v>0</v>
      </c>
      <c r="BJ257" s="2056" t="s">
        <v>134</v>
      </c>
      <c r="BK257" s="2194">
        <f>ROUND(I257*H257,2)</f>
        <v>0</v>
      </c>
      <c r="BL257" s="2056" t="s">
        <v>2894</v>
      </c>
      <c r="BM257" s="2193" t="s">
        <v>4446</v>
      </c>
    </row>
    <row r="258" spans="2:65" s="2070" customFormat="1" ht="24.2" customHeight="1">
      <c r="B258" s="2164"/>
      <c r="C258" s="4608" t="s">
        <v>3424</v>
      </c>
      <c r="D258" s="4608" t="s">
        <v>3286</v>
      </c>
      <c r="E258" s="4609" t="s">
        <v>4447</v>
      </c>
      <c r="F258" s="4610" t="s">
        <v>4448</v>
      </c>
      <c r="G258" s="4611" t="s">
        <v>611</v>
      </c>
      <c r="H258" s="4612">
        <v>63</v>
      </c>
      <c r="I258" s="4613"/>
      <c r="J258" s="4613">
        <f>ROUND(I258*H258,2)</f>
        <v>0</v>
      </c>
      <c r="K258" s="4610" t="s">
        <v>142</v>
      </c>
      <c r="L258" s="2071"/>
      <c r="M258" s="2190" t="s">
        <v>3146</v>
      </c>
      <c r="N258" s="2163" t="s">
        <v>3181</v>
      </c>
      <c r="O258" s="2191">
        <v>0.14599999999999999</v>
      </c>
      <c r="P258" s="2191">
        <f>O258*H258</f>
        <v>9.1979999999999986</v>
      </c>
      <c r="Q258" s="2191">
        <v>0</v>
      </c>
      <c r="R258" s="2191">
        <f>Q258*H258</f>
        <v>0</v>
      </c>
      <c r="S258" s="2191">
        <v>0</v>
      </c>
      <c r="T258" s="2192">
        <f>S258*H258</f>
        <v>0</v>
      </c>
      <c r="AR258" s="2193" t="s">
        <v>2894</v>
      </c>
      <c r="AT258" s="2193" t="s">
        <v>3286</v>
      </c>
      <c r="AU258" s="2193" t="s">
        <v>134</v>
      </c>
      <c r="AY258" s="2056" t="s">
        <v>3285</v>
      </c>
      <c r="BE258" s="2194">
        <f>IF(N258="základní",J258,0)</f>
        <v>0</v>
      </c>
      <c r="BF258" s="2194">
        <f>IF(N258="snížená",J258,0)</f>
        <v>0</v>
      </c>
      <c r="BG258" s="2194">
        <f>IF(N258="zákl. přenesená",J258,0)</f>
        <v>0</v>
      </c>
      <c r="BH258" s="2194">
        <f>IF(N258="sníž. přenesená",J258,0)</f>
        <v>0</v>
      </c>
      <c r="BI258" s="2194">
        <f>IF(N258="nulová",J258,0)</f>
        <v>0</v>
      </c>
      <c r="BJ258" s="2056" t="s">
        <v>134</v>
      </c>
      <c r="BK258" s="2194">
        <f>ROUND(I258*H258,2)</f>
        <v>0</v>
      </c>
      <c r="BL258" s="2056" t="s">
        <v>2894</v>
      </c>
      <c r="BM258" s="2193" t="s">
        <v>4449</v>
      </c>
    </row>
    <row r="259" spans="2:65" s="2209" customFormat="1">
      <c r="B259" s="2210"/>
      <c r="D259" s="2197" t="s">
        <v>3303</v>
      </c>
      <c r="E259" s="2211" t="s">
        <v>3146</v>
      </c>
      <c r="F259" s="2212" t="s">
        <v>4450</v>
      </c>
      <c r="H259" s="2213">
        <v>63</v>
      </c>
      <c r="L259" s="2210"/>
      <c r="M259" s="2214"/>
      <c r="T259" s="2215"/>
      <c r="AT259" s="2211" t="s">
        <v>3303</v>
      </c>
      <c r="AU259" s="2211" t="s">
        <v>134</v>
      </c>
      <c r="AV259" s="2209" t="s">
        <v>134</v>
      </c>
      <c r="AW259" s="2209" t="s">
        <v>3171</v>
      </c>
      <c r="AX259" s="2209" t="s">
        <v>133</v>
      </c>
      <c r="AY259" s="2211" t="s">
        <v>3285</v>
      </c>
    </row>
    <row r="260" spans="2:65" s="2070" customFormat="1" ht="16.5" customHeight="1">
      <c r="B260" s="2164"/>
      <c r="C260" s="4608" t="s">
        <v>2645</v>
      </c>
      <c r="D260" s="4608" t="s">
        <v>3286</v>
      </c>
      <c r="E260" s="4609" t="s">
        <v>4451</v>
      </c>
      <c r="F260" s="4610" t="s">
        <v>4452</v>
      </c>
      <c r="G260" s="4611" t="s">
        <v>611</v>
      </c>
      <c r="H260" s="4612">
        <v>1944.22</v>
      </c>
      <c r="I260" s="4613"/>
      <c r="J260" s="4613">
        <f t="shared" ref="J260:J267" si="0">ROUND(I260*H260,2)</f>
        <v>0</v>
      </c>
      <c r="K260" s="4610" t="s">
        <v>142</v>
      </c>
      <c r="L260" s="2071"/>
      <c r="M260" s="2190" t="s">
        <v>3146</v>
      </c>
      <c r="N260" s="2163" t="s">
        <v>3181</v>
      </c>
      <c r="O260" s="2191">
        <v>2.4E-2</v>
      </c>
      <c r="P260" s="2191">
        <f t="shared" ref="P260:P267" si="1">O260*H260</f>
        <v>46.661280000000005</v>
      </c>
      <c r="Q260" s="2191">
        <v>0</v>
      </c>
      <c r="R260" s="2191">
        <f t="shared" ref="R260:R267" si="2">Q260*H260</f>
        <v>0</v>
      </c>
      <c r="S260" s="2191">
        <v>0</v>
      </c>
      <c r="T260" s="2192">
        <f t="shared" ref="T260:T267" si="3">S260*H260</f>
        <v>0</v>
      </c>
      <c r="AR260" s="2193" t="s">
        <v>2894</v>
      </c>
      <c r="AT260" s="2193" t="s">
        <v>3286</v>
      </c>
      <c r="AU260" s="2193" t="s">
        <v>134</v>
      </c>
      <c r="AY260" s="2056" t="s">
        <v>3285</v>
      </c>
      <c r="BE260" s="2194">
        <f t="shared" ref="BE260:BE267" si="4">IF(N260="základní",J260,0)</f>
        <v>0</v>
      </c>
      <c r="BF260" s="2194">
        <f t="shared" ref="BF260:BF267" si="5">IF(N260="snížená",J260,0)</f>
        <v>0</v>
      </c>
      <c r="BG260" s="2194">
        <f t="shared" ref="BG260:BG267" si="6">IF(N260="zákl. přenesená",J260,0)</f>
        <v>0</v>
      </c>
      <c r="BH260" s="2194">
        <f t="shared" ref="BH260:BH267" si="7">IF(N260="sníž. přenesená",J260,0)</f>
        <v>0</v>
      </c>
      <c r="BI260" s="2194">
        <f t="shared" ref="BI260:BI267" si="8">IF(N260="nulová",J260,0)</f>
        <v>0</v>
      </c>
      <c r="BJ260" s="2056" t="s">
        <v>134</v>
      </c>
      <c r="BK260" s="2194">
        <f t="shared" ref="BK260:BK267" si="9">ROUND(I260*H260,2)</f>
        <v>0</v>
      </c>
      <c r="BL260" s="2056" t="s">
        <v>2894</v>
      </c>
      <c r="BM260" s="2193" t="s">
        <v>4453</v>
      </c>
    </row>
    <row r="261" spans="2:65" s="2070" customFormat="1" ht="24.2" customHeight="1">
      <c r="B261" s="2164"/>
      <c r="C261" s="4608" t="s">
        <v>2653</v>
      </c>
      <c r="D261" s="4608" t="s">
        <v>3286</v>
      </c>
      <c r="E261" s="4609" t="s">
        <v>4454</v>
      </c>
      <c r="F261" s="4610" t="s">
        <v>4455</v>
      </c>
      <c r="G261" s="4611" t="s">
        <v>611</v>
      </c>
      <c r="H261" s="4612">
        <v>63</v>
      </c>
      <c r="I261" s="4613"/>
      <c r="J261" s="4613">
        <f t="shared" si="0"/>
        <v>0</v>
      </c>
      <c r="K261" s="4610" t="s">
        <v>142</v>
      </c>
      <c r="L261" s="2071"/>
      <c r="M261" s="2190" t="s">
        <v>3146</v>
      </c>
      <c r="N261" s="2163" t="s">
        <v>3181</v>
      </c>
      <c r="O261" s="2191">
        <v>3.7999999999999999E-2</v>
      </c>
      <c r="P261" s="2191">
        <f t="shared" si="1"/>
        <v>2.3940000000000001</v>
      </c>
      <c r="Q261" s="2191">
        <v>0</v>
      </c>
      <c r="R261" s="2191">
        <f t="shared" si="2"/>
        <v>0</v>
      </c>
      <c r="S261" s="2191">
        <v>0</v>
      </c>
      <c r="T261" s="2192">
        <f t="shared" si="3"/>
        <v>0</v>
      </c>
      <c r="AR261" s="2193" t="s">
        <v>2894</v>
      </c>
      <c r="AT261" s="2193" t="s">
        <v>3286</v>
      </c>
      <c r="AU261" s="2193" t="s">
        <v>134</v>
      </c>
      <c r="AY261" s="2056" t="s">
        <v>3285</v>
      </c>
      <c r="BE261" s="2194">
        <f t="shared" si="4"/>
        <v>0</v>
      </c>
      <c r="BF261" s="2194">
        <f t="shared" si="5"/>
        <v>0</v>
      </c>
      <c r="BG261" s="2194">
        <f t="shared" si="6"/>
        <v>0</v>
      </c>
      <c r="BH261" s="2194">
        <f t="shared" si="7"/>
        <v>0</v>
      </c>
      <c r="BI261" s="2194">
        <f t="shared" si="8"/>
        <v>0</v>
      </c>
      <c r="BJ261" s="2056" t="s">
        <v>134</v>
      </c>
      <c r="BK261" s="2194">
        <f t="shared" si="9"/>
        <v>0</v>
      </c>
      <c r="BL261" s="2056" t="s">
        <v>2894</v>
      </c>
      <c r="BM261" s="2193" t="s">
        <v>4456</v>
      </c>
    </row>
    <row r="262" spans="2:65" s="2070" customFormat="1" ht="24.2" customHeight="1">
      <c r="B262" s="2164"/>
      <c r="C262" s="4608" t="s">
        <v>2661</v>
      </c>
      <c r="D262" s="4608" t="s">
        <v>3286</v>
      </c>
      <c r="E262" s="4609" t="s">
        <v>4457</v>
      </c>
      <c r="F262" s="4610" t="s">
        <v>4458</v>
      </c>
      <c r="G262" s="4611" t="s">
        <v>611</v>
      </c>
      <c r="H262" s="4612">
        <v>1944.22</v>
      </c>
      <c r="I262" s="4613"/>
      <c r="J262" s="4613">
        <f t="shared" si="0"/>
        <v>0</v>
      </c>
      <c r="K262" s="4610" t="s">
        <v>142</v>
      </c>
      <c r="L262" s="2071"/>
      <c r="M262" s="2190" t="s">
        <v>3146</v>
      </c>
      <c r="N262" s="2163" t="s">
        <v>3181</v>
      </c>
      <c r="O262" s="2191">
        <v>5.8000000000000003E-2</v>
      </c>
      <c r="P262" s="2191">
        <f t="shared" si="1"/>
        <v>112.76476000000001</v>
      </c>
      <c r="Q262" s="2191">
        <v>3.0000000000000001E-5</v>
      </c>
      <c r="R262" s="2191">
        <f t="shared" si="2"/>
        <v>5.8326599999999999E-2</v>
      </c>
      <c r="S262" s="2191">
        <v>0</v>
      </c>
      <c r="T262" s="2192">
        <f t="shared" si="3"/>
        <v>0</v>
      </c>
      <c r="AR262" s="2193" t="s">
        <v>2894</v>
      </c>
      <c r="AT262" s="2193" t="s">
        <v>3286</v>
      </c>
      <c r="AU262" s="2193" t="s">
        <v>134</v>
      </c>
      <c r="AY262" s="2056" t="s">
        <v>3285</v>
      </c>
      <c r="BE262" s="2194">
        <f t="shared" si="4"/>
        <v>0</v>
      </c>
      <c r="BF262" s="2194">
        <f t="shared" si="5"/>
        <v>0</v>
      </c>
      <c r="BG262" s="2194">
        <f t="shared" si="6"/>
        <v>0</v>
      </c>
      <c r="BH262" s="2194">
        <f t="shared" si="7"/>
        <v>0</v>
      </c>
      <c r="BI262" s="2194">
        <f t="shared" si="8"/>
        <v>0</v>
      </c>
      <c r="BJ262" s="2056" t="s">
        <v>134</v>
      </c>
      <c r="BK262" s="2194">
        <f t="shared" si="9"/>
        <v>0</v>
      </c>
      <c r="BL262" s="2056" t="s">
        <v>2894</v>
      </c>
      <c r="BM262" s="2193" t="s">
        <v>4459</v>
      </c>
    </row>
    <row r="263" spans="2:65" s="2070" customFormat="1" ht="24.2" customHeight="1">
      <c r="B263" s="2164"/>
      <c r="C263" s="4608" t="s">
        <v>2417</v>
      </c>
      <c r="D263" s="4608" t="s">
        <v>3286</v>
      </c>
      <c r="E263" s="4609" t="s">
        <v>4460</v>
      </c>
      <c r="F263" s="4610" t="s">
        <v>4461</v>
      </c>
      <c r="G263" s="4611" t="s">
        <v>611</v>
      </c>
      <c r="H263" s="4612">
        <v>63</v>
      </c>
      <c r="I263" s="4613"/>
      <c r="J263" s="4613">
        <f t="shared" si="0"/>
        <v>0</v>
      </c>
      <c r="K263" s="4610" t="s">
        <v>142</v>
      </c>
      <c r="L263" s="2071"/>
      <c r="M263" s="2190" t="s">
        <v>3146</v>
      </c>
      <c r="N263" s="2163" t="s">
        <v>3181</v>
      </c>
      <c r="O263" s="2191">
        <v>0.17399999999999999</v>
      </c>
      <c r="P263" s="2191">
        <f t="shared" si="1"/>
        <v>10.962</v>
      </c>
      <c r="Q263" s="2191">
        <v>5.0000000000000002E-5</v>
      </c>
      <c r="R263" s="2191">
        <f t="shared" si="2"/>
        <v>3.15E-3</v>
      </c>
      <c r="S263" s="2191">
        <v>0</v>
      </c>
      <c r="T263" s="2192">
        <f t="shared" si="3"/>
        <v>0</v>
      </c>
      <c r="AR263" s="2193" t="s">
        <v>2894</v>
      </c>
      <c r="AT263" s="2193" t="s">
        <v>3286</v>
      </c>
      <c r="AU263" s="2193" t="s">
        <v>134</v>
      </c>
      <c r="AY263" s="2056" t="s">
        <v>3285</v>
      </c>
      <c r="BE263" s="2194">
        <f t="shared" si="4"/>
        <v>0</v>
      </c>
      <c r="BF263" s="2194">
        <f t="shared" si="5"/>
        <v>0</v>
      </c>
      <c r="BG263" s="2194">
        <f t="shared" si="6"/>
        <v>0</v>
      </c>
      <c r="BH263" s="2194">
        <f t="shared" si="7"/>
        <v>0</v>
      </c>
      <c r="BI263" s="2194">
        <f t="shared" si="8"/>
        <v>0</v>
      </c>
      <c r="BJ263" s="2056" t="s">
        <v>134</v>
      </c>
      <c r="BK263" s="2194">
        <f t="shared" si="9"/>
        <v>0</v>
      </c>
      <c r="BL263" s="2056" t="s">
        <v>2894</v>
      </c>
      <c r="BM263" s="2193" t="s">
        <v>4462</v>
      </c>
    </row>
    <row r="264" spans="2:65" s="2070" customFormat="1" ht="33" customHeight="1">
      <c r="B264" s="2164"/>
      <c r="C264" s="4608" t="s">
        <v>1787</v>
      </c>
      <c r="D264" s="4608" t="s">
        <v>3286</v>
      </c>
      <c r="E264" s="4609" t="s">
        <v>4463</v>
      </c>
      <c r="F264" s="4610" t="s">
        <v>4464</v>
      </c>
      <c r="G264" s="4611" t="s">
        <v>611</v>
      </c>
      <c r="H264" s="4612">
        <v>1944.22</v>
      </c>
      <c r="I264" s="4613"/>
      <c r="J264" s="4613">
        <f t="shared" si="0"/>
        <v>0</v>
      </c>
      <c r="K264" s="4610" t="s">
        <v>142</v>
      </c>
      <c r="L264" s="2071"/>
      <c r="M264" s="2190" t="s">
        <v>3146</v>
      </c>
      <c r="N264" s="2163" t="s">
        <v>3181</v>
      </c>
      <c r="O264" s="2191">
        <v>0.192</v>
      </c>
      <c r="P264" s="2191">
        <f t="shared" si="1"/>
        <v>373.29024000000004</v>
      </c>
      <c r="Q264" s="2191">
        <v>4.4999999999999997E-3</v>
      </c>
      <c r="R264" s="2191">
        <f t="shared" si="2"/>
        <v>8.7489899999999992</v>
      </c>
      <c r="S264" s="2191">
        <v>0</v>
      </c>
      <c r="T264" s="2192">
        <f t="shared" si="3"/>
        <v>0</v>
      </c>
      <c r="AR264" s="2193" t="s">
        <v>2894</v>
      </c>
      <c r="AT264" s="2193" t="s">
        <v>3286</v>
      </c>
      <c r="AU264" s="2193" t="s">
        <v>134</v>
      </c>
      <c r="AY264" s="2056" t="s">
        <v>3285</v>
      </c>
      <c r="BE264" s="2194">
        <f t="shared" si="4"/>
        <v>0</v>
      </c>
      <c r="BF264" s="2194">
        <f t="shared" si="5"/>
        <v>0</v>
      </c>
      <c r="BG264" s="2194">
        <f t="shared" si="6"/>
        <v>0</v>
      </c>
      <c r="BH264" s="2194">
        <f t="shared" si="7"/>
        <v>0</v>
      </c>
      <c r="BI264" s="2194">
        <f t="shared" si="8"/>
        <v>0</v>
      </c>
      <c r="BJ264" s="2056" t="s">
        <v>134</v>
      </c>
      <c r="BK264" s="2194">
        <f t="shared" si="9"/>
        <v>0</v>
      </c>
      <c r="BL264" s="2056" t="s">
        <v>2894</v>
      </c>
      <c r="BM264" s="2193" t="s">
        <v>4465</v>
      </c>
    </row>
    <row r="265" spans="2:65" s="2070" customFormat="1" ht="37.9" customHeight="1">
      <c r="B265" s="2164"/>
      <c r="C265" s="4608" t="s">
        <v>3472</v>
      </c>
      <c r="D265" s="4608" t="s">
        <v>3286</v>
      </c>
      <c r="E265" s="4609" t="s">
        <v>4466</v>
      </c>
      <c r="F265" s="4610" t="s">
        <v>4467</v>
      </c>
      <c r="G265" s="4611" t="s">
        <v>611</v>
      </c>
      <c r="H265" s="4612">
        <v>63</v>
      </c>
      <c r="I265" s="4613"/>
      <c r="J265" s="4613">
        <f t="shared" si="0"/>
        <v>0</v>
      </c>
      <c r="K265" s="4610" t="s">
        <v>142</v>
      </c>
      <c r="L265" s="2071"/>
      <c r="M265" s="2190" t="s">
        <v>3146</v>
      </c>
      <c r="N265" s="2163" t="s">
        <v>3181</v>
      </c>
      <c r="O265" s="2191">
        <v>0.41699999999999998</v>
      </c>
      <c r="P265" s="2191">
        <f t="shared" si="1"/>
        <v>26.270999999999997</v>
      </c>
      <c r="Q265" s="2191">
        <v>4.9500000000000004E-3</v>
      </c>
      <c r="R265" s="2191">
        <f t="shared" si="2"/>
        <v>0.31185000000000002</v>
      </c>
      <c r="S265" s="2191">
        <v>0</v>
      </c>
      <c r="T265" s="2192">
        <f t="shared" si="3"/>
        <v>0</v>
      </c>
      <c r="AR265" s="2193" t="s">
        <v>2894</v>
      </c>
      <c r="AT265" s="2193" t="s">
        <v>3286</v>
      </c>
      <c r="AU265" s="2193" t="s">
        <v>134</v>
      </c>
      <c r="AY265" s="2056" t="s">
        <v>3285</v>
      </c>
      <c r="BE265" s="2194">
        <f t="shared" si="4"/>
        <v>0</v>
      </c>
      <c r="BF265" s="2194">
        <f t="shared" si="5"/>
        <v>0</v>
      </c>
      <c r="BG265" s="2194">
        <f t="shared" si="6"/>
        <v>0</v>
      </c>
      <c r="BH265" s="2194">
        <f t="shared" si="7"/>
        <v>0</v>
      </c>
      <c r="BI265" s="2194">
        <f t="shared" si="8"/>
        <v>0</v>
      </c>
      <c r="BJ265" s="2056" t="s">
        <v>134</v>
      </c>
      <c r="BK265" s="2194">
        <f t="shared" si="9"/>
        <v>0</v>
      </c>
      <c r="BL265" s="2056" t="s">
        <v>2894</v>
      </c>
      <c r="BM265" s="2193" t="s">
        <v>4468</v>
      </c>
    </row>
    <row r="266" spans="2:65" s="2070" customFormat="1" ht="16.5" customHeight="1">
      <c r="B266" s="2164"/>
      <c r="C266" s="4608" t="s">
        <v>2191</v>
      </c>
      <c r="D266" s="4608" t="s">
        <v>3286</v>
      </c>
      <c r="E266" s="4609" t="s">
        <v>4469</v>
      </c>
      <c r="F266" s="4610" t="s">
        <v>4470</v>
      </c>
      <c r="G266" s="4611" t="s">
        <v>141</v>
      </c>
      <c r="H266" s="4612">
        <v>63</v>
      </c>
      <c r="I266" s="4613"/>
      <c r="J266" s="4613">
        <f t="shared" si="0"/>
        <v>0</v>
      </c>
      <c r="K266" s="4610" t="s">
        <v>142</v>
      </c>
      <c r="L266" s="2071"/>
      <c r="M266" s="2190" t="s">
        <v>3146</v>
      </c>
      <c r="N266" s="2163" t="s">
        <v>3181</v>
      </c>
      <c r="O266" s="2191">
        <v>0.25</v>
      </c>
      <c r="P266" s="2191">
        <f t="shared" si="1"/>
        <v>15.75</v>
      </c>
      <c r="Q266" s="2191">
        <v>1.1999999999999999E-3</v>
      </c>
      <c r="R266" s="2191">
        <f t="shared" si="2"/>
        <v>7.5599999999999987E-2</v>
      </c>
      <c r="S266" s="2191">
        <v>0</v>
      </c>
      <c r="T266" s="2192">
        <f t="shared" si="3"/>
        <v>0</v>
      </c>
      <c r="AR266" s="2193" t="s">
        <v>2894</v>
      </c>
      <c r="AT266" s="2193" t="s">
        <v>3286</v>
      </c>
      <c r="AU266" s="2193" t="s">
        <v>134</v>
      </c>
      <c r="AY266" s="2056" t="s">
        <v>3285</v>
      </c>
      <c r="BE266" s="2194">
        <f t="shared" si="4"/>
        <v>0</v>
      </c>
      <c r="BF266" s="2194">
        <f t="shared" si="5"/>
        <v>0</v>
      </c>
      <c r="BG266" s="2194">
        <f t="shared" si="6"/>
        <v>0</v>
      </c>
      <c r="BH266" s="2194">
        <f t="shared" si="7"/>
        <v>0</v>
      </c>
      <c r="BI266" s="2194">
        <f t="shared" si="8"/>
        <v>0</v>
      </c>
      <c r="BJ266" s="2056" t="s">
        <v>134</v>
      </c>
      <c r="BK266" s="2194">
        <f t="shared" si="9"/>
        <v>0</v>
      </c>
      <c r="BL266" s="2056" t="s">
        <v>2894</v>
      </c>
      <c r="BM266" s="2193" t="s">
        <v>4471</v>
      </c>
    </row>
    <row r="267" spans="2:65" s="2070" customFormat="1" ht="24.2" customHeight="1">
      <c r="B267" s="2164"/>
      <c r="C267" s="4608" t="s">
        <v>3482</v>
      </c>
      <c r="D267" s="4608" t="s">
        <v>3286</v>
      </c>
      <c r="E267" s="4609" t="s">
        <v>11038</v>
      </c>
      <c r="F267" s="4610" t="s">
        <v>11039</v>
      </c>
      <c r="G267" s="4611" t="s">
        <v>611</v>
      </c>
      <c r="H267" s="4612">
        <v>1944.22</v>
      </c>
      <c r="I267" s="4613"/>
      <c r="J267" s="4613">
        <f t="shared" si="0"/>
        <v>0</v>
      </c>
      <c r="K267" s="4610" t="s">
        <v>142</v>
      </c>
      <c r="L267" s="2071"/>
      <c r="M267" s="2190" t="s">
        <v>3146</v>
      </c>
      <c r="N267" s="2163" t="s">
        <v>3181</v>
      </c>
      <c r="O267" s="2191">
        <v>0.32100000000000001</v>
      </c>
      <c r="P267" s="2191">
        <f t="shared" si="1"/>
        <v>624.09462000000008</v>
      </c>
      <c r="Q267" s="2191">
        <v>6.9999999999999999E-4</v>
      </c>
      <c r="R267" s="2191">
        <f t="shared" si="2"/>
        <v>1.360954</v>
      </c>
      <c r="S267" s="2191">
        <v>0</v>
      </c>
      <c r="T267" s="2192">
        <f t="shared" si="3"/>
        <v>0</v>
      </c>
      <c r="AR267" s="2193" t="s">
        <v>2894</v>
      </c>
      <c r="AT267" s="2193" t="s">
        <v>3286</v>
      </c>
      <c r="AU267" s="2193" t="s">
        <v>134</v>
      </c>
      <c r="AY267" s="2056" t="s">
        <v>3285</v>
      </c>
      <c r="BE267" s="2194">
        <f t="shared" si="4"/>
        <v>0</v>
      </c>
      <c r="BF267" s="2194">
        <f t="shared" si="5"/>
        <v>0</v>
      </c>
      <c r="BG267" s="2194">
        <f t="shared" si="6"/>
        <v>0</v>
      </c>
      <c r="BH267" s="2194">
        <f t="shared" si="7"/>
        <v>0</v>
      </c>
      <c r="BI267" s="2194">
        <f t="shared" si="8"/>
        <v>0</v>
      </c>
      <c r="BJ267" s="2056" t="s">
        <v>134</v>
      </c>
      <c r="BK267" s="2194">
        <f t="shared" si="9"/>
        <v>0</v>
      </c>
      <c r="BL267" s="2056" t="s">
        <v>2894</v>
      </c>
      <c r="BM267" s="2193" t="s">
        <v>4472</v>
      </c>
    </row>
    <row r="268" spans="2:65" s="2209" customFormat="1">
      <c r="B268" s="2210"/>
      <c r="D268" s="2197" t="s">
        <v>3303</v>
      </c>
      <c r="E268" s="2211" t="s">
        <v>3146</v>
      </c>
      <c r="F268" s="2212" t="s">
        <v>4473</v>
      </c>
      <c r="H268" s="2213">
        <v>1927.52</v>
      </c>
      <c r="L268" s="2210"/>
      <c r="M268" s="2214"/>
      <c r="T268" s="2215"/>
      <c r="AT268" s="2211" t="s">
        <v>3303</v>
      </c>
      <c r="AU268" s="2211" t="s">
        <v>134</v>
      </c>
      <c r="AV268" s="2209" t="s">
        <v>134</v>
      </c>
      <c r="AW268" s="2209" t="s">
        <v>3171</v>
      </c>
      <c r="AX268" s="2209" t="s">
        <v>3213</v>
      </c>
      <c r="AY268" s="2211" t="s">
        <v>3285</v>
      </c>
    </row>
    <row r="269" spans="2:65" s="2209" customFormat="1">
      <c r="B269" s="2210"/>
      <c r="D269" s="2197" t="s">
        <v>3303</v>
      </c>
      <c r="E269" s="2211" t="s">
        <v>3146</v>
      </c>
      <c r="F269" s="2212" t="s">
        <v>11040</v>
      </c>
      <c r="H269" s="2213">
        <v>16.7</v>
      </c>
      <c r="L269" s="2210"/>
      <c r="M269" s="2214"/>
      <c r="T269" s="2215"/>
      <c r="AT269" s="2211" t="s">
        <v>3303</v>
      </c>
      <c r="AU269" s="2211" t="s">
        <v>134</v>
      </c>
      <c r="AV269" s="2209" t="s">
        <v>134</v>
      </c>
      <c r="AW269" s="2209" t="s">
        <v>3171</v>
      </c>
      <c r="AX269" s="2209" t="s">
        <v>3213</v>
      </c>
      <c r="AY269" s="2211" t="s">
        <v>3285</v>
      </c>
    </row>
    <row r="270" spans="2:65" s="2216" customFormat="1">
      <c r="B270" s="2217"/>
      <c r="D270" s="2197" t="s">
        <v>3303</v>
      </c>
      <c r="E270" s="2218" t="s">
        <v>3146</v>
      </c>
      <c r="F270" s="2219" t="s">
        <v>3306</v>
      </c>
      <c r="H270" s="2220">
        <v>1944.22</v>
      </c>
      <c r="L270" s="2217"/>
      <c r="M270" s="2221"/>
      <c r="T270" s="2222"/>
      <c r="AT270" s="2218" t="s">
        <v>3303</v>
      </c>
      <c r="AU270" s="2218" t="s">
        <v>134</v>
      </c>
      <c r="AV270" s="2216" t="s">
        <v>856</v>
      </c>
      <c r="AW270" s="2216" t="s">
        <v>3171</v>
      </c>
      <c r="AX270" s="2216" t="s">
        <v>133</v>
      </c>
      <c r="AY270" s="2218" t="s">
        <v>3285</v>
      </c>
    </row>
    <row r="271" spans="2:65" s="2070" customFormat="1" ht="24.2" customHeight="1">
      <c r="B271" s="2164"/>
      <c r="C271" s="4614" t="s">
        <v>3485</v>
      </c>
      <c r="D271" s="4614" t="s">
        <v>135</v>
      </c>
      <c r="E271" s="4615" t="s">
        <v>4474</v>
      </c>
      <c r="F271" s="4616" t="s">
        <v>4475</v>
      </c>
      <c r="G271" s="4617" t="s">
        <v>611</v>
      </c>
      <c r="H271" s="4618">
        <v>2235.8530000000001</v>
      </c>
      <c r="I271" s="4619"/>
      <c r="J271" s="4619">
        <f>ROUND(I271*H271,2)</f>
        <v>0</v>
      </c>
      <c r="K271" s="4616" t="s">
        <v>142</v>
      </c>
      <c r="L271" s="2223"/>
      <c r="M271" s="2224" t="s">
        <v>3146</v>
      </c>
      <c r="N271" s="2225" t="s">
        <v>3181</v>
      </c>
      <c r="O271" s="2191">
        <v>0</v>
      </c>
      <c r="P271" s="2191">
        <f>O271*H271</f>
        <v>0</v>
      </c>
      <c r="Q271" s="2191">
        <v>3.3999999999999998E-3</v>
      </c>
      <c r="R271" s="2191">
        <f>Q271*H271</f>
        <v>7.6019002000000002</v>
      </c>
      <c r="S271" s="2191">
        <v>0</v>
      </c>
      <c r="T271" s="2192">
        <f>S271*H271</f>
        <v>0</v>
      </c>
      <c r="AR271" s="2193" t="s">
        <v>3389</v>
      </c>
      <c r="AT271" s="2193" t="s">
        <v>135</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4476</v>
      </c>
    </row>
    <row r="272" spans="2:65" s="2209" customFormat="1">
      <c r="B272" s="2210"/>
      <c r="D272" s="2197" t="s">
        <v>3303</v>
      </c>
      <c r="F272" s="2212" t="s">
        <v>11041</v>
      </c>
      <c r="H272" s="2213">
        <v>2235.8530000000001</v>
      </c>
      <c r="L272" s="2210"/>
      <c r="M272" s="2214"/>
      <c r="T272" s="2215"/>
      <c r="AT272" s="2211" t="s">
        <v>3303</v>
      </c>
      <c r="AU272" s="2211" t="s">
        <v>134</v>
      </c>
      <c r="AV272" s="2209" t="s">
        <v>134</v>
      </c>
      <c r="AW272" s="2209" t="s">
        <v>3148</v>
      </c>
      <c r="AX272" s="2209" t="s">
        <v>133</v>
      </c>
      <c r="AY272" s="2211" t="s">
        <v>3285</v>
      </c>
    </row>
    <row r="273" spans="2:65" s="2070" customFormat="1" ht="24.2" customHeight="1">
      <c r="B273" s="2164"/>
      <c r="C273" s="4608" t="s">
        <v>2433</v>
      </c>
      <c r="D273" s="4608" t="s">
        <v>3286</v>
      </c>
      <c r="E273" s="4609" t="s">
        <v>11038</v>
      </c>
      <c r="F273" s="4610" t="s">
        <v>11039</v>
      </c>
      <c r="G273" s="4611" t="s">
        <v>611</v>
      </c>
      <c r="H273" s="4612">
        <v>61.99</v>
      </c>
      <c r="I273" s="4613"/>
      <c r="J273" s="4613">
        <f>ROUND(I273*H273,2)</f>
        <v>0</v>
      </c>
      <c r="K273" s="4610" t="s">
        <v>142</v>
      </c>
      <c r="L273" s="2071"/>
      <c r="M273" s="2190" t="s">
        <v>3146</v>
      </c>
      <c r="N273" s="2163" t="s">
        <v>3181</v>
      </c>
      <c r="O273" s="2191">
        <v>0.32100000000000001</v>
      </c>
      <c r="P273" s="2191">
        <f>O273*H273</f>
        <v>19.898790000000002</v>
      </c>
      <c r="Q273" s="2191">
        <v>6.9999999999999999E-4</v>
      </c>
      <c r="R273" s="2191">
        <f>Q273*H273</f>
        <v>4.3393000000000001E-2</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4477</v>
      </c>
    </row>
    <row r="274" spans="2:65" s="2209" customFormat="1">
      <c r="B274" s="2210"/>
      <c r="D274" s="2197" t="s">
        <v>3303</v>
      </c>
      <c r="E274" s="2211" t="s">
        <v>3146</v>
      </c>
      <c r="F274" s="2212" t="s">
        <v>4279</v>
      </c>
      <c r="H274" s="2213">
        <v>61.99</v>
      </c>
      <c r="L274" s="2210"/>
      <c r="M274" s="2214"/>
      <c r="T274" s="2215"/>
      <c r="AT274" s="2211" t="s">
        <v>3303</v>
      </c>
      <c r="AU274" s="2211" t="s">
        <v>134</v>
      </c>
      <c r="AV274" s="2209" t="s">
        <v>134</v>
      </c>
      <c r="AW274" s="2209" t="s">
        <v>3171</v>
      </c>
      <c r="AX274" s="2209" t="s">
        <v>3213</v>
      </c>
      <c r="AY274" s="2211" t="s">
        <v>3285</v>
      </c>
    </row>
    <row r="275" spans="2:65" s="2216" customFormat="1">
      <c r="B275" s="2217"/>
      <c r="D275" s="2197" t="s">
        <v>3303</v>
      </c>
      <c r="E275" s="2218" t="s">
        <v>3146</v>
      </c>
      <c r="F275" s="2219" t="s">
        <v>3306</v>
      </c>
      <c r="H275" s="2220">
        <v>61.99</v>
      </c>
      <c r="L275" s="2217"/>
      <c r="M275" s="2221"/>
      <c r="T275" s="2222"/>
      <c r="AT275" s="2218" t="s">
        <v>3303</v>
      </c>
      <c r="AU275" s="2218" t="s">
        <v>134</v>
      </c>
      <c r="AV275" s="2216" t="s">
        <v>856</v>
      </c>
      <c r="AW275" s="2216" t="s">
        <v>3171</v>
      </c>
      <c r="AX275" s="2216" t="s">
        <v>133</v>
      </c>
      <c r="AY275" s="2218" t="s">
        <v>3285</v>
      </c>
    </row>
    <row r="276" spans="2:65" s="2070" customFormat="1" ht="37.9" customHeight="1">
      <c r="B276" s="2164"/>
      <c r="C276" s="4614" t="s">
        <v>1452</v>
      </c>
      <c r="D276" s="4614" t="s">
        <v>135</v>
      </c>
      <c r="E276" s="4615" t="s">
        <v>4478</v>
      </c>
      <c r="F276" s="4616" t="s">
        <v>4479</v>
      </c>
      <c r="G276" s="4617" t="s">
        <v>611</v>
      </c>
      <c r="H276" s="4618">
        <v>68.188999999999993</v>
      </c>
      <c r="I276" s="4619"/>
      <c r="J276" s="4619">
        <f>ROUND(I276*H276,2)</f>
        <v>0</v>
      </c>
      <c r="K276" s="4616" t="s">
        <v>142</v>
      </c>
      <c r="L276" s="2223"/>
      <c r="M276" s="2224" t="s">
        <v>3146</v>
      </c>
      <c r="N276" s="2225" t="s">
        <v>3181</v>
      </c>
      <c r="O276" s="2191">
        <v>0</v>
      </c>
      <c r="P276" s="2191">
        <f>O276*H276</f>
        <v>0</v>
      </c>
      <c r="Q276" s="2191">
        <v>3.0000000000000001E-3</v>
      </c>
      <c r="R276" s="2191">
        <f>Q276*H276</f>
        <v>0.20456699999999997</v>
      </c>
      <c r="S276" s="2191">
        <v>0</v>
      </c>
      <c r="T276" s="2192">
        <f>S276*H276</f>
        <v>0</v>
      </c>
      <c r="AR276" s="2193" t="s">
        <v>3389</v>
      </c>
      <c r="AT276" s="2193" t="s">
        <v>135</v>
      </c>
      <c r="AU276" s="2193" t="s">
        <v>134</v>
      </c>
      <c r="AY276" s="2056" t="s">
        <v>3285</v>
      </c>
      <c r="BE276" s="2194">
        <f>IF(N276="základní",J276,0)</f>
        <v>0</v>
      </c>
      <c r="BF276" s="2194">
        <f>IF(N276="snížená",J276,0)</f>
        <v>0</v>
      </c>
      <c r="BG276" s="2194">
        <f>IF(N276="zákl. přenesená",J276,0)</f>
        <v>0</v>
      </c>
      <c r="BH276" s="2194">
        <f>IF(N276="sníž. přenesená",J276,0)</f>
        <v>0</v>
      </c>
      <c r="BI276" s="2194">
        <f>IF(N276="nulová",J276,0)</f>
        <v>0</v>
      </c>
      <c r="BJ276" s="2056" t="s">
        <v>134</v>
      </c>
      <c r="BK276" s="2194">
        <f>ROUND(I276*H276,2)</f>
        <v>0</v>
      </c>
      <c r="BL276" s="2056" t="s">
        <v>2894</v>
      </c>
      <c r="BM276" s="2193" t="s">
        <v>4480</v>
      </c>
    </row>
    <row r="277" spans="2:65" s="2209" customFormat="1">
      <c r="B277" s="2210"/>
      <c r="D277" s="2197" t="s">
        <v>3303</v>
      </c>
      <c r="F277" s="2212" t="s">
        <v>4481</v>
      </c>
      <c r="H277" s="2213">
        <v>68.188999999999993</v>
      </c>
      <c r="L277" s="2210"/>
      <c r="M277" s="2214"/>
      <c r="T277" s="2215"/>
      <c r="AT277" s="2211" t="s">
        <v>3303</v>
      </c>
      <c r="AU277" s="2211" t="s">
        <v>134</v>
      </c>
      <c r="AV277" s="2209" t="s">
        <v>134</v>
      </c>
      <c r="AW277" s="2209" t="s">
        <v>3148</v>
      </c>
      <c r="AX277" s="2209" t="s">
        <v>133</v>
      </c>
      <c r="AY277" s="2211" t="s">
        <v>3285</v>
      </c>
    </row>
    <row r="278" spans="2:65" s="2070" customFormat="1" ht="24.2" customHeight="1">
      <c r="B278" s="2164"/>
      <c r="C278" s="4608" t="s">
        <v>3497</v>
      </c>
      <c r="D278" s="4608" t="s">
        <v>3286</v>
      </c>
      <c r="E278" s="4609" t="s">
        <v>11042</v>
      </c>
      <c r="F278" s="4610" t="s">
        <v>11043</v>
      </c>
      <c r="G278" s="4611" t="s">
        <v>141</v>
      </c>
      <c r="H278" s="4612">
        <v>1003.105</v>
      </c>
      <c r="I278" s="4613"/>
      <c r="J278" s="4613">
        <f>ROUND(I278*H278,2)</f>
        <v>0</v>
      </c>
      <c r="K278" s="4610" t="s">
        <v>142</v>
      </c>
      <c r="L278" s="2071"/>
      <c r="M278" s="2190" t="s">
        <v>3146</v>
      </c>
      <c r="N278" s="2163" t="s">
        <v>3181</v>
      </c>
      <c r="O278" s="2191">
        <v>9.8000000000000004E-2</v>
      </c>
      <c r="P278" s="2191">
        <f>O278*H278</f>
        <v>98.304290000000009</v>
      </c>
      <c r="Q278" s="2191">
        <v>2.0000000000000002E-5</v>
      </c>
      <c r="R278" s="2191">
        <f>Q278*H278</f>
        <v>2.0062100000000003E-2</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11044</v>
      </c>
    </row>
    <row r="279" spans="2:65" s="2209" customFormat="1">
      <c r="B279" s="2210"/>
      <c r="D279" s="2197" t="s">
        <v>3303</v>
      </c>
      <c r="E279" s="2211" t="s">
        <v>3146</v>
      </c>
      <c r="F279" s="2212" t="s">
        <v>11045</v>
      </c>
      <c r="H279" s="2213">
        <v>1003.105</v>
      </c>
      <c r="L279" s="2210"/>
      <c r="M279" s="2214"/>
      <c r="T279" s="2215"/>
      <c r="AT279" s="2211" t="s">
        <v>3303</v>
      </c>
      <c r="AU279" s="2211" t="s">
        <v>134</v>
      </c>
      <c r="AV279" s="2209" t="s">
        <v>134</v>
      </c>
      <c r="AW279" s="2209" t="s">
        <v>3171</v>
      </c>
      <c r="AX279" s="2209" t="s">
        <v>133</v>
      </c>
      <c r="AY279" s="2211" t="s">
        <v>3285</v>
      </c>
    </row>
    <row r="280" spans="2:65" s="2070" customFormat="1" ht="24.2" customHeight="1">
      <c r="B280" s="2164"/>
      <c r="C280" s="4608" t="s">
        <v>3502</v>
      </c>
      <c r="D280" s="4608" t="s">
        <v>3286</v>
      </c>
      <c r="E280" s="4609" t="s">
        <v>4482</v>
      </c>
      <c r="F280" s="4610" t="s">
        <v>4483</v>
      </c>
      <c r="G280" s="4611" t="s">
        <v>141</v>
      </c>
      <c r="H280" s="4612">
        <v>126</v>
      </c>
      <c r="I280" s="4613"/>
      <c r="J280" s="4613">
        <f>ROUND(I280*H280,2)</f>
        <v>0</v>
      </c>
      <c r="K280" s="4610" t="s">
        <v>142</v>
      </c>
      <c r="L280" s="2071"/>
      <c r="M280" s="2190" t="s">
        <v>3146</v>
      </c>
      <c r="N280" s="2163" t="s">
        <v>3181</v>
      </c>
      <c r="O280" s="2191">
        <v>0.189</v>
      </c>
      <c r="P280" s="2191">
        <f>O280*H280</f>
        <v>23.814</v>
      </c>
      <c r="Q280" s="2191">
        <v>1.2E-4</v>
      </c>
      <c r="R280" s="2191">
        <f>Q280*H280</f>
        <v>1.512E-2</v>
      </c>
      <c r="S280" s="2191">
        <v>0</v>
      </c>
      <c r="T280" s="2192">
        <f>S280*H280</f>
        <v>0</v>
      </c>
      <c r="AR280" s="2193" t="s">
        <v>2894</v>
      </c>
      <c r="AT280" s="2193" t="s">
        <v>3286</v>
      </c>
      <c r="AU280" s="2193" t="s">
        <v>134</v>
      </c>
      <c r="AY280" s="2056" t="s">
        <v>3285</v>
      </c>
      <c r="BE280" s="2194">
        <f>IF(N280="základní",J280,0)</f>
        <v>0</v>
      </c>
      <c r="BF280" s="2194">
        <f>IF(N280="snížená",J280,0)</f>
        <v>0</v>
      </c>
      <c r="BG280" s="2194">
        <f>IF(N280="zákl. přenesená",J280,0)</f>
        <v>0</v>
      </c>
      <c r="BH280" s="2194">
        <f>IF(N280="sníž. přenesená",J280,0)</f>
        <v>0</v>
      </c>
      <c r="BI280" s="2194">
        <f>IF(N280="nulová",J280,0)</f>
        <v>0</v>
      </c>
      <c r="BJ280" s="2056" t="s">
        <v>134</v>
      </c>
      <c r="BK280" s="2194">
        <f>ROUND(I280*H280,2)</f>
        <v>0</v>
      </c>
      <c r="BL280" s="2056" t="s">
        <v>2894</v>
      </c>
      <c r="BM280" s="2193" t="s">
        <v>4484</v>
      </c>
    </row>
    <row r="281" spans="2:65" s="2209" customFormat="1">
      <c r="B281" s="2210"/>
      <c r="D281" s="2197" t="s">
        <v>3303</v>
      </c>
      <c r="E281" s="2211" t="s">
        <v>3146</v>
      </c>
      <c r="F281" s="2212" t="s">
        <v>4485</v>
      </c>
      <c r="H281" s="2213">
        <v>126</v>
      </c>
      <c r="L281" s="2210"/>
      <c r="M281" s="2214"/>
      <c r="T281" s="2215"/>
      <c r="AT281" s="2211" t="s">
        <v>3303</v>
      </c>
      <c r="AU281" s="2211" t="s">
        <v>134</v>
      </c>
      <c r="AV281" s="2209" t="s">
        <v>134</v>
      </c>
      <c r="AW281" s="2209" t="s">
        <v>3171</v>
      </c>
      <c r="AX281" s="2209" t="s">
        <v>133</v>
      </c>
      <c r="AY281" s="2211" t="s">
        <v>3285</v>
      </c>
    </row>
    <row r="282" spans="2:65" s="2070" customFormat="1" ht="24.2" customHeight="1">
      <c r="B282" s="2164"/>
      <c r="C282" s="4614" t="s">
        <v>2225</v>
      </c>
      <c r="D282" s="4614" t="s">
        <v>135</v>
      </c>
      <c r="E282" s="4615" t="s">
        <v>4474</v>
      </c>
      <c r="F282" s="4616" t="s">
        <v>4475</v>
      </c>
      <c r="G282" s="4617" t="s">
        <v>611</v>
      </c>
      <c r="H282" s="4618">
        <v>41.58</v>
      </c>
      <c r="I282" s="4619"/>
      <c r="J282" s="4619">
        <f>ROUND(I282*H282,2)</f>
        <v>0</v>
      </c>
      <c r="K282" s="4616" t="s">
        <v>142</v>
      </c>
      <c r="L282" s="2223"/>
      <c r="M282" s="2224" t="s">
        <v>3146</v>
      </c>
      <c r="N282" s="2225" t="s">
        <v>3181</v>
      </c>
      <c r="O282" s="2191">
        <v>0</v>
      </c>
      <c r="P282" s="2191">
        <f>O282*H282</f>
        <v>0</v>
      </c>
      <c r="Q282" s="2191">
        <v>3.3999999999999998E-3</v>
      </c>
      <c r="R282" s="2191">
        <f>Q282*H282</f>
        <v>0.141372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4486</v>
      </c>
    </row>
    <row r="283" spans="2:65" s="2209" customFormat="1">
      <c r="B283" s="2210"/>
      <c r="D283" s="2197" t="s">
        <v>3303</v>
      </c>
      <c r="F283" s="2212" t="s">
        <v>4487</v>
      </c>
      <c r="H283" s="2213">
        <v>41.58</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2743</v>
      </c>
      <c r="D284" s="4608" t="s">
        <v>3286</v>
      </c>
      <c r="E284" s="4609" t="s">
        <v>4488</v>
      </c>
      <c r="F284" s="4610" t="s">
        <v>4489</v>
      </c>
      <c r="G284" s="4611" t="s">
        <v>141</v>
      </c>
      <c r="H284" s="4612">
        <v>126</v>
      </c>
      <c r="I284" s="4613"/>
      <c r="J284" s="4613">
        <f>ROUND(I284*H284,2)</f>
        <v>0</v>
      </c>
      <c r="K284" s="4610" t="s">
        <v>142</v>
      </c>
      <c r="L284" s="2071"/>
      <c r="M284" s="2190" t="s">
        <v>3146</v>
      </c>
      <c r="N284" s="2163" t="s">
        <v>3181</v>
      </c>
      <c r="O284" s="2191">
        <v>0.28299999999999997</v>
      </c>
      <c r="P284" s="2191">
        <f>O284*H284</f>
        <v>35.657999999999994</v>
      </c>
      <c r="Q284" s="2191">
        <v>8.0000000000000007E-5</v>
      </c>
      <c r="R284" s="2191">
        <f>Q284*H284</f>
        <v>1.008E-2</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4490</v>
      </c>
    </row>
    <row r="285" spans="2:65" s="2070" customFormat="1" ht="24.2" customHeight="1">
      <c r="B285" s="2164"/>
      <c r="C285" s="4614" t="s">
        <v>2750</v>
      </c>
      <c r="D285" s="4614" t="s">
        <v>135</v>
      </c>
      <c r="E285" s="4615" t="s">
        <v>4474</v>
      </c>
      <c r="F285" s="4616" t="s">
        <v>4475</v>
      </c>
      <c r="G285" s="4617" t="s">
        <v>611</v>
      </c>
      <c r="H285" s="4618">
        <v>27.72</v>
      </c>
      <c r="I285" s="4619"/>
      <c r="J285" s="4619">
        <f>ROUND(I285*H285,2)</f>
        <v>0</v>
      </c>
      <c r="K285" s="4616" t="s">
        <v>142</v>
      </c>
      <c r="L285" s="2223"/>
      <c r="M285" s="2224" t="s">
        <v>3146</v>
      </c>
      <c r="N285" s="2225" t="s">
        <v>3181</v>
      </c>
      <c r="O285" s="2191">
        <v>0</v>
      </c>
      <c r="P285" s="2191">
        <f>O285*H285</f>
        <v>0</v>
      </c>
      <c r="Q285" s="2191">
        <v>3.3999999999999998E-3</v>
      </c>
      <c r="R285" s="2191">
        <f>Q285*H285</f>
        <v>9.4247999999999985E-2</v>
      </c>
      <c r="S285" s="2191">
        <v>0</v>
      </c>
      <c r="T285" s="2192">
        <f>S285*H285</f>
        <v>0</v>
      </c>
      <c r="AR285" s="2193" t="s">
        <v>3389</v>
      </c>
      <c r="AT285" s="2193" t="s">
        <v>135</v>
      </c>
      <c r="AU285" s="2193" t="s">
        <v>134</v>
      </c>
      <c r="AY285" s="2056" t="s">
        <v>3285</v>
      </c>
      <c r="BE285" s="2194">
        <f>IF(N285="základní",J285,0)</f>
        <v>0</v>
      </c>
      <c r="BF285" s="2194">
        <f>IF(N285="snížená",J285,0)</f>
        <v>0</v>
      </c>
      <c r="BG285" s="2194">
        <f>IF(N285="zákl. přenesená",J285,0)</f>
        <v>0</v>
      </c>
      <c r="BH285" s="2194">
        <f>IF(N285="sníž. přenesená",J285,0)</f>
        <v>0</v>
      </c>
      <c r="BI285" s="2194">
        <f>IF(N285="nulová",J285,0)</f>
        <v>0</v>
      </c>
      <c r="BJ285" s="2056" t="s">
        <v>134</v>
      </c>
      <c r="BK285" s="2194">
        <f>ROUND(I285*H285,2)</f>
        <v>0</v>
      </c>
      <c r="BL285" s="2056" t="s">
        <v>2894</v>
      </c>
      <c r="BM285" s="2193" t="s">
        <v>4491</v>
      </c>
    </row>
    <row r="286" spans="2:65" s="2209" customFormat="1">
      <c r="B286" s="2210"/>
      <c r="D286" s="2197" t="s">
        <v>3303</v>
      </c>
      <c r="F286" s="2212" t="s">
        <v>4492</v>
      </c>
      <c r="H286" s="2213">
        <v>27.72</v>
      </c>
      <c r="L286" s="2210"/>
      <c r="M286" s="2214"/>
      <c r="T286" s="2215"/>
      <c r="AT286" s="2211" t="s">
        <v>3303</v>
      </c>
      <c r="AU286" s="2211" t="s">
        <v>134</v>
      </c>
      <c r="AV286" s="2209" t="s">
        <v>134</v>
      </c>
      <c r="AW286" s="2209" t="s">
        <v>3148</v>
      </c>
      <c r="AX286" s="2209" t="s">
        <v>133</v>
      </c>
      <c r="AY286" s="2211" t="s">
        <v>3285</v>
      </c>
    </row>
    <row r="287" spans="2:65" s="2070" customFormat="1" ht="24.2" customHeight="1">
      <c r="B287" s="2164"/>
      <c r="C287" s="4608" t="s">
        <v>2756</v>
      </c>
      <c r="D287" s="4608" t="s">
        <v>3286</v>
      </c>
      <c r="E287" s="4609" t="s">
        <v>4493</v>
      </c>
      <c r="F287" s="4610" t="s">
        <v>4494</v>
      </c>
      <c r="G287" s="4611" t="s">
        <v>141</v>
      </c>
      <c r="H287" s="4612">
        <v>3549.2350000000001</v>
      </c>
      <c r="I287" s="4613"/>
      <c r="J287" s="4613">
        <f>ROUND(I287*H287,2)</f>
        <v>0</v>
      </c>
      <c r="K287" s="4610" t="s">
        <v>142</v>
      </c>
      <c r="L287" s="2071"/>
      <c r="M287" s="2190" t="s">
        <v>3146</v>
      </c>
      <c r="N287" s="2163" t="s">
        <v>3181</v>
      </c>
      <c r="O287" s="2191">
        <v>0.38900000000000001</v>
      </c>
      <c r="P287" s="2191">
        <f>O287*H287</f>
        <v>1380.652415</v>
      </c>
      <c r="Q287" s="2191">
        <v>6.0000000000000002E-5</v>
      </c>
      <c r="R287" s="2191">
        <f>Q287*H287</f>
        <v>0.21295410000000001</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4495</v>
      </c>
    </row>
    <row r="288" spans="2:65" s="2209" customFormat="1">
      <c r="B288" s="2210"/>
      <c r="D288" s="2197" t="s">
        <v>3303</v>
      </c>
      <c r="E288" s="2211" t="s">
        <v>3146</v>
      </c>
      <c r="F288" s="2212" t="s">
        <v>4496</v>
      </c>
      <c r="H288" s="2213">
        <v>59.164999999999999</v>
      </c>
      <c r="L288" s="2210"/>
      <c r="M288" s="2214"/>
      <c r="T288" s="2215"/>
      <c r="AT288" s="2211" t="s">
        <v>3303</v>
      </c>
      <c r="AU288" s="2211" t="s">
        <v>134</v>
      </c>
      <c r="AV288" s="2209" t="s">
        <v>134</v>
      </c>
      <c r="AW288" s="2209" t="s">
        <v>3171</v>
      </c>
      <c r="AX288" s="2209" t="s">
        <v>3213</v>
      </c>
      <c r="AY288" s="2211" t="s">
        <v>3285</v>
      </c>
    </row>
    <row r="289" spans="2:51" s="2209" customFormat="1">
      <c r="B289" s="2210"/>
      <c r="D289" s="2197" t="s">
        <v>3303</v>
      </c>
      <c r="E289" s="2211" t="s">
        <v>3146</v>
      </c>
      <c r="F289" s="2212" t="s">
        <v>4497</v>
      </c>
      <c r="H289" s="2213">
        <v>880.41</v>
      </c>
      <c r="L289" s="2210"/>
      <c r="M289" s="2214"/>
      <c r="T289" s="2215"/>
      <c r="AT289" s="2211" t="s">
        <v>3303</v>
      </c>
      <c r="AU289" s="2211" t="s">
        <v>134</v>
      </c>
      <c r="AV289" s="2209" t="s">
        <v>134</v>
      </c>
      <c r="AW289" s="2209" t="s">
        <v>3171</v>
      </c>
      <c r="AX289" s="2209" t="s">
        <v>3213</v>
      </c>
      <c r="AY289" s="2211" t="s">
        <v>3285</v>
      </c>
    </row>
    <row r="290" spans="2:51" s="2209" customFormat="1" ht="33.75">
      <c r="B290" s="2210"/>
      <c r="D290" s="2197" t="s">
        <v>3303</v>
      </c>
      <c r="E290" s="2211" t="s">
        <v>3146</v>
      </c>
      <c r="F290" s="2212" t="s">
        <v>4498</v>
      </c>
      <c r="H290" s="2213">
        <v>178.56</v>
      </c>
      <c r="L290" s="2210"/>
      <c r="M290" s="2214"/>
      <c r="T290" s="2215"/>
      <c r="AT290" s="2211" t="s">
        <v>3303</v>
      </c>
      <c r="AU290" s="2211" t="s">
        <v>134</v>
      </c>
      <c r="AV290" s="2209" t="s">
        <v>134</v>
      </c>
      <c r="AW290" s="2209" t="s">
        <v>3171</v>
      </c>
      <c r="AX290" s="2209" t="s">
        <v>3213</v>
      </c>
      <c r="AY290" s="2211" t="s">
        <v>3285</v>
      </c>
    </row>
    <row r="291" spans="2:51" s="2209" customFormat="1" ht="22.5">
      <c r="B291" s="2210"/>
      <c r="D291" s="2197" t="s">
        <v>3303</v>
      </c>
      <c r="E291" s="2211" t="s">
        <v>3146</v>
      </c>
      <c r="F291" s="2212" t="s">
        <v>4499</v>
      </c>
      <c r="H291" s="2213">
        <v>215.45</v>
      </c>
      <c r="L291" s="2210"/>
      <c r="M291" s="2214"/>
      <c r="T291" s="2215"/>
      <c r="AT291" s="2211" t="s">
        <v>3303</v>
      </c>
      <c r="AU291" s="2211" t="s">
        <v>134</v>
      </c>
      <c r="AV291" s="2209" t="s">
        <v>134</v>
      </c>
      <c r="AW291" s="2209" t="s">
        <v>3171</v>
      </c>
      <c r="AX291" s="2209" t="s">
        <v>3213</v>
      </c>
      <c r="AY291" s="2211" t="s">
        <v>3285</v>
      </c>
    </row>
    <row r="292" spans="2:51" s="2209" customFormat="1" ht="22.5">
      <c r="B292" s="2210"/>
      <c r="D292" s="2197" t="s">
        <v>3303</v>
      </c>
      <c r="E292" s="2211" t="s">
        <v>3146</v>
      </c>
      <c r="F292" s="2212" t="s">
        <v>4500</v>
      </c>
      <c r="H292" s="2213">
        <v>362.3</v>
      </c>
      <c r="L292" s="2210"/>
      <c r="M292" s="2214"/>
      <c r="T292" s="2215"/>
      <c r="AT292" s="2211" t="s">
        <v>3303</v>
      </c>
      <c r="AU292" s="2211" t="s">
        <v>134</v>
      </c>
      <c r="AV292" s="2209" t="s">
        <v>134</v>
      </c>
      <c r="AW292" s="2209" t="s">
        <v>3171</v>
      </c>
      <c r="AX292" s="2209" t="s">
        <v>3213</v>
      </c>
      <c r="AY292" s="2211" t="s">
        <v>3285</v>
      </c>
    </row>
    <row r="293" spans="2:51" s="2209" customFormat="1" ht="22.5">
      <c r="B293" s="2210"/>
      <c r="D293" s="2197" t="s">
        <v>3303</v>
      </c>
      <c r="E293" s="2211" t="s">
        <v>3146</v>
      </c>
      <c r="F293" s="2212" t="s">
        <v>4501</v>
      </c>
      <c r="H293" s="2213">
        <v>92.7</v>
      </c>
      <c r="L293" s="2210"/>
      <c r="M293" s="2214"/>
      <c r="T293" s="2215"/>
      <c r="AT293" s="2211" t="s">
        <v>3303</v>
      </c>
      <c r="AU293" s="2211" t="s">
        <v>134</v>
      </c>
      <c r="AV293" s="2209" t="s">
        <v>134</v>
      </c>
      <c r="AW293" s="2209" t="s">
        <v>3171</v>
      </c>
      <c r="AX293" s="2209" t="s">
        <v>3213</v>
      </c>
      <c r="AY293" s="2211" t="s">
        <v>3285</v>
      </c>
    </row>
    <row r="294" spans="2:51" s="2209" customFormat="1" ht="33.75">
      <c r="B294" s="2210"/>
      <c r="D294" s="2197" t="s">
        <v>3303</v>
      </c>
      <c r="E294" s="2211" t="s">
        <v>3146</v>
      </c>
      <c r="F294" s="2212" t="s">
        <v>4502</v>
      </c>
      <c r="H294" s="2213">
        <v>182.4</v>
      </c>
      <c r="L294" s="2210"/>
      <c r="M294" s="2214"/>
      <c r="T294" s="2215"/>
      <c r="AT294" s="2211" t="s">
        <v>3303</v>
      </c>
      <c r="AU294" s="2211" t="s">
        <v>134</v>
      </c>
      <c r="AV294" s="2209" t="s">
        <v>134</v>
      </c>
      <c r="AW294" s="2209" t="s">
        <v>3171</v>
      </c>
      <c r="AX294" s="2209" t="s">
        <v>3213</v>
      </c>
      <c r="AY294" s="2211" t="s">
        <v>3285</v>
      </c>
    </row>
    <row r="295" spans="2:51" s="2209" customFormat="1" ht="22.5">
      <c r="B295" s="2210"/>
      <c r="D295" s="2197" t="s">
        <v>3303</v>
      </c>
      <c r="E295" s="2211" t="s">
        <v>3146</v>
      </c>
      <c r="F295" s="2212" t="s">
        <v>4503</v>
      </c>
      <c r="H295" s="2213">
        <v>127.4</v>
      </c>
      <c r="L295" s="2210"/>
      <c r="M295" s="2214"/>
      <c r="T295" s="2215"/>
      <c r="AT295" s="2211" t="s">
        <v>3303</v>
      </c>
      <c r="AU295" s="2211" t="s">
        <v>134</v>
      </c>
      <c r="AV295" s="2209" t="s">
        <v>134</v>
      </c>
      <c r="AW295" s="2209" t="s">
        <v>3171</v>
      </c>
      <c r="AX295" s="2209" t="s">
        <v>3213</v>
      </c>
      <c r="AY295" s="2211" t="s">
        <v>3285</v>
      </c>
    </row>
    <row r="296" spans="2:51" s="2209" customFormat="1" ht="22.5">
      <c r="B296" s="2210"/>
      <c r="D296" s="2197" t="s">
        <v>3303</v>
      </c>
      <c r="E296" s="2211" t="s">
        <v>3146</v>
      </c>
      <c r="F296" s="2212" t="s">
        <v>4504</v>
      </c>
      <c r="H296" s="2213">
        <v>325.89999999999998</v>
      </c>
      <c r="L296" s="2210"/>
      <c r="M296" s="2214"/>
      <c r="T296" s="2215"/>
      <c r="AT296" s="2211" t="s">
        <v>3303</v>
      </c>
      <c r="AU296" s="2211" t="s">
        <v>134</v>
      </c>
      <c r="AV296" s="2209" t="s">
        <v>134</v>
      </c>
      <c r="AW296" s="2209" t="s">
        <v>3171</v>
      </c>
      <c r="AX296" s="2209" t="s">
        <v>3213</v>
      </c>
      <c r="AY296" s="2211" t="s">
        <v>3285</v>
      </c>
    </row>
    <row r="297" spans="2:51" s="2209" customFormat="1" ht="33.75">
      <c r="B297" s="2210"/>
      <c r="D297" s="2197" t="s">
        <v>3303</v>
      </c>
      <c r="E297" s="2211" t="s">
        <v>3146</v>
      </c>
      <c r="F297" s="2212" t="s">
        <v>4505</v>
      </c>
      <c r="H297" s="2213">
        <v>406.1</v>
      </c>
      <c r="L297" s="2210"/>
      <c r="M297" s="2214"/>
      <c r="T297" s="2215"/>
      <c r="AT297" s="2211" t="s">
        <v>3303</v>
      </c>
      <c r="AU297" s="2211" t="s">
        <v>134</v>
      </c>
      <c r="AV297" s="2209" t="s">
        <v>134</v>
      </c>
      <c r="AW297" s="2209" t="s">
        <v>3171</v>
      </c>
      <c r="AX297" s="2209" t="s">
        <v>3213</v>
      </c>
      <c r="AY297" s="2211" t="s">
        <v>3285</v>
      </c>
    </row>
    <row r="298" spans="2:51" s="2209" customFormat="1">
      <c r="B298" s="2210"/>
      <c r="D298" s="2197" t="s">
        <v>3303</v>
      </c>
      <c r="E298" s="2211" t="s">
        <v>3146</v>
      </c>
      <c r="F298" s="2212" t="s">
        <v>4506</v>
      </c>
      <c r="H298" s="2213">
        <v>19.8</v>
      </c>
      <c r="L298" s="2210"/>
      <c r="M298" s="2214"/>
      <c r="T298" s="2215"/>
      <c r="AT298" s="2211" t="s">
        <v>3303</v>
      </c>
      <c r="AU298" s="2211" t="s">
        <v>134</v>
      </c>
      <c r="AV298" s="2209" t="s">
        <v>134</v>
      </c>
      <c r="AW298" s="2209" t="s">
        <v>3171</v>
      </c>
      <c r="AX298" s="2209" t="s">
        <v>3213</v>
      </c>
      <c r="AY298" s="2211" t="s">
        <v>3285</v>
      </c>
    </row>
    <row r="299" spans="2:51" s="2209" customFormat="1">
      <c r="B299" s="2210"/>
      <c r="D299" s="2197" t="s">
        <v>3303</v>
      </c>
      <c r="E299" s="2211" t="s">
        <v>3146</v>
      </c>
      <c r="F299" s="2212" t="s">
        <v>4507</v>
      </c>
      <c r="H299" s="2213">
        <v>7.2</v>
      </c>
      <c r="L299" s="2210"/>
      <c r="M299" s="2214"/>
      <c r="T299" s="2215"/>
      <c r="AT299" s="2211" t="s">
        <v>3303</v>
      </c>
      <c r="AU299" s="2211" t="s">
        <v>134</v>
      </c>
      <c r="AV299" s="2209" t="s">
        <v>134</v>
      </c>
      <c r="AW299" s="2209" t="s">
        <v>3171</v>
      </c>
      <c r="AX299" s="2209" t="s">
        <v>3213</v>
      </c>
      <c r="AY299" s="2211" t="s">
        <v>3285</v>
      </c>
    </row>
    <row r="300" spans="2:51" s="2209" customFormat="1">
      <c r="B300" s="2210"/>
      <c r="D300" s="2197" t="s">
        <v>3303</v>
      </c>
      <c r="E300" s="2211" t="s">
        <v>3146</v>
      </c>
      <c r="F300" s="2212" t="s">
        <v>4508</v>
      </c>
      <c r="H300" s="2213">
        <v>15.8</v>
      </c>
      <c r="L300" s="2210"/>
      <c r="M300" s="2214"/>
      <c r="T300" s="2215"/>
      <c r="AT300" s="2211" t="s">
        <v>3303</v>
      </c>
      <c r="AU300" s="2211" t="s">
        <v>134</v>
      </c>
      <c r="AV300" s="2209" t="s">
        <v>134</v>
      </c>
      <c r="AW300" s="2209" t="s">
        <v>3171</v>
      </c>
      <c r="AX300" s="2209" t="s">
        <v>3213</v>
      </c>
      <c r="AY300" s="2211" t="s">
        <v>3285</v>
      </c>
    </row>
    <row r="301" spans="2:51" s="2209" customFormat="1" ht="22.5">
      <c r="B301" s="2210"/>
      <c r="D301" s="2197" t="s">
        <v>3303</v>
      </c>
      <c r="E301" s="2211" t="s">
        <v>3146</v>
      </c>
      <c r="F301" s="2212" t="s">
        <v>4509</v>
      </c>
      <c r="H301" s="2213">
        <v>101.1</v>
      </c>
      <c r="L301" s="2210"/>
      <c r="M301" s="2214"/>
      <c r="T301" s="2215"/>
      <c r="AT301" s="2211" t="s">
        <v>3303</v>
      </c>
      <c r="AU301" s="2211" t="s">
        <v>134</v>
      </c>
      <c r="AV301" s="2209" t="s">
        <v>134</v>
      </c>
      <c r="AW301" s="2209" t="s">
        <v>3171</v>
      </c>
      <c r="AX301" s="2209" t="s">
        <v>3213</v>
      </c>
      <c r="AY301" s="2211" t="s">
        <v>3285</v>
      </c>
    </row>
    <row r="302" spans="2:51" s="2209" customFormat="1" ht="33.75">
      <c r="B302" s="2210"/>
      <c r="D302" s="2197" t="s">
        <v>3303</v>
      </c>
      <c r="E302" s="2211" t="s">
        <v>3146</v>
      </c>
      <c r="F302" s="2212" t="s">
        <v>4510</v>
      </c>
      <c r="H302" s="2213">
        <v>195.5</v>
      </c>
      <c r="L302" s="2210"/>
      <c r="M302" s="2214"/>
      <c r="T302" s="2215"/>
      <c r="AT302" s="2211" t="s">
        <v>3303</v>
      </c>
      <c r="AU302" s="2211" t="s">
        <v>134</v>
      </c>
      <c r="AV302" s="2209" t="s">
        <v>134</v>
      </c>
      <c r="AW302" s="2209" t="s">
        <v>3171</v>
      </c>
      <c r="AX302" s="2209" t="s">
        <v>3213</v>
      </c>
      <c r="AY302" s="2211" t="s">
        <v>3285</v>
      </c>
    </row>
    <row r="303" spans="2:51" s="2209" customFormat="1" ht="33.75">
      <c r="B303" s="2210"/>
      <c r="D303" s="2197" t="s">
        <v>3303</v>
      </c>
      <c r="E303" s="2211" t="s">
        <v>3146</v>
      </c>
      <c r="F303" s="2212" t="s">
        <v>4511</v>
      </c>
      <c r="H303" s="2213">
        <v>198</v>
      </c>
      <c r="L303" s="2210"/>
      <c r="M303" s="2214"/>
      <c r="T303" s="2215"/>
      <c r="AT303" s="2211" t="s">
        <v>3303</v>
      </c>
      <c r="AU303" s="2211" t="s">
        <v>134</v>
      </c>
      <c r="AV303" s="2209" t="s">
        <v>134</v>
      </c>
      <c r="AW303" s="2209" t="s">
        <v>3171</v>
      </c>
      <c r="AX303" s="2209" t="s">
        <v>3213</v>
      </c>
      <c r="AY303" s="2211" t="s">
        <v>3285</v>
      </c>
    </row>
    <row r="304" spans="2:51" s="2209" customFormat="1" ht="22.5">
      <c r="B304" s="2210"/>
      <c r="D304" s="2197" t="s">
        <v>3303</v>
      </c>
      <c r="E304" s="2211" t="s">
        <v>3146</v>
      </c>
      <c r="F304" s="2212" t="s">
        <v>4512</v>
      </c>
      <c r="H304" s="2213">
        <v>181.45</v>
      </c>
      <c r="L304" s="2210"/>
      <c r="M304" s="2214"/>
      <c r="T304" s="2215"/>
      <c r="AT304" s="2211" t="s">
        <v>3303</v>
      </c>
      <c r="AU304" s="2211" t="s">
        <v>134</v>
      </c>
      <c r="AV304" s="2209" t="s">
        <v>134</v>
      </c>
      <c r="AW304" s="2209" t="s">
        <v>3171</v>
      </c>
      <c r="AX304" s="2209" t="s">
        <v>3213</v>
      </c>
      <c r="AY304" s="2211" t="s">
        <v>3285</v>
      </c>
    </row>
    <row r="305" spans="2:65" s="2216" customFormat="1">
      <c r="B305" s="2217"/>
      <c r="D305" s="2197" t="s">
        <v>3303</v>
      </c>
      <c r="E305" s="2218" t="s">
        <v>3146</v>
      </c>
      <c r="F305" s="2219" t="s">
        <v>3306</v>
      </c>
      <c r="H305" s="2220">
        <v>3549.2350000000001</v>
      </c>
      <c r="L305" s="2217"/>
      <c r="M305" s="2221"/>
      <c r="T305" s="2222"/>
      <c r="AT305" s="2218" t="s">
        <v>3303</v>
      </c>
      <c r="AU305" s="2218" t="s">
        <v>134</v>
      </c>
      <c r="AV305" s="2216" t="s">
        <v>856</v>
      </c>
      <c r="AW305" s="2216" t="s">
        <v>3171</v>
      </c>
      <c r="AX305" s="2216" t="s">
        <v>133</v>
      </c>
      <c r="AY305" s="2218" t="s">
        <v>3285</v>
      </c>
    </row>
    <row r="306" spans="2:65" s="2070" customFormat="1" ht="24.2" customHeight="1">
      <c r="B306" s="2164"/>
      <c r="C306" s="4614" t="s">
        <v>2758</v>
      </c>
      <c r="D306" s="4614" t="s">
        <v>135</v>
      </c>
      <c r="E306" s="4615" t="s">
        <v>4474</v>
      </c>
      <c r="F306" s="4616" t="s">
        <v>4475</v>
      </c>
      <c r="G306" s="4617" t="s">
        <v>611</v>
      </c>
      <c r="H306" s="4618">
        <v>408.16199999999998</v>
      </c>
      <c r="I306" s="4619"/>
      <c r="J306" s="4619">
        <f>ROUND(I306*H306,2)</f>
        <v>0</v>
      </c>
      <c r="K306" s="4616" t="s">
        <v>142</v>
      </c>
      <c r="L306" s="2223"/>
      <c r="M306" s="2224" t="s">
        <v>3146</v>
      </c>
      <c r="N306" s="2225" t="s">
        <v>3181</v>
      </c>
      <c r="O306" s="2191">
        <v>0</v>
      </c>
      <c r="P306" s="2191">
        <f>O306*H306</f>
        <v>0</v>
      </c>
      <c r="Q306" s="2191">
        <v>3.3999999999999998E-3</v>
      </c>
      <c r="R306" s="2191">
        <f>Q306*H306</f>
        <v>1.3877507999999998</v>
      </c>
      <c r="S306" s="2191">
        <v>0</v>
      </c>
      <c r="T306" s="2192">
        <f>S306*H306</f>
        <v>0</v>
      </c>
      <c r="AR306" s="2193" t="s">
        <v>3389</v>
      </c>
      <c r="AT306" s="2193" t="s">
        <v>135</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4513</v>
      </c>
    </row>
    <row r="307" spans="2:65" s="2209" customFormat="1">
      <c r="B307" s="2210"/>
      <c r="D307" s="2197" t="s">
        <v>3303</v>
      </c>
      <c r="F307" s="2212" t="s">
        <v>4514</v>
      </c>
      <c r="H307" s="2213">
        <v>408.16199999999998</v>
      </c>
      <c r="L307" s="2210"/>
      <c r="M307" s="2214"/>
      <c r="T307" s="2215"/>
      <c r="AT307" s="2211" t="s">
        <v>3303</v>
      </c>
      <c r="AU307" s="2211" t="s">
        <v>134</v>
      </c>
      <c r="AV307" s="2209" t="s">
        <v>134</v>
      </c>
      <c r="AW307" s="2209" t="s">
        <v>3148</v>
      </c>
      <c r="AX307" s="2209" t="s">
        <v>133</v>
      </c>
      <c r="AY307" s="2211" t="s">
        <v>3285</v>
      </c>
    </row>
    <row r="308" spans="2:65" s="2070" customFormat="1" ht="16.5" customHeight="1">
      <c r="B308" s="2164"/>
      <c r="C308" s="4608" t="s">
        <v>2765</v>
      </c>
      <c r="D308" s="4608" t="s">
        <v>3286</v>
      </c>
      <c r="E308" s="4609" t="s">
        <v>11046</v>
      </c>
      <c r="F308" s="4610" t="s">
        <v>11047</v>
      </c>
      <c r="G308" s="4611" t="s">
        <v>141</v>
      </c>
      <c r="H308" s="4612">
        <v>3549.2350000000001</v>
      </c>
      <c r="I308" s="4613"/>
      <c r="J308" s="4613">
        <f>ROUND(I308*H308,2)</f>
        <v>0</v>
      </c>
      <c r="K308" s="4610" t="s">
        <v>142</v>
      </c>
      <c r="L308" s="2071"/>
      <c r="M308" s="2190" t="s">
        <v>3146</v>
      </c>
      <c r="N308" s="2163" t="s">
        <v>3181</v>
      </c>
      <c r="O308" s="2191">
        <v>0.18099999999999999</v>
      </c>
      <c r="P308" s="2191">
        <f>O308*H308</f>
        <v>642.41153499999996</v>
      </c>
      <c r="Q308" s="2191">
        <v>1.0000000000000001E-5</v>
      </c>
      <c r="R308" s="2191">
        <f>Q308*H308</f>
        <v>3.5492350000000006E-2</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11048</v>
      </c>
    </row>
    <row r="309" spans="2:65" s="2070" customFormat="1" ht="16.5" customHeight="1">
      <c r="B309" s="2164"/>
      <c r="C309" s="4614" t="s">
        <v>2999</v>
      </c>
      <c r="D309" s="4614" t="s">
        <v>135</v>
      </c>
      <c r="E309" s="4615" t="s">
        <v>11049</v>
      </c>
      <c r="F309" s="4616" t="s">
        <v>11050</v>
      </c>
      <c r="G309" s="4617" t="s">
        <v>141</v>
      </c>
      <c r="H309" s="4618">
        <v>3833.174</v>
      </c>
      <c r="I309" s="4619"/>
      <c r="J309" s="4619">
        <f>ROUND(I309*H309,2)</f>
        <v>0</v>
      </c>
      <c r="K309" s="4616" t="s">
        <v>142</v>
      </c>
      <c r="L309" s="2223"/>
      <c r="M309" s="2224" t="s">
        <v>3146</v>
      </c>
      <c r="N309" s="2225" t="s">
        <v>3181</v>
      </c>
      <c r="O309" s="2191">
        <v>0</v>
      </c>
      <c r="P309" s="2191">
        <f>O309*H309</f>
        <v>0</v>
      </c>
      <c r="Q309" s="2191">
        <v>1.2E-4</v>
      </c>
      <c r="R309" s="2191">
        <f>Q309*H309</f>
        <v>0.45998088000000004</v>
      </c>
      <c r="S309" s="2191">
        <v>0</v>
      </c>
      <c r="T309" s="2192">
        <f>S309*H309</f>
        <v>0</v>
      </c>
      <c r="AR309" s="2193" t="s">
        <v>3389</v>
      </c>
      <c r="AT309" s="2193" t="s">
        <v>135</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2894</v>
      </c>
      <c r="BM309" s="2193" t="s">
        <v>11051</v>
      </c>
    </row>
    <row r="310" spans="2:65" s="2209" customFormat="1">
      <c r="B310" s="2210"/>
      <c r="D310" s="2197" t="s">
        <v>3303</v>
      </c>
      <c r="F310" s="2212" t="s">
        <v>11052</v>
      </c>
      <c r="H310" s="2213">
        <v>3833.174</v>
      </c>
      <c r="L310" s="2210"/>
      <c r="M310" s="2214"/>
      <c r="T310" s="2215"/>
      <c r="AT310" s="2211" t="s">
        <v>3303</v>
      </c>
      <c r="AU310" s="2211" t="s">
        <v>134</v>
      </c>
      <c r="AV310" s="2209" t="s">
        <v>134</v>
      </c>
      <c r="AW310" s="2209" t="s">
        <v>3148</v>
      </c>
      <c r="AX310" s="2209" t="s">
        <v>133</v>
      </c>
      <c r="AY310" s="2211" t="s">
        <v>3285</v>
      </c>
    </row>
    <row r="311" spans="2:65" s="2070" customFormat="1" ht="24.2" customHeight="1">
      <c r="B311" s="2164"/>
      <c r="C311" s="4608" t="s">
        <v>2777</v>
      </c>
      <c r="D311" s="4608" t="s">
        <v>3286</v>
      </c>
      <c r="E311" s="4609" t="s">
        <v>11053</v>
      </c>
      <c r="F311" s="4610" t="s">
        <v>11054</v>
      </c>
      <c r="G311" s="4611" t="s">
        <v>611</v>
      </c>
      <c r="H311" s="4612">
        <v>2006.19</v>
      </c>
      <c r="I311" s="4613"/>
      <c r="J311" s="4613">
        <f>ROUND(I311*H311,2)</f>
        <v>0</v>
      </c>
      <c r="K311" s="4610" t="s">
        <v>142</v>
      </c>
      <c r="L311" s="2071"/>
      <c r="M311" s="2190" t="s">
        <v>3146</v>
      </c>
      <c r="N311" s="2163" t="s">
        <v>3181</v>
      </c>
      <c r="O311" s="2191">
        <v>9.8000000000000004E-2</v>
      </c>
      <c r="P311" s="2191">
        <f>O311*H311</f>
        <v>196.60662000000002</v>
      </c>
      <c r="Q311" s="2191">
        <v>0</v>
      </c>
      <c r="R311" s="2191">
        <f>Q311*H311</f>
        <v>0</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11055</v>
      </c>
    </row>
    <row r="312" spans="2:65" s="2209" customFormat="1">
      <c r="B312" s="2210"/>
      <c r="D312" s="2197" t="s">
        <v>3303</v>
      </c>
      <c r="E312" s="2211" t="s">
        <v>3146</v>
      </c>
      <c r="F312" s="2212" t="s">
        <v>11056</v>
      </c>
      <c r="H312" s="2213">
        <v>2006.19</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3547</v>
      </c>
      <c r="D313" s="4608" t="s">
        <v>3286</v>
      </c>
      <c r="E313" s="4609" t="s">
        <v>11057</v>
      </c>
      <c r="F313" s="4610" t="s">
        <v>11058</v>
      </c>
      <c r="G313" s="4611" t="s">
        <v>611</v>
      </c>
      <c r="H313" s="4612">
        <v>2006.19</v>
      </c>
      <c r="I313" s="4613"/>
      <c r="J313" s="4613">
        <f>ROUND(I313*H313,2)</f>
        <v>0</v>
      </c>
      <c r="K313" s="4610" t="s">
        <v>142</v>
      </c>
      <c r="L313" s="2071"/>
      <c r="M313" s="2190" t="s">
        <v>3146</v>
      </c>
      <c r="N313" s="2163" t="s">
        <v>3181</v>
      </c>
      <c r="O313" s="2191">
        <v>9.9000000000000005E-2</v>
      </c>
      <c r="P313" s="2191">
        <f>O313*H313</f>
        <v>198.61281000000002</v>
      </c>
      <c r="Q313" s="2191">
        <v>3.0000000000000001E-5</v>
      </c>
      <c r="R313" s="2191">
        <f>Q313*H313</f>
        <v>6.0185700000000002E-2</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11059</v>
      </c>
    </row>
    <row r="314" spans="2:65" s="2070" customFormat="1" ht="24.2" customHeight="1">
      <c r="B314" s="2164"/>
      <c r="C314" s="4608" t="s">
        <v>3551</v>
      </c>
      <c r="D314" s="4608" t="s">
        <v>3286</v>
      </c>
      <c r="E314" s="4609" t="s">
        <v>4515</v>
      </c>
      <c r="F314" s="4610" t="s">
        <v>4516</v>
      </c>
      <c r="G314" s="4611" t="s">
        <v>302</v>
      </c>
      <c r="H314" s="4612">
        <v>20.846</v>
      </c>
      <c r="I314" s="4613"/>
      <c r="J314" s="4613">
        <f>ROUND(I314*H314,2)</f>
        <v>0</v>
      </c>
      <c r="K314" s="4610" t="s">
        <v>142</v>
      </c>
      <c r="L314" s="2071"/>
      <c r="M314" s="2190" t="s">
        <v>3146</v>
      </c>
      <c r="N314" s="2163" t="s">
        <v>3181</v>
      </c>
      <c r="O314" s="2191">
        <v>1.1140000000000001</v>
      </c>
      <c r="P314" s="2191">
        <f>O314*H314</f>
        <v>23.222444000000003</v>
      </c>
      <c r="Q314" s="2191">
        <v>0</v>
      </c>
      <c r="R314" s="2191">
        <f>Q314*H314</f>
        <v>0</v>
      </c>
      <c r="S314" s="2191">
        <v>0</v>
      </c>
      <c r="T314" s="2192">
        <f>S314*H314</f>
        <v>0</v>
      </c>
      <c r="AR314" s="2193" t="s">
        <v>2894</v>
      </c>
      <c r="AT314" s="2193" t="s">
        <v>3286</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4517</v>
      </c>
    </row>
    <row r="315" spans="2:65" s="2070" customFormat="1" ht="24.2" customHeight="1">
      <c r="B315" s="2164"/>
      <c r="C315" s="4608" t="s">
        <v>3555</v>
      </c>
      <c r="D315" s="4608" t="s">
        <v>3286</v>
      </c>
      <c r="E315" s="4609" t="s">
        <v>4518</v>
      </c>
      <c r="F315" s="4610" t="s">
        <v>4519</v>
      </c>
      <c r="G315" s="4611" t="s">
        <v>302</v>
      </c>
      <c r="H315" s="4612">
        <v>20.846</v>
      </c>
      <c r="I315" s="4613"/>
      <c r="J315" s="4613">
        <f>ROUND(I315*H315,2)</f>
        <v>0</v>
      </c>
      <c r="K315" s="4610" t="s">
        <v>142</v>
      </c>
      <c r="L315" s="2071"/>
      <c r="M315" s="2190" t="s">
        <v>3146</v>
      </c>
      <c r="N315" s="2163" t="s">
        <v>3181</v>
      </c>
      <c r="O315" s="2191">
        <v>1</v>
      </c>
      <c r="P315" s="2191">
        <f>O315*H315</f>
        <v>20.846</v>
      </c>
      <c r="Q315" s="2191">
        <v>0</v>
      </c>
      <c r="R315" s="2191">
        <f>Q315*H315</f>
        <v>0</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4520</v>
      </c>
    </row>
    <row r="316" spans="2:65" s="2178" customFormat="1" ht="22.9" customHeight="1">
      <c r="B316" s="2179"/>
      <c r="D316" s="2180" t="s">
        <v>3212</v>
      </c>
      <c r="E316" s="2188" t="s">
        <v>4521</v>
      </c>
      <c r="F316" s="2188" t="s">
        <v>4522</v>
      </c>
      <c r="J316" s="2189">
        <f>BK316</f>
        <v>0</v>
      </c>
      <c r="L316" s="2179"/>
      <c r="M316" s="2183"/>
      <c r="P316" s="2184">
        <f>SUM(P317:P329)</f>
        <v>812.6201329999999</v>
      </c>
      <c r="R316" s="2184">
        <f>SUM(R317:R329)</f>
        <v>6.0368822</v>
      </c>
      <c r="T316" s="2185">
        <f>SUM(T317:T329)</f>
        <v>0</v>
      </c>
      <c r="AR316" s="2180" t="s">
        <v>134</v>
      </c>
      <c r="AT316" s="2186" t="s">
        <v>3212</v>
      </c>
      <c r="AU316" s="2186" t="s">
        <v>133</v>
      </c>
      <c r="AY316" s="2180" t="s">
        <v>3285</v>
      </c>
      <c r="BK316" s="2187">
        <f>SUM(BK317:BK329)</f>
        <v>0</v>
      </c>
    </row>
    <row r="317" spans="2:65" s="2070" customFormat="1" ht="16.5" customHeight="1">
      <c r="B317" s="2164"/>
      <c r="C317" s="4608" t="s">
        <v>3559</v>
      </c>
      <c r="D317" s="4608" t="s">
        <v>3286</v>
      </c>
      <c r="E317" s="4609" t="s">
        <v>4523</v>
      </c>
      <c r="F317" s="4610" t="s">
        <v>4524</v>
      </c>
      <c r="G317" s="4611" t="s">
        <v>611</v>
      </c>
      <c r="H317" s="4612">
        <v>558.62</v>
      </c>
      <c r="I317" s="4613"/>
      <c r="J317" s="4613">
        <f>ROUND(I317*H317,2)</f>
        <v>0</v>
      </c>
      <c r="K317" s="4610" t="s">
        <v>142</v>
      </c>
      <c r="L317" s="2071"/>
      <c r="M317" s="2190" t="s">
        <v>3146</v>
      </c>
      <c r="N317" s="2163" t="s">
        <v>3181</v>
      </c>
      <c r="O317" s="2191">
        <v>3.2000000000000001E-2</v>
      </c>
      <c r="P317" s="2191">
        <f>O317*H317</f>
        <v>17.87584</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4525</v>
      </c>
    </row>
    <row r="318" spans="2:65" s="2070" customFormat="1" ht="24.2" customHeight="1">
      <c r="B318" s="2164"/>
      <c r="C318" s="4608" t="s">
        <v>3565</v>
      </c>
      <c r="D318" s="4608" t="s">
        <v>3286</v>
      </c>
      <c r="E318" s="4609" t="s">
        <v>4526</v>
      </c>
      <c r="F318" s="4610" t="s">
        <v>4527</v>
      </c>
      <c r="G318" s="4611" t="s">
        <v>611</v>
      </c>
      <c r="H318" s="4612">
        <v>558.62</v>
      </c>
      <c r="I318" s="4613"/>
      <c r="J318" s="4613">
        <f>ROUND(I318*H318,2)</f>
        <v>0</v>
      </c>
      <c r="K318" s="4610" t="s">
        <v>142</v>
      </c>
      <c r="L318" s="2071"/>
      <c r="M318" s="2190" t="s">
        <v>3146</v>
      </c>
      <c r="N318" s="2163" t="s">
        <v>3181</v>
      </c>
      <c r="O318" s="2191">
        <v>0.20699999999999999</v>
      </c>
      <c r="P318" s="2191">
        <f>O318*H318</f>
        <v>115.63433999999999</v>
      </c>
      <c r="Q318" s="2191">
        <v>5.4000000000000003E-3</v>
      </c>
      <c r="R318" s="2191">
        <f>Q318*H318</f>
        <v>3.0165480000000002</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4528</v>
      </c>
    </row>
    <row r="319" spans="2:65" s="2209" customFormat="1">
      <c r="B319" s="2210"/>
      <c r="D319" s="2197" t="s">
        <v>3303</v>
      </c>
      <c r="E319" s="2211" t="s">
        <v>3146</v>
      </c>
      <c r="F319" s="2212" t="s">
        <v>4267</v>
      </c>
      <c r="H319" s="2213">
        <v>558.62</v>
      </c>
      <c r="L319" s="2210"/>
      <c r="M319" s="2214"/>
      <c r="T319" s="2215"/>
      <c r="AT319" s="2211" t="s">
        <v>3303</v>
      </c>
      <c r="AU319" s="2211" t="s">
        <v>134</v>
      </c>
      <c r="AV319" s="2209" t="s">
        <v>134</v>
      </c>
      <c r="AW319" s="2209" t="s">
        <v>3171</v>
      </c>
      <c r="AX319" s="2209" t="s">
        <v>3213</v>
      </c>
      <c r="AY319" s="2211" t="s">
        <v>3285</v>
      </c>
    </row>
    <row r="320" spans="2:65" s="2216" customFormat="1">
      <c r="B320" s="2217"/>
      <c r="D320" s="2197" t="s">
        <v>3303</v>
      </c>
      <c r="E320" s="2218" t="s">
        <v>3146</v>
      </c>
      <c r="F320" s="2219" t="s">
        <v>3306</v>
      </c>
      <c r="H320" s="2220">
        <v>558.62</v>
      </c>
      <c r="L320" s="2217"/>
      <c r="M320" s="2221"/>
      <c r="T320" s="2222"/>
      <c r="AT320" s="2218" t="s">
        <v>3303</v>
      </c>
      <c r="AU320" s="2218" t="s">
        <v>134</v>
      </c>
      <c r="AV320" s="2216" t="s">
        <v>856</v>
      </c>
      <c r="AW320" s="2216" t="s">
        <v>3171</v>
      </c>
      <c r="AX320" s="2216" t="s">
        <v>133</v>
      </c>
      <c r="AY320" s="2218" t="s">
        <v>3285</v>
      </c>
    </row>
    <row r="321" spans="2:65" s="2070" customFormat="1" ht="24.2" customHeight="1">
      <c r="B321" s="2164"/>
      <c r="C321" s="4608" t="s">
        <v>3571</v>
      </c>
      <c r="D321" s="4608" t="s">
        <v>3286</v>
      </c>
      <c r="E321" s="4609" t="s">
        <v>4529</v>
      </c>
      <c r="F321" s="4610" t="s">
        <v>4530</v>
      </c>
      <c r="G321" s="4611" t="s">
        <v>611</v>
      </c>
      <c r="H321" s="4612">
        <v>558.62</v>
      </c>
      <c r="I321" s="4613"/>
      <c r="J321" s="4613">
        <f>ROUND(I321*H321,2)</f>
        <v>0</v>
      </c>
      <c r="K321" s="4610" t="s">
        <v>142</v>
      </c>
      <c r="L321" s="2071"/>
      <c r="M321" s="2190" t="s">
        <v>3146</v>
      </c>
      <c r="N321" s="2163" t="s">
        <v>3181</v>
      </c>
      <c r="O321" s="2191">
        <v>0.56499999999999995</v>
      </c>
      <c r="P321" s="2191">
        <f>O321*H321</f>
        <v>315.62029999999999</v>
      </c>
      <c r="Q321" s="2191">
        <v>7.1000000000000002E-4</v>
      </c>
      <c r="R321" s="2191">
        <f>Q321*H321</f>
        <v>0.39662020000000003</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4531</v>
      </c>
    </row>
    <row r="322" spans="2:65" s="2070" customFormat="1" ht="24.2" customHeight="1">
      <c r="B322" s="2164"/>
      <c r="C322" s="4608" t="s">
        <v>3582</v>
      </c>
      <c r="D322" s="4608" t="s">
        <v>3286</v>
      </c>
      <c r="E322" s="4609" t="s">
        <v>4532</v>
      </c>
      <c r="F322" s="4610" t="s">
        <v>4533</v>
      </c>
      <c r="G322" s="4611" t="s">
        <v>611</v>
      </c>
      <c r="H322" s="4612">
        <v>558.62</v>
      </c>
      <c r="I322" s="4613"/>
      <c r="J322" s="4613">
        <f>ROUND(I322*H322,2)</f>
        <v>0</v>
      </c>
      <c r="K322" s="4610" t="s">
        <v>142</v>
      </c>
      <c r="L322" s="2071"/>
      <c r="M322" s="2190" t="s">
        <v>3146</v>
      </c>
      <c r="N322" s="2163" t="s">
        <v>3181</v>
      </c>
      <c r="O322" s="2191">
        <v>0.26</v>
      </c>
      <c r="P322" s="2191">
        <f>O322*H322</f>
        <v>145.24119999999999</v>
      </c>
      <c r="Q322" s="2191">
        <v>3.2000000000000002E-3</v>
      </c>
      <c r="R322" s="2191">
        <f>Q322*H322</f>
        <v>1.7875840000000001</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4534</v>
      </c>
    </row>
    <row r="323" spans="2:65" s="2070" customFormat="1" ht="24.2" customHeight="1">
      <c r="B323" s="2164"/>
      <c r="C323" s="4608" t="s">
        <v>3590</v>
      </c>
      <c r="D323" s="4608" t="s">
        <v>3286</v>
      </c>
      <c r="E323" s="4609" t="s">
        <v>4535</v>
      </c>
      <c r="F323" s="4610" t="s">
        <v>4536</v>
      </c>
      <c r="G323" s="4611" t="s">
        <v>611</v>
      </c>
      <c r="H323" s="4612">
        <v>558.62</v>
      </c>
      <c r="I323" s="4613"/>
      <c r="J323" s="4613">
        <f>ROUND(I323*H323,2)</f>
        <v>0</v>
      </c>
      <c r="K323" s="4610" t="s">
        <v>142</v>
      </c>
      <c r="L323" s="2071"/>
      <c r="M323" s="2190" t="s">
        <v>3146</v>
      </c>
      <c r="N323" s="2163" t="s">
        <v>3181</v>
      </c>
      <c r="O323" s="2191">
        <v>0.22</v>
      </c>
      <c r="P323" s="2191">
        <f>O323*H323</f>
        <v>122.8964</v>
      </c>
      <c r="Q323" s="2191">
        <v>8.0000000000000007E-5</v>
      </c>
      <c r="R323" s="2191">
        <f>Q323*H323</f>
        <v>4.4689600000000003E-2</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4537</v>
      </c>
    </row>
    <row r="324" spans="2:65" s="2070" customFormat="1" ht="21.75" customHeight="1">
      <c r="B324" s="2164"/>
      <c r="C324" s="4608" t="s">
        <v>3594</v>
      </c>
      <c r="D324" s="4608" t="s">
        <v>3286</v>
      </c>
      <c r="E324" s="4609" t="s">
        <v>4538</v>
      </c>
      <c r="F324" s="4610" t="s">
        <v>4539</v>
      </c>
      <c r="G324" s="4611" t="s">
        <v>141</v>
      </c>
      <c r="H324" s="4612">
        <v>228.74</v>
      </c>
      <c r="I324" s="4613"/>
      <c r="J324" s="4613">
        <f>ROUND(I324*H324,2)</f>
        <v>0</v>
      </c>
      <c r="K324" s="4610" t="s">
        <v>142</v>
      </c>
      <c r="L324" s="2071"/>
      <c r="M324" s="2190" t="s">
        <v>3146</v>
      </c>
      <c r="N324" s="2163" t="s">
        <v>3181</v>
      </c>
      <c r="O324" s="2191">
        <v>0.34799999999999998</v>
      </c>
      <c r="P324" s="2191">
        <f>O324*H324</f>
        <v>79.601519999999994</v>
      </c>
      <c r="Q324" s="2191">
        <v>3.46E-3</v>
      </c>
      <c r="R324" s="2191">
        <f>Q324*H324</f>
        <v>0.79144040000000004</v>
      </c>
      <c r="S324" s="2191">
        <v>0</v>
      </c>
      <c r="T324" s="2192">
        <f>S324*H324</f>
        <v>0</v>
      </c>
      <c r="AR324" s="2193" t="s">
        <v>2894</v>
      </c>
      <c r="AT324" s="2193" t="s">
        <v>3286</v>
      </c>
      <c r="AU324" s="2193" t="s">
        <v>134</v>
      </c>
      <c r="AY324" s="2056" t="s">
        <v>3285</v>
      </c>
      <c r="BE324" s="2194">
        <f>IF(N324="základní",J324,0)</f>
        <v>0</v>
      </c>
      <c r="BF324" s="2194">
        <f>IF(N324="snížená",J324,0)</f>
        <v>0</v>
      </c>
      <c r="BG324" s="2194">
        <f>IF(N324="zákl. přenesená",J324,0)</f>
        <v>0</v>
      </c>
      <c r="BH324" s="2194">
        <f>IF(N324="sníž. přenesená",J324,0)</f>
        <v>0</v>
      </c>
      <c r="BI324" s="2194">
        <f>IF(N324="nulová",J324,0)</f>
        <v>0</v>
      </c>
      <c r="BJ324" s="2056" t="s">
        <v>134</v>
      </c>
      <c r="BK324" s="2194">
        <f>ROUND(I324*H324,2)</f>
        <v>0</v>
      </c>
      <c r="BL324" s="2056" t="s">
        <v>2894</v>
      </c>
      <c r="BM324" s="2193" t="s">
        <v>4540</v>
      </c>
    </row>
    <row r="325" spans="2:65" s="2195" customFormat="1">
      <c r="B325" s="2196"/>
      <c r="D325" s="2197" t="s">
        <v>3303</v>
      </c>
      <c r="E325" s="2198" t="s">
        <v>3146</v>
      </c>
      <c r="F325" s="2199" t="s">
        <v>3517</v>
      </c>
      <c r="H325" s="2198" t="s">
        <v>3146</v>
      </c>
      <c r="L325" s="2196"/>
      <c r="M325" s="2200"/>
      <c r="T325" s="2201"/>
      <c r="AT325" s="2198" t="s">
        <v>3303</v>
      </c>
      <c r="AU325" s="2198" t="s">
        <v>134</v>
      </c>
      <c r="AV325" s="2195" t="s">
        <v>133</v>
      </c>
      <c r="AW325" s="2195" t="s">
        <v>3171</v>
      </c>
      <c r="AX325" s="2195" t="s">
        <v>3213</v>
      </c>
      <c r="AY325" s="2198" t="s">
        <v>3285</v>
      </c>
    </row>
    <row r="326" spans="2:65" s="2209" customFormat="1">
      <c r="B326" s="2210"/>
      <c r="D326" s="2197" t="s">
        <v>3303</v>
      </c>
      <c r="E326" s="2211" t="s">
        <v>3146</v>
      </c>
      <c r="F326" s="2212" t="s">
        <v>4541</v>
      </c>
      <c r="H326" s="2213">
        <v>228.74</v>
      </c>
      <c r="L326" s="2210"/>
      <c r="M326" s="2214"/>
      <c r="T326" s="2215"/>
      <c r="AT326" s="2211" t="s">
        <v>3303</v>
      </c>
      <c r="AU326" s="2211" t="s">
        <v>134</v>
      </c>
      <c r="AV326" s="2209" t="s">
        <v>134</v>
      </c>
      <c r="AW326" s="2209" t="s">
        <v>3171</v>
      </c>
      <c r="AX326" s="2209" t="s">
        <v>3213</v>
      </c>
      <c r="AY326" s="2211" t="s">
        <v>3285</v>
      </c>
    </row>
    <row r="327" spans="2:65" s="2216" customFormat="1">
      <c r="B327" s="2217"/>
      <c r="D327" s="2197" t="s">
        <v>3303</v>
      </c>
      <c r="E327" s="2218" t="s">
        <v>3146</v>
      </c>
      <c r="F327" s="2219" t="s">
        <v>3306</v>
      </c>
      <c r="H327" s="2220">
        <v>228.74</v>
      </c>
      <c r="L327" s="2217"/>
      <c r="M327" s="2221"/>
      <c r="T327" s="2222"/>
      <c r="AT327" s="2218" t="s">
        <v>3303</v>
      </c>
      <c r="AU327" s="2218" t="s">
        <v>134</v>
      </c>
      <c r="AV327" s="2216" t="s">
        <v>856</v>
      </c>
      <c r="AW327" s="2216" t="s">
        <v>3171</v>
      </c>
      <c r="AX327" s="2216" t="s">
        <v>133</v>
      </c>
      <c r="AY327" s="2218" t="s">
        <v>3285</v>
      </c>
    </row>
    <row r="328" spans="2:65" s="2070" customFormat="1" ht="24.2" customHeight="1">
      <c r="B328" s="2164"/>
      <c r="C328" s="4608" t="s">
        <v>3598</v>
      </c>
      <c r="D328" s="4608" t="s">
        <v>3286</v>
      </c>
      <c r="E328" s="4609" t="s">
        <v>4542</v>
      </c>
      <c r="F328" s="4610" t="s">
        <v>4543</v>
      </c>
      <c r="G328" s="4611" t="s">
        <v>302</v>
      </c>
      <c r="H328" s="4612">
        <v>6.0369999999999999</v>
      </c>
      <c r="I328" s="4613"/>
      <c r="J328" s="4613">
        <f>ROUND(I328*H328,2)</f>
        <v>0</v>
      </c>
      <c r="K328" s="4610" t="s">
        <v>142</v>
      </c>
      <c r="L328" s="2071"/>
      <c r="M328" s="2190" t="s">
        <v>3146</v>
      </c>
      <c r="N328" s="2163" t="s">
        <v>3181</v>
      </c>
      <c r="O328" s="2191">
        <v>1.4990000000000001</v>
      </c>
      <c r="P328" s="2191">
        <f>O328*H328</f>
        <v>9.0494630000000011</v>
      </c>
      <c r="Q328" s="2191">
        <v>0</v>
      </c>
      <c r="R328" s="2191">
        <f>Q328*H328</f>
        <v>0</v>
      </c>
      <c r="S328" s="2191">
        <v>0</v>
      </c>
      <c r="T328" s="2192">
        <f>S328*H328</f>
        <v>0</v>
      </c>
      <c r="AR328" s="2193" t="s">
        <v>2894</v>
      </c>
      <c r="AT328" s="2193" t="s">
        <v>3286</v>
      </c>
      <c r="AU328" s="2193" t="s">
        <v>134</v>
      </c>
      <c r="AY328" s="2056" t="s">
        <v>3285</v>
      </c>
      <c r="BE328" s="2194">
        <f>IF(N328="základní",J328,0)</f>
        <v>0</v>
      </c>
      <c r="BF328" s="2194">
        <f>IF(N328="snížená",J328,0)</f>
        <v>0</v>
      </c>
      <c r="BG328" s="2194">
        <f>IF(N328="zákl. přenesená",J328,0)</f>
        <v>0</v>
      </c>
      <c r="BH328" s="2194">
        <f>IF(N328="sníž. přenesená",J328,0)</f>
        <v>0</v>
      </c>
      <c r="BI328" s="2194">
        <f>IF(N328="nulová",J328,0)</f>
        <v>0</v>
      </c>
      <c r="BJ328" s="2056" t="s">
        <v>134</v>
      </c>
      <c r="BK328" s="2194">
        <f>ROUND(I328*H328,2)</f>
        <v>0</v>
      </c>
      <c r="BL328" s="2056" t="s">
        <v>2894</v>
      </c>
      <c r="BM328" s="2193" t="s">
        <v>4544</v>
      </c>
    </row>
    <row r="329" spans="2:65" s="2070" customFormat="1" ht="24.2" customHeight="1">
      <c r="B329" s="2164"/>
      <c r="C329" s="4608" t="s">
        <v>3602</v>
      </c>
      <c r="D329" s="4608" t="s">
        <v>3286</v>
      </c>
      <c r="E329" s="4609" t="s">
        <v>4545</v>
      </c>
      <c r="F329" s="4610" t="s">
        <v>4546</v>
      </c>
      <c r="G329" s="4611" t="s">
        <v>302</v>
      </c>
      <c r="H329" s="4612">
        <v>6.0369999999999999</v>
      </c>
      <c r="I329" s="4613"/>
      <c r="J329" s="4613">
        <f>ROUND(I329*H329,2)</f>
        <v>0</v>
      </c>
      <c r="K329" s="4610" t="s">
        <v>142</v>
      </c>
      <c r="L329" s="2071"/>
      <c r="M329" s="2190" t="s">
        <v>3146</v>
      </c>
      <c r="N329" s="2163" t="s">
        <v>3181</v>
      </c>
      <c r="O329" s="2191">
        <v>1.1100000000000001</v>
      </c>
      <c r="P329" s="2191">
        <f>O329*H329</f>
        <v>6.7010700000000005</v>
      </c>
      <c r="Q329" s="2191">
        <v>0</v>
      </c>
      <c r="R329" s="2191">
        <f>Q329*H329</f>
        <v>0</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4547</v>
      </c>
    </row>
    <row r="330" spans="2:65" s="2178" customFormat="1" ht="22.9" customHeight="1">
      <c r="B330" s="2179"/>
      <c r="D330" s="2180" t="s">
        <v>3212</v>
      </c>
      <c r="E330" s="2188" t="s">
        <v>4167</v>
      </c>
      <c r="F330" s="2188" t="s">
        <v>4168</v>
      </c>
      <c r="J330" s="2189">
        <f>BK330</f>
        <v>0</v>
      </c>
      <c r="L330" s="2179"/>
      <c r="M330" s="2183"/>
      <c r="P330" s="2184">
        <f>SUM(P331:P336)</f>
        <v>7.3422999999999998</v>
      </c>
      <c r="R330" s="2184">
        <f>SUM(R331:R336)</f>
        <v>6.890099999999999E-2</v>
      </c>
      <c r="T330" s="2185">
        <f>SUM(T331:T336)</f>
        <v>0</v>
      </c>
      <c r="AR330" s="2180" t="s">
        <v>134</v>
      </c>
      <c r="AT330" s="2186" t="s">
        <v>3212</v>
      </c>
      <c r="AU330" s="2186" t="s">
        <v>133</v>
      </c>
      <c r="AY330" s="2180" t="s">
        <v>3285</v>
      </c>
      <c r="BK330" s="2187">
        <f>SUM(BK331:BK336)</f>
        <v>0</v>
      </c>
    </row>
    <row r="331" spans="2:65" s="2070" customFormat="1" ht="24.2" customHeight="1">
      <c r="B331" s="2164"/>
      <c r="C331" s="4608" t="s">
        <v>3613</v>
      </c>
      <c r="D331" s="4608" t="s">
        <v>3286</v>
      </c>
      <c r="E331" s="4609" t="s">
        <v>4548</v>
      </c>
      <c r="F331" s="4610" t="s">
        <v>4549</v>
      </c>
      <c r="G331" s="4611" t="s">
        <v>611</v>
      </c>
      <c r="H331" s="4612">
        <v>11.9</v>
      </c>
      <c r="I331" s="4613"/>
      <c r="J331" s="4613">
        <f>ROUND(I331*H331,2)</f>
        <v>0</v>
      </c>
      <c r="K331" s="4610" t="s">
        <v>142</v>
      </c>
      <c r="L331" s="2071"/>
      <c r="M331" s="2190" t="s">
        <v>3146</v>
      </c>
      <c r="N331" s="2163" t="s">
        <v>3181</v>
      </c>
      <c r="O331" s="2191">
        <v>0.15</v>
      </c>
      <c r="P331" s="2191">
        <f>O331*H331</f>
        <v>1.7849999999999999</v>
      </c>
      <c r="Q331" s="2191">
        <v>4.0000000000000003E-5</v>
      </c>
      <c r="R331" s="2191">
        <f>Q331*H331</f>
        <v>4.7600000000000008E-4</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4550</v>
      </c>
    </row>
    <row r="332" spans="2:65" s="2209" customFormat="1">
      <c r="B332" s="2210"/>
      <c r="D332" s="2197" t="s">
        <v>3303</v>
      </c>
      <c r="E332" s="2211" t="s">
        <v>3146</v>
      </c>
      <c r="F332" s="2212" t="s">
        <v>4270</v>
      </c>
      <c r="H332" s="2213">
        <v>11.9</v>
      </c>
      <c r="L332" s="2210"/>
      <c r="M332" s="2214"/>
      <c r="T332" s="2215"/>
      <c r="AT332" s="2211" t="s">
        <v>3303</v>
      </c>
      <c r="AU332" s="2211" t="s">
        <v>134</v>
      </c>
      <c r="AV332" s="2209" t="s">
        <v>134</v>
      </c>
      <c r="AW332" s="2209" t="s">
        <v>3171</v>
      </c>
      <c r="AX332" s="2209" t="s">
        <v>133</v>
      </c>
      <c r="AY332" s="2211" t="s">
        <v>3285</v>
      </c>
    </row>
    <row r="333" spans="2:65" s="2070" customFormat="1" ht="16.5" customHeight="1">
      <c r="B333" s="2164"/>
      <c r="C333" s="4608" t="s">
        <v>3617</v>
      </c>
      <c r="D333" s="4608" t="s">
        <v>3286</v>
      </c>
      <c r="E333" s="4609" t="s">
        <v>4551</v>
      </c>
      <c r="F333" s="4610" t="s">
        <v>4552</v>
      </c>
      <c r="G333" s="4611" t="s">
        <v>611</v>
      </c>
      <c r="H333" s="4612">
        <v>11.9</v>
      </c>
      <c r="I333" s="4613"/>
      <c r="J333" s="4613">
        <f>ROUND(I333*H333,2)</f>
        <v>0</v>
      </c>
      <c r="K333" s="4610" t="s">
        <v>142</v>
      </c>
      <c r="L333" s="2071"/>
      <c r="M333" s="2190" t="s">
        <v>3146</v>
      </c>
      <c r="N333" s="2163" t="s">
        <v>3181</v>
      </c>
      <c r="O333" s="2191">
        <v>1.7999999999999999E-2</v>
      </c>
      <c r="P333" s="2191">
        <f>O333*H333</f>
        <v>0.2142</v>
      </c>
      <c r="Q333" s="2191">
        <v>0</v>
      </c>
      <c r="R333" s="2191">
        <f>Q333*H333</f>
        <v>0</v>
      </c>
      <c r="S333" s="2191">
        <v>0</v>
      </c>
      <c r="T333" s="2192">
        <f>S333*H333</f>
        <v>0</v>
      </c>
      <c r="AR333" s="2193" t="s">
        <v>2894</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2894</v>
      </c>
      <c r="BM333" s="2193" t="s">
        <v>4553</v>
      </c>
    </row>
    <row r="334" spans="2:65" s="2070" customFormat="1" ht="24.2" customHeight="1">
      <c r="B334" s="2164"/>
      <c r="C334" s="4608" t="s">
        <v>3621</v>
      </c>
      <c r="D334" s="4608" t="s">
        <v>3286</v>
      </c>
      <c r="E334" s="4609" t="s">
        <v>4554</v>
      </c>
      <c r="F334" s="4610" t="s">
        <v>4555</v>
      </c>
      <c r="G334" s="4611" t="s">
        <v>611</v>
      </c>
      <c r="H334" s="4612">
        <v>11.9</v>
      </c>
      <c r="I334" s="4613"/>
      <c r="J334" s="4613">
        <f>ROUND(I334*H334,2)</f>
        <v>0</v>
      </c>
      <c r="K334" s="4610" t="s">
        <v>142</v>
      </c>
      <c r="L334" s="2071"/>
      <c r="M334" s="2190" t="s">
        <v>3146</v>
      </c>
      <c r="N334" s="2163" t="s">
        <v>3181</v>
      </c>
      <c r="O334" s="2191">
        <v>0.13</v>
      </c>
      <c r="P334" s="2191">
        <f>O334*H334</f>
        <v>1.5470000000000002</v>
      </c>
      <c r="Q334" s="2191">
        <v>4.7999999999999996E-3</v>
      </c>
      <c r="R334" s="2191">
        <f>Q334*H334</f>
        <v>5.7119999999999997E-2</v>
      </c>
      <c r="S334" s="2191">
        <v>0</v>
      </c>
      <c r="T334" s="2192">
        <f>S334*H334</f>
        <v>0</v>
      </c>
      <c r="AR334" s="2193" t="s">
        <v>2894</v>
      </c>
      <c r="AT334" s="2193" t="s">
        <v>3286</v>
      </c>
      <c r="AU334" s="2193" t="s">
        <v>134</v>
      </c>
      <c r="AY334" s="2056" t="s">
        <v>3285</v>
      </c>
      <c r="BE334" s="2194">
        <f>IF(N334="základní",J334,0)</f>
        <v>0</v>
      </c>
      <c r="BF334" s="2194">
        <f>IF(N334="snížená",J334,0)</f>
        <v>0</v>
      </c>
      <c r="BG334" s="2194">
        <f>IF(N334="zákl. přenesená",J334,0)</f>
        <v>0</v>
      </c>
      <c r="BH334" s="2194">
        <f>IF(N334="sníž. přenesená",J334,0)</f>
        <v>0</v>
      </c>
      <c r="BI334" s="2194">
        <f>IF(N334="nulová",J334,0)</f>
        <v>0</v>
      </c>
      <c r="BJ334" s="2056" t="s">
        <v>134</v>
      </c>
      <c r="BK334" s="2194">
        <f>ROUND(I334*H334,2)</f>
        <v>0</v>
      </c>
      <c r="BL334" s="2056" t="s">
        <v>2894</v>
      </c>
      <c r="BM334" s="2193" t="s">
        <v>4556</v>
      </c>
    </row>
    <row r="335" spans="2:65" s="2070" customFormat="1" ht="24.2" customHeight="1">
      <c r="B335" s="2164"/>
      <c r="C335" s="4608" t="s">
        <v>3625</v>
      </c>
      <c r="D335" s="4608" t="s">
        <v>3286</v>
      </c>
      <c r="E335" s="4609" t="s">
        <v>4557</v>
      </c>
      <c r="F335" s="4610" t="s">
        <v>4558</v>
      </c>
      <c r="G335" s="4611" t="s">
        <v>611</v>
      </c>
      <c r="H335" s="4612">
        <v>11.9</v>
      </c>
      <c r="I335" s="4613"/>
      <c r="J335" s="4613">
        <f>ROUND(I335*H335,2)</f>
        <v>0</v>
      </c>
      <c r="K335" s="4610" t="s">
        <v>142</v>
      </c>
      <c r="L335" s="2071"/>
      <c r="M335" s="2190" t="s">
        <v>3146</v>
      </c>
      <c r="N335" s="2163" t="s">
        <v>3181</v>
      </c>
      <c r="O335" s="2191">
        <v>0.108</v>
      </c>
      <c r="P335" s="2191">
        <f>O335*H335</f>
        <v>1.2852000000000001</v>
      </c>
      <c r="Q335" s="2191">
        <v>2.9E-4</v>
      </c>
      <c r="R335" s="2191">
        <f>Q335*H335</f>
        <v>3.4510000000000001E-3</v>
      </c>
      <c r="S335" s="2191">
        <v>0</v>
      </c>
      <c r="T335" s="2192">
        <f>S335*H335</f>
        <v>0</v>
      </c>
      <c r="AR335" s="2193" t="s">
        <v>2894</v>
      </c>
      <c r="AT335" s="2193" t="s">
        <v>3286</v>
      </c>
      <c r="AU335" s="2193" t="s">
        <v>134</v>
      </c>
      <c r="AY335" s="2056" t="s">
        <v>3285</v>
      </c>
      <c r="BE335" s="2194">
        <f>IF(N335="základní",J335,0)</f>
        <v>0</v>
      </c>
      <c r="BF335" s="2194">
        <f>IF(N335="snížená",J335,0)</f>
        <v>0</v>
      </c>
      <c r="BG335" s="2194">
        <f>IF(N335="zákl. přenesená",J335,0)</f>
        <v>0</v>
      </c>
      <c r="BH335" s="2194">
        <f>IF(N335="sníž. přenesená",J335,0)</f>
        <v>0</v>
      </c>
      <c r="BI335" s="2194">
        <f>IF(N335="nulová",J335,0)</f>
        <v>0</v>
      </c>
      <c r="BJ335" s="2056" t="s">
        <v>134</v>
      </c>
      <c r="BK335" s="2194">
        <f>ROUND(I335*H335,2)</f>
        <v>0</v>
      </c>
      <c r="BL335" s="2056" t="s">
        <v>2894</v>
      </c>
      <c r="BM335" s="2193" t="s">
        <v>4559</v>
      </c>
    </row>
    <row r="336" spans="2:65" s="2070" customFormat="1" ht="24.2" customHeight="1">
      <c r="B336" s="2164"/>
      <c r="C336" s="4608" t="s">
        <v>3630</v>
      </c>
      <c r="D336" s="4608" t="s">
        <v>3286</v>
      </c>
      <c r="E336" s="4609" t="s">
        <v>4560</v>
      </c>
      <c r="F336" s="4610" t="s">
        <v>4561</v>
      </c>
      <c r="G336" s="4611" t="s">
        <v>611</v>
      </c>
      <c r="H336" s="4612">
        <v>11.9</v>
      </c>
      <c r="I336" s="4613"/>
      <c r="J336" s="4613">
        <f>ROUND(I336*H336,2)</f>
        <v>0</v>
      </c>
      <c r="K336" s="4610" t="s">
        <v>142</v>
      </c>
      <c r="L336" s="2071"/>
      <c r="M336" s="2226" t="s">
        <v>3146</v>
      </c>
      <c r="N336" s="2227" t="s">
        <v>3181</v>
      </c>
      <c r="O336" s="2228">
        <v>0.21099999999999999</v>
      </c>
      <c r="P336" s="2228">
        <f>O336*H336</f>
        <v>2.5108999999999999</v>
      </c>
      <c r="Q336" s="2228">
        <v>6.6E-4</v>
      </c>
      <c r="R336" s="2228">
        <f>Q336*H336</f>
        <v>7.8539999999999999E-3</v>
      </c>
      <c r="S336" s="2228">
        <v>0</v>
      </c>
      <c r="T336" s="2229">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4562</v>
      </c>
    </row>
    <row r="337" spans="2:12" s="2070" customFormat="1" ht="6.95" customHeight="1">
      <c r="B337" s="2084"/>
      <c r="C337" s="2085"/>
      <c r="D337" s="2085"/>
      <c r="E337" s="2085"/>
      <c r="F337" s="2085"/>
      <c r="G337" s="2085"/>
      <c r="H337" s="2085"/>
      <c r="I337" s="2085"/>
      <c r="J337" s="2085"/>
      <c r="K337" s="2085"/>
      <c r="L337" s="2071"/>
    </row>
  </sheetData>
  <autoFilter ref="C129:K336" xr:uid="{00000000-0009-0000-0000-000002000000}"/>
  <mergeCells count="8">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892"/>
  <sheetViews>
    <sheetView showGridLines="0" workbookViewId="0"/>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71" t="s">
        <v>10718</v>
      </c>
      <c r="M2" s="5672"/>
      <c r="N2" s="5672"/>
      <c r="O2" s="5672"/>
      <c r="P2" s="5672"/>
      <c r="Q2" s="5672"/>
      <c r="R2" s="5672"/>
      <c r="S2" s="5672"/>
      <c r="T2" s="5672"/>
      <c r="U2" s="5672"/>
      <c r="V2" s="5672"/>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13" t="str">
        <f>'Rekapitulace stavby'!K6</f>
        <v>Dostavba domova pro seniory ve Vrchlabí - PD</v>
      </c>
      <c r="F7" s="5714"/>
      <c r="G7" s="5714"/>
      <c r="H7" s="5714"/>
      <c r="L7" s="2059"/>
    </row>
    <row r="8" spans="2:46" s="2070" customFormat="1" ht="12" customHeight="1">
      <c r="B8" s="2071"/>
      <c r="D8" s="2065" t="s">
        <v>3239</v>
      </c>
      <c r="L8" s="2071"/>
    </row>
    <row r="9" spans="2:46" s="2070" customFormat="1" ht="16.5" customHeight="1">
      <c r="B9" s="2071"/>
      <c r="E9" s="5692" t="s">
        <v>4563</v>
      </c>
      <c r="F9" s="5712"/>
      <c r="G9" s="5712"/>
      <c r="H9" s="5712"/>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75" t="s">
        <v>3146</v>
      </c>
      <c r="F27" s="5675"/>
      <c r="G27" s="5675"/>
      <c r="H27" s="567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SUM(BE148:BE1891)),  2)</f>
        <v>0</v>
      </c>
      <c r="I35" s="2141">
        <v>0.21</v>
      </c>
      <c r="J35" s="2140">
        <f>ROUND(((SUM(BE123:BE128) + SUM(BE148:BE1891))*I35),  2)</f>
        <v>0</v>
      </c>
      <c r="L35" s="2071"/>
    </row>
    <row r="36" spans="2:12" s="2070" customFormat="1" ht="14.45" customHeight="1">
      <c r="B36" s="2071"/>
      <c r="E36" s="2065" t="s">
        <v>3181</v>
      </c>
      <c r="F36" s="2140">
        <f>ROUND((SUM(BF123:BF128) + SUM(BF148:BF1891)),  2)</f>
        <v>0</v>
      </c>
      <c r="I36" s="2141">
        <v>0.15</v>
      </c>
      <c r="J36" s="2140">
        <f>ROUND(((SUM(BF123:BF128) + SUM(BF148:BF1891))*I36),  2)</f>
        <v>0</v>
      </c>
      <c r="L36" s="2071"/>
    </row>
    <row r="37" spans="2:12" s="2070" customFormat="1" ht="14.45" hidden="1" customHeight="1">
      <c r="B37" s="2071"/>
      <c r="E37" s="2065" t="s">
        <v>3182</v>
      </c>
      <c r="F37" s="2140">
        <f>ROUND((SUM(BG123:BG128) + SUM(BG148:BG1891)),  2)</f>
        <v>0</v>
      </c>
      <c r="I37" s="2141">
        <v>0.21</v>
      </c>
      <c r="J37" s="2140">
        <f>0</f>
        <v>0</v>
      </c>
      <c r="L37" s="2071"/>
    </row>
    <row r="38" spans="2:12" s="2070" customFormat="1" ht="14.45" hidden="1" customHeight="1">
      <c r="B38" s="2071"/>
      <c r="E38" s="2065" t="s">
        <v>3183</v>
      </c>
      <c r="F38" s="2140">
        <f>ROUND((SUM(BH123:BH128) + SUM(BH148:BH1891)),  2)</f>
        <v>0</v>
      </c>
      <c r="I38" s="2141">
        <v>0.15</v>
      </c>
      <c r="J38" s="2140">
        <f>0</f>
        <v>0</v>
      </c>
      <c r="L38" s="2071"/>
    </row>
    <row r="39" spans="2:12" s="2070" customFormat="1" ht="14.45" hidden="1" customHeight="1">
      <c r="B39" s="2071"/>
      <c r="E39" s="2065" t="s">
        <v>3184</v>
      </c>
      <c r="F39" s="2140">
        <f>ROUND((SUM(BI123:BI128) + SUM(BI148:BI1891)),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13" t="str">
        <f>E7</f>
        <v>Dostavba domova pro seniory ve Vrchlabí - PD</v>
      </c>
      <c r="F85" s="5714"/>
      <c r="G85" s="5714"/>
      <c r="H85" s="5714"/>
      <c r="L85" s="2071"/>
    </row>
    <row r="86" spans="2:47" s="2070" customFormat="1" ht="12" customHeight="1">
      <c r="B86" s="2071"/>
      <c r="C86" s="2065" t="s">
        <v>3239</v>
      </c>
      <c r="L86" s="2071"/>
    </row>
    <row r="87" spans="2:47" s="2070" customFormat="1" ht="16.5" customHeight="1">
      <c r="B87" s="2071"/>
      <c r="E87" s="5692" t="str">
        <f>E9</f>
        <v>01.2 - Vyýpisy prvků - tabulky</v>
      </c>
      <c r="F87" s="5712"/>
      <c r="G87" s="5712"/>
      <c r="H87" s="5712"/>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4564</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4295</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4565</v>
      </c>
      <c r="E106" s="2160"/>
      <c r="F106" s="2160"/>
      <c r="G106" s="2160"/>
      <c r="H106" s="2160"/>
      <c r="I106" s="2160"/>
      <c r="J106" s="2161">
        <f>J307</f>
        <v>0</v>
      </c>
      <c r="L106" s="2158"/>
    </row>
    <row r="107" spans="2:12" s="2157" customFormat="1" ht="19.899999999999999" customHeight="1">
      <c r="B107" s="2158"/>
      <c r="D107" s="2159" t="s">
        <v>4566</v>
      </c>
      <c r="E107" s="2160"/>
      <c r="F107" s="2160"/>
      <c r="G107" s="2160"/>
      <c r="H107" s="2160"/>
      <c r="I107" s="2160"/>
      <c r="J107" s="2161">
        <f>J319</f>
        <v>0</v>
      </c>
      <c r="L107" s="2158"/>
    </row>
    <row r="108" spans="2:12" s="2157" customFormat="1" ht="19.899999999999999" customHeight="1">
      <c r="B108" s="2158"/>
      <c r="D108" s="2159" t="s">
        <v>4567</v>
      </c>
      <c r="E108" s="2160"/>
      <c r="F108" s="2160"/>
      <c r="G108" s="2160"/>
      <c r="H108" s="2160"/>
      <c r="I108" s="2160"/>
      <c r="J108" s="2161">
        <f>J478</f>
        <v>0</v>
      </c>
      <c r="L108" s="2158"/>
    </row>
    <row r="109" spans="2:12" s="2157" customFormat="1" ht="19.899999999999999" customHeight="1">
      <c r="B109" s="2158"/>
      <c r="D109" s="2159" t="s">
        <v>4568</v>
      </c>
      <c r="E109" s="2160"/>
      <c r="F109" s="2160"/>
      <c r="G109" s="2160"/>
      <c r="H109" s="2160"/>
      <c r="I109" s="2160"/>
      <c r="J109" s="2161">
        <f>J487</f>
        <v>0</v>
      </c>
      <c r="L109" s="2158"/>
    </row>
    <row r="110" spans="2:12" s="2157" customFormat="1" ht="19.899999999999999" customHeight="1">
      <c r="B110" s="2158"/>
      <c r="D110" s="2159" t="s">
        <v>4569</v>
      </c>
      <c r="E110" s="2160"/>
      <c r="F110" s="2160"/>
      <c r="G110" s="2160"/>
      <c r="H110" s="2160"/>
      <c r="I110" s="2160"/>
      <c r="J110" s="2161">
        <f>J499</f>
        <v>0</v>
      </c>
      <c r="L110" s="2158"/>
    </row>
    <row r="111" spans="2:12" s="2157" customFormat="1" ht="19.899999999999999" customHeight="1">
      <c r="B111" s="2158"/>
      <c r="D111" s="2159" t="s">
        <v>4570</v>
      </c>
      <c r="E111" s="2160"/>
      <c r="F111" s="2160"/>
      <c r="G111" s="2160"/>
      <c r="H111" s="2160"/>
      <c r="I111" s="2160"/>
      <c r="J111" s="2161">
        <f>J509</f>
        <v>0</v>
      </c>
      <c r="L111" s="2158"/>
    </row>
    <row r="112" spans="2:12" s="2157" customFormat="1" ht="19.899999999999999" customHeight="1">
      <c r="B112" s="2158"/>
      <c r="D112" s="2159" t="s">
        <v>4296</v>
      </c>
      <c r="E112" s="2160"/>
      <c r="F112" s="2160"/>
      <c r="G112" s="2160"/>
      <c r="H112" s="2160"/>
      <c r="I112" s="2160"/>
      <c r="J112" s="2161">
        <f>J554</f>
        <v>0</v>
      </c>
      <c r="L112" s="2158"/>
    </row>
    <row r="113" spans="2:65" s="2157" customFormat="1" ht="19.899999999999999" customHeight="1">
      <c r="B113" s="2158"/>
      <c r="D113" s="2159" t="s">
        <v>3260</v>
      </c>
      <c r="E113" s="2160"/>
      <c r="F113" s="2160"/>
      <c r="G113" s="2160"/>
      <c r="H113" s="2160"/>
      <c r="I113" s="2160"/>
      <c r="J113" s="2161">
        <f>J577</f>
        <v>0</v>
      </c>
      <c r="L113" s="2158"/>
    </row>
    <row r="114" spans="2:65" s="2157" customFormat="1" ht="19.899999999999999" customHeight="1">
      <c r="B114" s="2158"/>
      <c r="D114" s="2159" t="s">
        <v>3261</v>
      </c>
      <c r="E114" s="2160"/>
      <c r="F114" s="2160"/>
      <c r="G114" s="2160"/>
      <c r="H114" s="2160"/>
      <c r="I114" s="2160"/>
      <c r="J114" s="2161">
        <f>J738</f>
        <v>0</v>
      </c>
      <c r="L114" s="2158"/>
    </row>
    <row r="115" spans="2:65" s="2157" customFormat="1" ht="19.899999999999999" customHeight="1">
      <c r="B115" s="2158"/>
      <c r="D115" s="2159" t="s">
        <v>4571</v>
      </c>
      <c r="E115" s="2160"/>
      <c r="F115" s="2160"/>
      <c r="G115" s="2160"/>
      <c r="H115" s="2160"/>
      <c r="I115" s="2160"/>
      <c r="J115" s="2161">
        <f>J900</f>
        <v>0</v>
      </c>
      <c r="L115" s="2158"/>
    </row>
    <row r="116" spans="2:65" s="2157" customFormat="1" ht="19.899999999999999" customHeight="1">
      <c r="B116" s="2158"/>
      <c r="D116" s="2159" t="s">
        <v>4572</v>
      </c>
      <c r="E116" s="2160"/>
      <c r="F116" s="2160"/>
      <c r="G116" s="2160"/>
      <c r="H116" s="2160"/>
      <c r="I116" s="2160"/>
      <c r="J116" s="2161">
        <f>J1605</f>
        <v>0</v>
      </c>
      <c r="L116" s="2158"/>
    </row>
    <row r="117" spans="2:65" s="2157" customFormat="1" ht="19.899999999999999" customHeight="1">
      <c r="B117" s="2158"/>
      <c r="D117" s="2159" t="s">
        <v>3263</v>
      </c>
      <c r="E117" s="2160"/>
      <c r="F117" s="2160"/>
      <c r="G117" s="2160"/>
      <c r="H117" s="2160"/>
      <c r="I117" s="2160"/>
      <c r="J117" s="2161">
        <f>J1618</f>
        <v>0</v>
      </c>
      <c r="L117" s="2158"/>
    </row>
    <row r="118" spans="2:65" s="2157" customFormat="1" ht="19.899999999999999" customHeight="1">
      <c r="B118" s="2158"/>
      <c r="D118" s="2159" t="s">
        <v>3264</v>
      </c>
      <c r="E118" s="2160"/>
      <c r="F118" s="2160"/>
      <c r="G118" s="2160"/>
      <c r="H118" s="2160"/>
      <c r="I118" s="2160"/>
      <c r="J118" s="2161">
        <f>J1632</f>
        <v>0</v>
      </c>
      <c r="L118" s="2158"/>
    </row>
    <row r="119" spans="2:65" s="2157" customFormat="1" ht="19.899999999999999" customHeight="1">
      <c r="B119" s="2158"/>
      <c r="D119" s="2159" t="s">
        <v>3266</v>
      </c>
      <c r="E119" s="2160"/>
      <c r="F119" s="2160"/>
      <c r="G119" s="2160"/>
      <c r="H119" s="2160"/>
      <c r="I119" s="2160"/>
      <c r="J119" s="2161">
        <f>J1693</f>
        <v>0</v>
      </c>
      <c r="L119" s="2158"/>
    </row>
    <row r="120" spans="2:65" s="2157" customFormat="1" ht="19.899999999999999" customHeight="1">
      <c r="B120" s="2158"/>
      <c r="D120" s="2159" t="s">
        <v>4573</v>
      </c>
      <c r="E120" s="2160"/>
      <c r="F120" s="2160"/>
      <c r="G120" s="2160"/>
      <c r="H120" s="2160"/>
      <c r="I120" s="2160"/>
      <c r="J120" s="2161">
        <f>J1859</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715" t="s">
        <v>24</v>
      </c>
      <c r="E124" s="5715"/>
      <c r="F124" s="5715"/>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15" t="s">
        <v>25</v>
      </c>
      <c r="E125" s="5715"/>
      <c r="F125" s="5715"/>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715" t="s">
        <v>3272</v>
      </c>
      <c r="E126" s="5715"/>
      <c r="F126" s="571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713" t="str">
        <f>E7</f>
        <v>Dostavba domova pro seniory ve Vrchlabí - PD</v>
      </c>
      <c r="F138" s="5714"/>
      <c r="G138" s="5714"/>
      <c r="H138" s="5714"/>
      <c r="L138" s="2071"/>
    </row>
    <row r="139" spans="2:12" s="2070" customFormat="1" ht="12" customHeight="1">
      <c r="B139" s="2071"/>
      <c r="C139" s="2065" t="s">
        <v>3239</v>
      </c>
      <c r="L139" s="2071"/>
    </row>
    <row r="140" spans="2:12" s="2070" customFormat="1" ht="16.5" customHeight="1">
      <c r="B140" s="2071"/>
      <c r="E140" s="5692" t="str">
        <f>E9</f>
        <v>01.2 - Vyýpisy prvků - tabulky</v>
      </c>
      <c r="F140" s="5712"/>
      <c r="G140" s="5712"/>
      <c r="H140" s="5712"/>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14396.426042999996</v>
      </c>
      <c r="Q148" s="2095"/>
      <c r="R148" s="2175">
        <f>R149+R265</f>
        <v>312.03097061999995</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796.44780500000002</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11060</v>
      </c>
      <c r="F151" s="4610" t="s">
        <v>11061</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11062</v>
      </c>
    </row>
    <row r="152" spans="2:65" s="2195" customFormat="1">
      <c r="B152" s="2196"/>
      <c r="D152" s="2197" t="s">
        <v>3303</v>
      </c>
      <c r="E152" s="2198" t="s">
        <v>3146</v>
      </c>
      <c r="F152" s="2199" t="s">
        <v>11063</v>
      </c>
      <c r="H152" s="2198" t="s">
        <v>3146</v>
      </c>
      <c r="L152" s="2196"/>
      <c r="M152" s="2200"/>
      <c r="T152" s="2201"/>
      <c r="AT152" s="2198" t="s">
        <v>3303</v>
      </c>
      <c r="AU152" s="2198" t="s">
        <v>134</v>
      </c>
      <c r="AV152" s="2195" t="s">
        <v>133</v>
      </c>
      <c r="AW152" s="2195" t="s">
        <v>3171</v>
      </c>
      <c r="AX152" s="2195" t="s">
        <v>3213</v>
      </c>
      <c r="AY152" s="2198" t="s">
        <v>3285</v>
      </c>
    </row>
    <row r="153" spans="2:65" s="2209" customFormat="1">
      <c r="B153" s="2210"/>
      <c r="D153" s="2197" t="s">
        <v>3303</v>
      </c>
      <c r="E153" s="2211" t="s">
        <v>3146</v>
      </c>
      <c r="F153" s="2212" t="s">
        <v>11064</v>
      </c>
      <c r="H153" s="2213">
        <v>0.26300000000000001</v>
      </c>
      <c r="L153" s="2210"/>
      <c r="M153" s="2214"/>
      <c r="T153" s="2215"/>
      <c r="AT153" s="2211" t="s">
        <v>3303</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11065</v>
      </c>
      <c r="F154" s="4616" t="s">
        <v>11066</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11067</v>
      </c>
    </row>
    <row r="155" spans="2:65" s="2209" customFormat="1">
      <c r="B155" s="2210"/>
      <c r="D155" s="2197" t="s">
        <v>3303</v>
      </c>
      <c r="E155" s="2211" t="s">
        <v>3146</v>
      </c>
      <c r="F155" s="2212" t="s">
        <v>11068</v>
      </c>
      <c r="H155" s="2213">
        <v>0.28499999999999998</v>
      </c>
      <c r="L155" s="2210"/>
      <c r="M155" s="2214"/>
      <c r="T155" s="2215"/>
      <c r="AT155" s="2211" t="s">
        <v>3303</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11069</v>
      </c>
      <c r="F156" s="4610" t="s">
        <v>11070</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11071</v>
      </c>
    </row>
    <row r="157" spans="2:65" s="2195" customFormat="1">
      <c r="B157" s="2196"/>
      <c r="D157" s="2197" t="s">
        <v>3303</v>
      </c>
      <c r="E157" s="2198" t="s">
        <v>3146</v>
      </c>
      <c r="F157" s="2199" t="s">
        <v>11072</v>
      </c>
      <c r="H157" s="2198" t="s">
        <v>3146</v>
      </c>
      <c r="L157" s="2196"/>
      <c r="M157" s="2200"/>
      <c r="T157" s="2201"/>
      <c r="AT157" s="2198" t="s">
        <v>3303</v>
      </c>
      <c r="AU157" s="2198" t="s">
        <v>134</v>
      </c>
      <c r="AV157" s="2195" t="s">
        <v>133</v>
      </c>
      <c r="AW157" s="2195" t="s">
        <v>3171</v>
      </c>
      <c r="AX157" s="2195" t="s">
        <v>3213</v>
      </c>
      <c r="AY157" s="2198" t="s">
        <v>3285</v>
      </c>
    </row>
    <row r="158" spans="2:65" s="2209" customFormat="1">
      <c r="B158" s="2210"/>
      <c r="D158" s="2197" t="s">
        <v>3303</v>
      </c>
      <c r="E158" s="2211" t="s">
        <v>3146</v>
      </c>
      <c r="F158" s="2212" t="s">
        <v>11073</v>
      </c>
      <c r="H158" s="2213">
        <v>5.8</v>
      </c>
      <c r="L158" s="2210"/>
      <c r="M158" s="2214"/>
      <c r="T158" s="2215"/>
      <c r="AT158" s="2211" t="s">
        <v>3303</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11074</v>
      </c>
      <c r="F159" s="4610" t="s">
        <v>11075</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11076</v>
      </c>
    </row>
    <row r="160" spans="2:65" s="2070" customFormat="1" ht="16.5" customHeight="1">
      <c r="B160" s="2164"/>
      <c r="C160" s="4614" t="s">
        <v>858</v>
      </c>
      <c r="D160" s="4614" t="s">
        <v>135</v>
      </c>
      <c r="E160" s="4615" t="s">
        <v>11077</v>
      </c>
      <c r="F160" s="4616" t="s">
        <v>11078</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11079</v>
      </c>
    </row>
    <row r="161" spans="2:65" s="2195" customFormat="1">
      <c r="B161" s="2196"/>
      <c r="D161" s="2197" t="s">
        <v>3303</v>
      </c>
      <c r="E161" s="2198" t="s">
        <v>3146</v>
      </c>
      <c r="F161" s="2199" t="s">
        <v>11080</v>
      </c>
      <c r="H161" s="2198" t="s">
        <v>3146</v>
      </c>
      <c r="L161" s="2196"/>
      <c r="M161" s="2200"/>
      <c r="T161" s="2201"/>
      <c r="AT161" s="2198" t="s">
        <v>3303</v>
      </c>
      <c r="AU161" s="2198" t="s">
        <v>134</v>
      </c>
      <c r="AV161" s="2195" t="s">
        <v>133</v>
      </c>
      <c r="AW161" s="2195" t="s">
        <v>3171</v>
      </c>
      <c r="AX161" s="2195" t="s">
        <v>3213</v>
      </c>
      <c r="AY161" s="2198" t="s">
        <v>3285</v>
      </c>
    </row>
    <row r="162" spans="2:65" s="2209" customFormat="1">
      <c r="B162" s="2210"/>
      <c r="D162" s="2197" t="s">
        <v>3303</v>
      </c>
      <c r="E162" s="2211" t="s">
        <v>3146</v>
      </c>
      <c r="F162" s="2212" t="s">
        <v>133</v>
      </c>
      <c r="H162" s="2213">
        <v>1</v>
      </c>
      <c r="L162" s="2210"/>
      <c r="M162" s="2214"/>
      <c r="T162" s="2215"/>
      <c r="AT162" s="2211" t="s">
        <v>3303</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4574</v>
      </c>
      <c r="F163" s="4610" t="s">
        <v>4575</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4576</v>
      </c>
    </row>
    <row r="164" spans="2:65" s="2209" customFormat="1">
      <c r="B164" s="2210"/>
      <c r="D164" s="2197" t="s">
        <v>3303</v>
      </c>
      <c r="E164" s="2211" t="s">
        <v>3146</v>
      </c>
      <c r="F164" s="2212" t="s">
        <v>4577</v>
      </c>
      <c r="H164" s="2213">
        <v>5</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4578</v>
      </c>
      <c r="H165" s="2213">
        <v>2</v>
      </c>
      <c r="L165" s="2210"/>
      <c r="M165" s="2214"/>
      <c r="T165" s="2215"/>
      <c r="AT165" s="2211" t="s">
        <v>3303</v>
      </c>
      <c r="AU165" s="2211" t="s">
        <v>134</v>
      </c>
      <c r="AV165" s="2209" t="s">
        <v>134</v>
      </c>
      <c r="AW165" s="2209" t="s">
        <v>3171</v>
      </c>
      <c r="AX165" s="2209" t="s">
        <v>3213</v>
      </c>
      <c r="AY165" s="2211" t="s">
        <v>3285</v>
      </c>
    </row>
    <row r="166" spans="2:65" s="2216" customFormat="1">
      <c r="B166" s="2217"/>
      <c r="D166" s="2197" t="s">
        <v>3303</v>
      </c>
      <c r="E166" s="2218" t="s">
        <v>3146</v>
      </c>
      <c r="F166" s="2219" t="s">
        <v>3306</v>
      </c>
      <c r="H166" s="2220">
        <v>7</v>
      </c>
      <c r="L166" s="2217"/>
      <c r="M166" s="2221"/>
      <c r="T166" s="2222"/>
      <c r="AT166" s="2218" t="s">
        <v>3303</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4579</v>
      </c>
      <c r="F167" s="4616" t="s">
        <v>4580</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4581</v>
      </c>
    </row>
    <row r="168" spans="2:65" s="2209" customFormat="1">
      <c r="B168" s="2210"/>
      <c r="D168" s="2197" t="s">
        <v>3303</v>
      </c>
      <c r="E168" s="2211" t="s">
        <v>3146</v>
      </c>
      <c r="F168" s="2212" t="s">
        <v>4582</v>
      </c>
      <c r="H168" s="2213">
        <v>5</v>
      </c>
      <c r="L168" s="2210"/>
      <c r="M168" s="2214"/>
      <c r="T168" s="2215"/>
      <c r="AT168" s="2211" t="s">
        <v>3303</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4583</v>
      </c>
      <c r="F169" s="4616" t="s">
        <v>4584</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4585</v>
      </c>
    </row>
    <row r="170" spans="2:65" s="2209" customFormat="1">
      <c r="B170" s="2210"/>
      <c r="D170" s="2197" t="s">
        <v>3303</v>
      </c>
      <c r="E170" s="2211" t="s">
        <v>3146</v>
      </c>
      <c r="F170" s="2212" t="s">
        <v>4586</v>
      </c>
      <c r="H170" s="2213">
        <v>2</v>
      </c>
      <c r="L170" s="2210"/>
      <c r="M170" s="2214"/>
      <c r="T170" s="2215"/>
      <c r="AT170" s="2211" t="s">
        <v>3303</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3656</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4587</v>
      </c>
      <c r="F172" s="4610" t="s">
        <v>4588</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4589</v>
      </c>
    </row>
    <row r="173" spans="2:65" s="2195" customFormat="1">
      <c r="B173" s="2196"/>
      <c r="D173" s="2197" t="s">
        <v>3303</v>
      </c>
      <c r="E173" s="2198" t="s">
        <v>3146</v>
      </c>
      <c r="F173" s="2199" t="s">
        <v>4590</v>
      </c>
      <c r="H173" s="2198" t="s">
        <v>3146</v>
      </c>
      <c r="L173" s="2196"/>
      <c r="M173" s="2200"/>
      <c r="T173" s="2201"/>
      <c r="AT173" s="2198" t="s">
        <v>3303</v>
      </c>
      <c r="AU173" s="2198" t="s">
        <v>134</v>
      </c>
      <c r="AV173" s="2195" t="s">
        <v>133</v>
      </c>
      <c r="AW173" s="2195" t="s">
        <v>3171</v>
      </c>
      <c r="AX173" s="2195" t="s">
        <v>3213</v>
      </c>
      <c r="AY173" s="2198" t="s">
        <v>3285</v>
      </c>
    </row>
    <row r="174" spans="2:65" s="2209" customFormat="1">
      <c r="B174" s="2210"/>
      <c r="D174" s="2197" t="s">
        <v>3303</v>
      </c>
      <c r="E174" s="2211" t="s">
        <v>3146</v>
      </c>
      <c r="F174" s="2212" t="s">
        <v>4591</v>
      </c>
      <c r="H174" s="2213">
        <v>48.9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4592</v>
      </c>
      <c r="H175" s="2213">
        <v>2.25</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4593</v>
      </c>
      <c r="H176" s="2213">
        <v>11.25</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4594</v>
      </c>
      <c r="H177" s="2213">
        <v>2.7</v>
      </c>
      <c r="L177" s="2210"/>
      <c r="M177" s="2214"/>
      <c r="T177" s="2215"/>
      <c r="AT177" s="2211" t="s">
        <v>3303</v>
      </c>
      <c r="AU177" s="2211" t="s">
        <v>134</v>
      </c>
      <c r="AV177" s="2209" t="s">
        <v>134</v>
      </c>
      <c r="AW177" s="2209" t="s">
        <v>3171</v>
      </c>
      <c r="AX177" s="2209" t="s">
        <v>3213</v>
      </c>
      <c r="AY177" s="2211" t="s">
        <v>3285</v>
      </c>
    </row>
    <row r="178" spans="2:65" s="2216" customFormat="1">
      <c r="B178" s="2217"/>
      <c r="D178" s="2197" t="s">
        <v>3303</v>
      </c>
      <c r="E178" s="2218" t="s">
        <v>3146</v>
      </c>
      <c r="F178" s="2219" t="s">
        <v>3306</v>
      </c>
      <c r="H178" s="2220">
        <v>65.099999999999994</v>
      </c>
      <c r="L178" s="2217"/>
      <c r="M178" s="2221"/>
      <c r="T178" s="2222"/>
      <c r="AT178" s="2218" t="s">
        <v>3303</v>
      </c>
      <c r="AU178" s="2218" t="s">
        <v>134</v>
      </c>
      <c r="AV178" s="2216" t="s">
        <v>856</v>
      </c>
      <c r="AW178" s="2216" t="s">
        <v>3171</v>
      </c>
      <c r="AX178" s="2216" t="s">
        <v>133</v>
      </c>
      <c r="AY178" s="2218" t="s">
        <v>3285</v>
      </c>
    </row>
    <row r="179" spans="2:65" s="2070" customFormat="1" ht="24.2" customHeight="1">
      <c r="B179" s="2164"/>
      <c r="C179" s="4608" t="s">
        <v>2098</v>
      </c>
      <c r="D179" s="4608" t="s">
        <v>3286</v>
      </c>
      <c r="E179" s="4609" t="s">
        <v>4596</v>
      </c>
      <c r="F179" s="4610" t="s">
        <v>4597</v>
      </c>
      <c r="G179" s="4611" t="s">
        <v>155</v>
      </c>
      <c r="H179" s="4612">
        <v>182</v>
      </c>
      <c r="I179" s="4613"/>
      <c r="J179" s="4613">
        <f>ROUND(I179*H179,2)</f>
        <v>0</v>
      </c>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4598</v>
      </c>
    </row>
    <row r="180" spans="2:65" s="2209" customFormat="1">
      <c r="B180" s="2210"/>
      <c r="D180" s="2197" t="s">
        <v>3303</v>
      </c>
      <c r="E180" s="2211" t="s">
        <v>3146</v>
      </c>
      <c r="F180" s="2212" t="s">
        <v>3424</v>
      </c>
      <c r="H180" s="2213">
        <v>41</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1827</v>
      </c>
      <c r="H181" s="2213">
        <v>15</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3784</v>
      </c>
      <c r="H182" s="2213">
        <v>126</v>
      </c>
      <c r="L182" s="2210"/>
      <c r="M182" s="2214"/>
      <c r="T182" s="2215"/>
      <c r="AT182" s="2211" t="s">
        <v>3303</v>
      </c>
      <c r="AU182" s="2211" t="s">
        <v>134</v>
      </c>
      <c r="AV182" s="2209" t="s">
        <v>134</v>
      </c>
      <c r="AW182" s="2209" t="s">
        <v>3171</v>
      </c>
      <c r="AX182" s="2209" t="s">
        <v>3213</v>
      </c>
      <c r="AY182" s="2211" t="s">
        <v>3285</v>
      </c>
    </row>
    <row r="183" spans="2:65" s="2216" customFormat="1">
      <c r="B183" s="2217"/>
      <c r="D183" s="2197" t="s">
        <v>3303</v>
      </c>
      <c r="E183" s="2218" t="s">
        <v>3146</v>
      </c>
      <c r="F183" s="2219" t="s">
        <v>3306</v>
      </c>
      <c r="H183" s="2220">
        <v>182</v>
      </c>
      <c r="L183" s="2217"/>
      <c r="M183" s="2221"/>
      <c r="T183" s="2222"/>
      <c r="AT183" s="2218" t="s">
        <v>3303</v>
      </c>
      <c r="AU183" s="2218" t="s">
        <v>134</v>
      </c>
      <c r="AV183" s="2216" t="s">
        <v>856</v>
      </c>
      <c r="AW183" s="2216" t="s">
        <v>3171</v>
      </c>
      <c r="AX183" s="2216" t="s">
        <v>133</v>
      </c>
      <c r="AY183" s="2218" t="s">
        <v>3285</v>
      </c>
    </row>
    <row r="184" spans="2:65" s="2070" customFormat="1" ht="37.9" customHeight="1">
      <c r="B184" s="2164"/>
      <c r="C184" s="4614" t="s">
        <v>1812</v>
      </c>
      <c r="D184" s="4614" t="s">
        <v>135</v>
      </c>
      <c r="E184" s="4615" t="s">
        <v>4600</v>
      </c>
      <c r="F184" s="4616" t="s">
        <v>4601</v>
      </c>
      <c r="G184" s="4617" t="s">
        <v>155</v>
      </c>
      <c r="H184" s="4618">
        <v>182</v>
      </c>
      <c r="I184" s="4619"/>
      <c r="J184" s="4619">
        <f>ROUND(I184*H184,2)</f>
        <v>0</v>
      </c>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f>ROUND(I184*H184,2)</f>
        <v>0</v>
      </c>
      <c r="BL184" s="2056" t="s">
        <v>856</v>
      </c>
      <c r="BM184" s="2193" t="s">
        <v>4602</v>
      </c>
    </row>
    <row r="185" spans="2:65" s="2070" customFormat="1" ht="24.2" customHeight="1">
      <c r="B185" s="2164"/>
      <c r="C185" s="4608" t="s">
        <v>874</v>
      </c>
      <c r="D185" s="4608" t="s">
        <v>3286</v>
      </c>
      <c r="E185" s="4609" t="s">
        <v>4603</v>
      </c>
      <c r="F185" s="4610" t="s">
        <v>4604</v>
      </c>
      <c r="G185" s="4611" t="s">
        <v>155</v>
      </c>
      <c r="H185" s="4612">
        <v>23</v>
      </c>
      <c r="I185" s="4613"/>
      <c r="J185" s="4613">
        <f>ROUND(I185*H185,2)</f>
        <v>0</v>
      </c>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4605</v>
      </c>
    </row>
    <row r="186" spans="2:65" s="2209" customFormat="1">
      <c r="B186" s="2210"/>
      <c r="D186" s="2197" t="s">
        <v>3303</v>
      </c>
      <c r="E186" s="2211" t="s">
        <v>3146</v>
      </c>
      <c r="F186" s="2212" t="s">
        <v>1812</v>
      </c>
      <c r="H186" s="2213">
        <v>11</v>
      </c>
      <c r="L186" s="2210"/>
      <c r="M186" s="2214"/>
      <c r="T186" s="2215"/>
      <c r="AT186" s="2211" t="s">
        <v>3303</v>
      </c>
      <c r="AU186" s="2211" t="s">
        <v>134</v>
      </c>
      <c r="AV186" s="2209" t="s">
        <v>134</v>
      </c>
      <c r="AW186" s="2209" t="s">
        <v>3171</v>
      </c>
      <c r="AX186" s="2209" t="s">
        <v>3213</v>
      </c>
      <c r="AY186" s="2211" t="s">
        <v>3285</v>
      </c>
    </row>
    <row r="187" spans="2:65" s="2209" customFormat="1">
      <c r="B187" s="2210"/>
      <c r="D187" s="2197" t="s">
        <v>3303</v>
      </c>
      <c r="E187" s="2211" t="s">
        <v>3146</v>
      </c>
      <c r="F187" s="2212" t="s">
        <v>874</v>
      </c>
      <c r="H187" s="2213">
        <v>12</v>
      </c>
      <c r="L187" s="2210"/>
      <c r="M187" s="2214"/>
      <c r="T187" s="2215"/>
      <c r="AT187" s="2211" t="s">
        <v>3303</v>
      </c>
      <c r="AU187" s="2211" t="s">
        <v>134</v>
      </c>
      <c r="AV187" s="2209" t="s">
        <v>134</v>
      </c>
      <c r="AW187" s="2209" t="s">
        <v>3171</v>
      </c>
      <c r="AX187" s="2209" t="s">
        <v>3213</v>
      </c>
      <c r="AY187" s="2211" t="s">
        <v>3285</v>
      </c>
    </row>
    <row r="188" spans="2:65" s="2216" customFormat="1">
      <c r="B188" s="2217"/>
      <c r="D188" s="2197" t="s">
        <v>3303</v>
      </c>
      <c r="E188" s="2218" t="s">
        <v>3146</v>
      </c>
      <c r="F188" s="2219" t="s">
        <v>3306</v>
      </c>
      <c r="H188" s="2220">
        <v>23</v>
      </c>
      <c r="L188" s="2217"/>
      <c r="M188" s="2221"/>
      <c r="T188" s="2222"/>
      <c r="AT188" s="2218" t="s">
        <v>3303</v>
      </c>
      <c r="AU188" s="2218" t="s">
        <v>134</v>
      </c>
      <c r="AV188" s="2216" t="s">
        <v>856</v>
      </c>
      <c r="AW188" s="2216" t="s">
        <v>3171</v>
      </c>
      <c r="AX188" s="2216" t="s">
        <v>133</v>
      </c>
      <c r="AY188" s="2218" t="s">
        <v>3285</v>
      </c>
    </row>
    <row r="189" spans="2:65" s="2070" customFormat="1" ht="37.9" customHeight="1">
      <c r="B189" s="2164"/>
      <c r="C189" s="4614" t="s">
        <v>1924</v>
      </c>
      <c r="D189" s="4614" t="s">
        <v>135</v>
      </c>
      <c r="E189" s="4615" t="s">
        <v>4607</v>
      </c>
      <c r="F189" s="4616" t="s">
        <v>4608</v>
      </c>
      <c r="G189" s="4617" t="s">
        <v>155</v>
      </c>
      <c r="H189" s="4618">
        <v>23</v>
      </c>
      <c r="I189" s="4619"/>
      <c r="J189" s="4619">
        <f>ROUND(I189*H189,2)</f>
        <v>0</v>
      </c>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f>ROUND(I189*H189,2)</f>
        <v>0</v>
      </c>
      <c r="BL189" s="2056" t="s">
        <v>856</v>
      </c>
      <c r="BM189" s="2193" t="s">
        <v>4609</v>
      </c>
    </row>
    <row r="190" spans="2:65" s="2178" customFormat="1" ht="22.9" customHeight="1">
      <c r="B190" s="2179"/>
      <c r="D190" s="2180" t="s">
        <v>3212</v>
      </c>
      <c r="E190" s="2188" t="s">
        <v>2071</v>
      </c>
      <c r="F190" s="2188" t="s">
        <v>4610</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4612</v>
      </c>
      <c r="F191" s="4610" t="s">
        <v>4613</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4614</v>
      </c>
    </row>
    <row r="192" spans="2:65" s="2209" customFormat="1">
      <c r="B192" s="2210"/>
      <c r="D192" s="2197" t="s">
        <v>3303</v>
      </c>
      <c r="E192" s="2211" t="s">
        <v>3146</v>
      </c>
      <c r="F192" s="2212" t="s">
        <v>4615</v>
      </c>
      <c r="H192" s="2213">
        <v>26</v>
      </c>
      <c r="L192" s="2210"/>
      <c r="M192" s="2214"/>
      <c r="T192" s="2215"/>
      <c r="AT192" s="2211" t="s">
        <v>3303</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11081</v>
      </c>
      <c r="F193" s="4616" t="s">
        <v>11082</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4617</v>
      </c>
    </row>
    <row r="194" spans="2:65" s="2195" customFormat="1">
      <c r="B194" s="2196"/>
      <c r="D194" s="2197" t="s">
        <v>3303</v>
      </c>
      <c r="E194" s="2198" t="s">
        <v>3146</v>
      </c>
      <c r="F194" s="2199" t="s">
        <v>11083</v>
      </c>
      <c r="H194" s="2198" t="s">
        <v>3146</v>
      </c>
      <c r="L194" s="2196"/>
      <c r="M194" s="2200"/>
      <c r="T194" s="2201"/>
      <c r="AT194" s="2198" t="s">
        <v>3303</v>
      </c>
      <c r="AU194" s="2198" t="s">
        <v>134</v>
      </c>
      <c r="AV194" s="2195" t="s">
        <v>133</v>
      </c>
      <c r="AW194" s="2195" t="s">
        <v>3171</v>
      </c>
      <c r="AX194" s="2195" t="s">
        <v>3213</v>
      </c>
      <c r="AY194" s="2198" t="s">
        <v>3285</v>
      </c>
    </row>
    <row r="195" spans="2:65" s="2209" customFormat="1">
      <c r="B195" s="2210"/>
      <c r="D195" s="2197" t="s">
        <v>3303</v>
      </c>
      <c r="E195" s="2211" t="s">
        <v>3146</v>
      </c>
      <c r="F195" s="2212" t="s">
        <v>858</v>
      </c>
      <c r="H195" s="2213">
        <v>5</v>
      </c>
      <c r="L195" s="2210"/>
      <c r="M195" s="2214"/>
      <c r="T195" s="2215"/>
      <c r="AT195" s="2211" t="s">
        <v>3303</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11084</v>
      </c>
      <c r="F196" s="4616" t="s">
        <v>11085</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11086</v>
      </c>
    </row>
    <row r="197" spans="2:65" s="2195" customFormat="1">
      <c r="B197" s="2196"/>
      <c r="D197" s="2197" t="s">
        <v>3303</v>
      </c>
      <c r="E197" s="2198" t="s">
        <v>3146</v>
      </c>
      <c r="F197" s="2199" t="s">
        <v>11087</v>
      </c>
      <c r="H197" s="2198" t="s">
        <v>3146</v>
      </c>
      <c r="L197" s="2196"/>
      <c r="M197" s="2200"/>
      <c r="T197" s="2201"/>
      <c r="AT197" s="2198" t="s">
        <v>3303</v>
      </c>
      <c r="AU197" s="2198" t="s">
        <v>134</v>
      </c>
      <c r="AV197" s="2195" t="s">
        <v>133</v>
      </c>
      <c r="AW197" s="2195" t="s">
        <v>3171</v>
      </c>
      <c r="AX197" s="2195" t="s">
        <v>3213</v>
      </c>
      <c r="AY197" s="2198" t="s">
        <v>3285</v>
      </c>
    </row>
    <row r="198" spans="2:65" s="2209" customFormat="1">
      <c r="B198" s="2210"/>
      <c r="D198" s="2197" t="s">
        <v>3303</v>
      </c>
      <c r="E198" s="2211" t="s">
        <v>3146</v>
      </c>
      <c r="F198" s="2212" t="s">
        <v>989</v>
      </c>
      <c r="H198" s="2213">
        <v>21</v>
      </c>
      <c r="L198" s="2210"/>
      <c r="M198" s="2214"/>
      <c r="T198" s="2215"/>
      <c r="AT198" s="2211" t="s">
        <v>3303</v>
      </c>
      <c r="AU198" s="2211" t="s">
        <v>134</v>
      </c>
      <c r="AV198" s="2209" t="s">
        <v>134</v>
      </c>
      <c r="AW198" s="2209" t="s">
        <v>3171</v>
      </c>
      <c r="AX198" s="2209" t="s">
        <v>3213</v>
      </c>
      <c r="AY198" s="2211" t="s">
        <v>3285</v>
      </c>
    </row>
    <row r="199" spans="2:65" s="2216" customFormat="1">
      <c r="B199" s="2217"/>
      <c r="D199" s="2197" t="s">
        <v>3303</v>
      </c>
      <c r="E199" s="2218" t="s">
        <v>3146</v>
      </c>
      <c r="F199" s="2219" t="s">
        <v>3306</v>
      </c>
      <c r="H199" s="2220">
        <v>21</v>
      </c>
      <c r="L199" s="2217"/>
      <c r="M199" s="2221"/>
      <c r="T199" s="2222"/>
      <c r="AT199" s="2218" t="s">
        <v>3303</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4619</v>
      </c>
      <c r="F200" s="4610" t="s">
        <v>4620</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4621</v>
      </c>
    </row>
    <row r="201" spans="2:65" s="2070" customFormat="1" ht="24.2" customHeight="1">
      <c r="B201" s="2164"/>
      <c r="C201" s="4614" t="s">
        <v>2475</v>
      </c>
      <c r="D201" s="4614" t="s">
        <v>135</v>
      </c>
      <c r="E201" s="4615" t="s">
        <v>11088</v>
      </c>
      <c r="F201" s="4616" t="s">
        <v>11089</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4623</v>
      </c>
    </row>
    <row r="202" spans="2:65" s="2070" customFormat="1" ht="24.2" customHeight="1">
      <c r="B202" s="2164"/>
      <c r="C202" s="4608" t="s">
        <v>1846</v>
      </c>
      <c r="D202" s="4608" t="s">
        <v>3286</v>
      </c>
      <c r="E202" s="4609" t="s">
        <v>4624</v>
      </c>
      <c r="F202" s="4610" t="s">
        <v>4625</v>
      </c>
      <c r="G202" s="4611" t="s">
        <v>3795</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4626</v>
      </c>
    </row>
    <row r="203" spans="2:65" s="2070" customFormat="1" ht="21.75" customHeight="1">
      <c r="B203" s="2164"/>
      <c r="C203" s="4608" t="s">
        <v>2272</v>
      </c>
      <c r="D203" s="4608" t="s">
        <v>3286</v>
      </c>
      <c r="E203" s="4609" t="s">
        <v>4627</v>
      </c>
      <c r="F203" s="4610" t="s">
        <v>4628</v>
      </c>
      <c r="G203" s="4611" t="s">
        <v>3795</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4629</v>
      </c>
    </row>
    <row r="204" spans="2:65" s="2070" customFormat="1" ht="16.5" customHeight="1">
      <c r="B204" s="2164"/>
      <c r="C204" s="4608" t="s">
        <v>989</v>
      </c>
      <c r="D204" s="4608" t="s">
        <v>3286</v>
      </c>
      <c r="E204" s="4609" t="s">
        <v>4630</v>
      </c>
      <c r="F204" s="4610" t="s">
        <v>4631</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4632</v>
      </c>
    </row>
    <row r="205" spans="2:65" s="2195" customFormat="1">
      <c r="B205" s="2196"/>
      <c r="D205" s="2197" t="s">
        <v>3303</v>
      </c>
      <c r="E205" s="2198" t="s">
        <v>3146</v>
      </c>
      <c r="F205" s="2199" t="s">
        <v>4633</v>
      </c>
      <c r="H205" s="2198" t="s">
        <v>3146</v>
      </c>
      <c r="L205" s="2196"/>
      <c r="M205" s="2200"/>
      <c r="T205" s="2201"/>
      <c r="AT205" s="2198" t="s">
        <v>3303</v>
      </c>
      <c r="AU205" s="2198" t="s">
        <v>134</v>
      </c>
      <c r="AV205" s="2195" t="s">
        <v>133</v>
      </c>
      <c r="AW205" s="2195" t="s">
        <v>3171</v>
      </c>
      <c r="AX205" s="2195" t="s">
        <v>3213</v>
      </c>
      <c r="AY205" s="2198" t="s">
        <v>3285</v>
      </c>
    </row>
    <row r="206" spans="2:65" s="2209" customFormat="1">
      <c r="B206" s="2210"/>
      <c r="D206" s="2197" t="s">
        <v>3303</v>
      </c>
      <c r="E206" s="2211" t="s">
        <v>3146</v>
      </c>
      <c r="F206" s="2212" t="s">
        <v>4222</v>
      </c>
      <c r="H206" s="2213">
        <v>222</v>
      </c>
      <c r="L206" s="2210"/>
      <c r="M206" s="2214"/>
      <c r="T206" s="2215"/>
      <c r="AT206" s="2211" t="s">
        <v>3303</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4634</v>
      </c>
      <c r="F207" s="4616" t="s">
        <v>4635</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3389</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4636</v>
      </c>
    </row>
    <row r="208" spans="2:65" s="2070" customFormat="1" ht="16.5" customHeight="1">
      <c r="B208" s="2164"/>
      <c r="C208" s="4608" t="s">
        <v>1220</v>
      </c>
      <c r="D208" s="4608" t="s">
        <v>3286</v>
      </c>
      <c r="E208" s="4609" t="s">
        <v>11090</v>
      </c>
      <c r="F208" s="4610" t="s">
        <v>11091</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11092</v>
      </c>
    </row>
    <row r="209" spans="2:65" s="2195" customFormat="1">
      <c r="B209" s="2196"/>
      <c r="D209" s="2197" t="s">
        <v>3303</v>
      </c>
      <c r="E209" s="2198" t="s">
        <v>3146</v>
      </c>
      <c r="F209" s="2199" t="s">
        <v>11093</v>
      </c>
      <c r="H209" s="2198" t="s">
        <v>3146</v>
      </c>
      <c r="L209" s="2196"/>
      <c r="M209" s="2200"/>
      <c r="T209" s="2201"/>
      <c r="AT209" s="2198" t="s">
        <v>3303</v>
      </c>
      <c r="AU209" s="2198" t="s">
        <v>134</v>
      </c>
      <c r="AV209" s="2195" t="s">
        <v>133</v>
      </c>
      <c r="AW209" s="2195" t="s">
        <v>3171</v>
      </c>
      <c r="AX209" s="2195" t="s">
        <v>3213</v>
      </c>
      <c r="AY209" s="2198" t="s">
        <v>3285</v>
      </c>
    </row>
    <row r="210" spans="2:65" s="2195" customFormat="1">
      <c r="B210" s="2196"/>
      <c r="D210" s="2197" t="s">
        <v>3303</v>
      </c>
      <c r="E210" s="2198" t="s">
        <v>3146</v>
      </c>
      <c r="F210" s="2199" t="s">
        <v>11094</v>
      </c>
      <c r="H210" s="2198" t="s">
        <v>3146</v>
      </c>
      <c r="L210" s="2196"/>
      <c r="M210" s="2200"/>
      <c r="T210" s="2201"/>
      <c r="AT210" s="2198" t="s">
        <v>3303</v>
      </c>
      <c r="AU210" s="2198" t="s">
        <v>134</v>
      </c>
      <c r="AV210" s="2195" t="s">
        <v>133</v>
      </c>
      <c r="AW210" s="2195" t="s">
        <v>3171</v>
      </c>
      <c r="AX210" s="2195" t="s">
        <v>3213</v>
      </c>
      <c r="AY210" s="2198" t="s">
        <v>3285</v>
      </c>
    </row>
    <row r="211" spans="2:65" s="2209" customFormat="1">
      <c r="B211" s="2210"/>
      <c r="D211" s="2197" t="s">
        <v>3303</v>
      </c>
      <c r="E211" s="2211" t="s">
        <v>3146</v>
      </c>
      <c r="F211" s="2212" t="s">
        <v>3778</v>
      </c>
      <c r="H211" s="2213">
        <v>123</v>
      </c>
      <c r="L211" s="2210"/>
      <c r="M211" s="2214"/>
      <c r="T211" s="2215"/>
      <c r="AT211" s="2211" t="s">
        <v>3303</v>
      </c>
      <c r="AU211" s="2211" t="s">
        <v>134</v>
      </c>
      <c r="AV211" s="2209" t="s">
        <v>134</v>
      </c>
      <c r="AW211" s="2209" t="s">
        <v>3171</v>
      </c>
      <c r="AX211" s="2209" t="s">
        <v>3213</v>
      </c>
      <c r="AY211" s="2211" t="s">
        <v>3285</v>
      </c>
    </row>
    <row r="212" spans="2:65" s="2216" customFormat="1">
      <c r="B212" s="2217"/>
      <c r="D212" s="2197" t="s">
        <v>3303</v>
      </c>
      <c r="E212" s="2218" t="s">
        <v>3146</v>
      </c>
      <c r="F212" s="2219" t="s">
        <v>3306</v>
      </c>
      <c r="H212" s="2220">
        <v>123</v>
      </c>
      <c r="L212" s="2217"/>
      <c r="M212" s="2221"/>
      <c r="T212" s="2222"/>
      <c r="AT212" s="2218" t="s">
        <v>3303</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11095</v>
      </c>
      <c r="F213" s="4616" t="s">
        <v>11096</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11097</v>
      </c>
    </row>
    <row r="214" spans="2:65" s="2209" customFormat="1">
      <c r="B214" s="2210"/>
      <c r="D214" s="2197" t="s">
        <v>3303</v>
      </c>
      <c r="E214" s="2211" t="s">
        <v>3146</v>
      </c>
      <c r="F214" s="2212" t="s">
        <v>11098</v>
      </c>
      <c r="H214" s="2213">
        <v>8.9999999999999993E-3</v>
      </c>
      <c r="L214" s="2210"/>
      <c r="M214" s="2214"/>
      <c r="T214" s="2215"/>
      <c r="AT214" s="2211" t="s">
        <v>3303</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4637</v>
      </c>
      <c r="F215" s="4610" t="s">
        <v>4638</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4639</v>
      </c>
    </row>
    <row r="216" spans="2:65" s="2195" customFormat="1">
      <c r="B216" s="2196"/>
      <c r="D216" s="2197" t="s">
        <v>3303</v>
      </c>
      <c r="E216" s="2198" t="s">
        <v>3146</v>
      </c>
      <c r="F216" s="2199" t="s">
        <v>4640</v>
      </c>
      <c r="H216" s="2198" t="s">
        <v>3146</v>
      </c>
      <c r="L216" s="2196"/>
      <c r="M216" s="2200"/>
      <c r="T216" s="2201"/>
      <c r="AT216" s="2198" t="s">
        <v>3303</v>
      </c>
      <c r="AU216" s="2198" t="s">
        <v>134</v>
      </c>
      <c r="AV216" s="2195" t="s">
        <v>133</v>
      </c>
      <c r="AW216" s="2195" t="s">
        <v>3171</v>
      </c>
      <c r="AX216" s="2195" t="s">
        <v>3213</v>
      </c>
      <c r="AY216" s="2198" t="s">
        <v>3285</v>
      </c>
    </row>
    <row r="217" spans="2:65" s="2209" customFormat="1">
      <c r="B217" s="2210"/>
      <c r="D217" s="2197" t="s">
        <v>3303</v>
      </c>
      <c r="E217" s="2211" t="s">
        <v>3146</v>
      </c>
      <c r="F217" s="2212" t="s">
        <v>4641</v>
      </c>
      <c r="H217" s="2213">
        <v>24</v>
      </c>
      <c r="L217" s="2210"/>
      <c r="M217" s="2214"/>
      <c r="T217" s="2215"/>
      <c r="AT217" s="2211" t="s">
        <v>3303</v>
      </c>
      <c r="AU217" s="2211" t="s">
        <v>134</v>
      </c>
      <c r="AV217" s="2209" t="s">
        <v>134</v>
      </c>
      <c r="AW217" s="2209" t="s">
        <v>3171</v>
      </c>
      <c r="AX217" s="2209" t="s">
        <v>3213</v>
      </c>
      <c r="AY217" s="2211" t="s">
        <v>3285</v>
      </c>
    </row>
    <row r="218" spans="2:65" s="2195" customFormat="1">
      <c r="B218" s="2196"/>
      <c r="D218" s="2197" t="s">
        <v>3303</v>
      </c>
      <c r="E218" s="2198" t="s">
        <v>3146</v>
      </c>
      <c r="F218" s="2199" t="s">
        <v>4642</v>
      </c>
      <c r="H218" s="2198" t="s">
        <v>3146</v>
      </c>
      <c r="L218" s="2196"/>
      <c r="M218" s="2200"/>
      <c r="T218" s="2201"/>
      <c r="AT218" s="2198" t="s">
        <v>3303</v>
      </c>
      <c r="AU218" s="2198" t="s">
        <v>134</v>
      </c>
      <c r="AV218" s="2195" t="s">
        <v>133</v>
      </c>
      <c r="AW218" s="2195" t="s">
        <v>3171</v>
      </c>
      <c r="AX218" s="2195" t="s">
        <v>3213</v>
      </c>
      <c r="AY218" s="2198" t="s">
        <v>3285</v>
      </c>
    </row>
    <row r="219" spans="2:65" s="2209" customFormat="1">
      <c r="B219" s="2210"/>
      <c r="D219" s="2197" t="s">
        <v>3303</v>
      </c>
      <c r="E219" s="2211" t="s">
        <v>3146</v>
      </c>
      <c r="F219" s="2212" t="s">
        <v>854</v>
      </c>
      <c r="H219" s="2213">
        <v>3</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27</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4643</v>
      </c>
      <c r="F221" s="4616" t="s">
        <v>4644</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4645</v>
      </c>
    </row>
    <row r="222" spans="2:65" s="2195" customFormat="1">
      <c r="B222" s="2196"/>
      <c r="D222" s="2197" t="s">
        <v>3303</v>
      </c>
      <c r="E222" s="2198" t="s">
        <v>3146</v>
      </c>
      <c r="F222" s="2199" t="s">
        <v>4640</v>
      </c>
      <c r="H222" s="2198" t="s">
        <v>3146</v>
      </c>
      <c r="L222" s="2196"/>
      <c r="M222" s="2200"/>
      <c r="T222" s="2201"/>
      <c r="AT222" s="2198" t="s">
        <v>3303</v>
      </c>
      <c r="AU222" s="2198" t="s">
        <v>134</v>
      </c>
      <c r="AV222" s="2195" t="s">
        <v>133</v>
      </c>
      <c r="AW222" s="2195" t="s">
        <v>3171</v>
      </c>
      <c r="AX222" s="2195" t="s">
        <v>3213</v>
      </c>
      <c r="AY222" s="2198" t="s">
        <v>3285</v>
      </c>
    </row>
    <row r="223" spans="2:65" s="2209" customFormat="1">
      <c r="B223" s="2210"/>
      <c r="D223" s="2197" t="s">
        <v>3303</v>
      </c>
      <c r="E223" s="2211" t="s">
        <v>3146</v>
      </c>
      <c r="F223" s="2212" t="s">
        <v>4641</v>
      </c>
      <c r="H223" s="2213">
        <v>24</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4642</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854</v>
      </c>
      <c r="H225" s="2213">
        <v>3</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27</v>
      </c>
      <c r="L226" s="2217"/>
      <c r="M226" s="2221"/>
      <c r="T226" s="2222"/>
      <c r="AT226" s="2218" t="s">
        <v>3303</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11099</v>
      </c>
      <c r="F227" s="4610" t="s">
        <v>11100</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11101</v>
      </c>
    </row>
    <row r="228" spans="2:65" s="2195" customFormat="1" ht="22.5">
      <c r="B228" s="2196"/>
      <c r="D228" s="2197" t="s">
        <v>3303</v>
      </c>
      <c r="E228" s="2198" t="s">
        <v>3146</v>
      </c>
      <c r="F228" s="2199" t="s">
        <v>11102</v>
      </c>
      <c r="H228" s="2198" t="s">
        <v>3146</v>
      </c>
      <c r="L228" s="2196"/>
      <c r="M228" s="2200"/>
      <c r="T228" s="2201"/>
      <c r="AT228" s="2198" t="s">
        <v>3303</v>
      </c>
      <c r="AU228" s="2198" t="s">
        <v>134</v>
      </c>
      <c r="AV228" s="2195" t="s">
        <v>133</v>
      </c>
      <c r="AW228" s="2195" t="s">
        <v>3171</v>
      </c>
      <c r="AX228" s="2195" t="s">
        <v>3213</v>
      </c>
      <c r="AY228" s="2198" t="s">
        <v>3285</v>
      </c>
    </row>
    <row r="229" spans="2:65" s="2209" customFormat="1">
      <c r="B229" s="2210"/>
      <c r="D229" s="2197" t="s">
        <v>3303</v>
      </c>
      <c r="E229" s="2211" t="s">
        <v>3146</v>
      </c>
      <c r="F229" s="2212" t="s">
        <v>11103</v>
      </c>
      <c r="H229" s="2213">
        <v>72</v>
      </c>
      <c r="L229" s="2210"/>
      <c r="M229" s="2214"/>
      <c r="T229" s="2215"/>
      <c r="AT229" s="2211" t="s">
        <v>3303</v>
      </c>
      <c r="AU229" s="2211" t="s">
        <v>134</v>
      </c>
      <c r="AV229" s="2209" t="s">
        <v>134</v>
      </c>
      <c r="AW229" s="2209" t="s">
        <v>3171</v>
      </c>
      <c r="AX229" s="2209" t="s">
        <v>3213</v>
      </c>
      <c r="AY229" s="2211" t="s">
        <v>3285</v>
      </c>
    </row>
    <row r="230" spans="2:65" s="2209" customFormat="1">
      <c r="B230" s="2210"/>
      <c r="D230" s="2197" t="s">
        <v>3303</v>
      </c>
      <c r="E230" s="2211" t="s">
        <v>3146</v>
      </c>
      <c r="F230" s="2212" t="s">
        <v>11104</v>
      </c>
      <c r="H230" s="2213">
        <v>24</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11105</v>
      </c>
      <c r="H231" s="2213">
        <v>56</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11106</v>
      </c>
      <c r="H232" s="2213">
        <v>32</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11107</v>
      </c>
      <c r="H233" s="2213">
        <v>8</v>
      </c>
      <c r="L233" s="2210"/>
      <c r="M233" s="2214"/>
      <c r="T233" s="2215"/>
      <c r="AT233" s="2211" t="s">
        <v>3303</v>
      </c>
      <c r="AU233" s="2211" t="s">
        <v>134</v>
      </c>
      <c r="AV233" s="2209" t="s">
        <v>134</v>
      </c>
      <c r="AW233" s="2209" t="s">
        <v>3171</v>
      </c>
      <c r="AX233" s="2209" t="s">
        <v>3213</v>
      </c>
      <c r="AY233" s="2211" t="s">
        <v>3285</v>
      </c>
    </row>
    <row r="234" spans="2:65" s="2216" customFormat="1">
      <c r="B234" s="2217"/>
      <c r="D234" s="2197" t="s">
        <v>3303</v>
      </c>
      <c r="E234" s="2218" t="s">
        <v>3146</v>
      </c>
      <c r="F234" s="2219" t="s">
        <v>3306</v>
      </c>
      <c r="H234" s="2220">
        <v>192</v>
      </c>
      <c r="L234" s="2217"/>
      <c r="M234" s="2221"/>
      <c r="T234" s="2222"/>
      <c r="AT234" s="2218" t="s">
        <v>3303</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4646</v>
      </c>
      <c r="F235" s="4610" t="s">
        <v>4647</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4648</v>
      </c>
    </row>
    <row r="236" spans="2:65" s="2195" customFormat="1">
      <c r="B236" s="2196"/>
      <c r="D236" s="2197" t="s">
        <v>3303</v>
      </c>
      <c r="E236" s="2198" t="s">
        <v>3146</v>
      </c>
      <c r="F236" s="2199" t="s">
        <v>4649</v>
      </c>
      <c r="H236" s="2198" t="s">
        <v>3146</v>
      </c>
      <c r="L236" s="2196"/>
      <c r="M236" s="2200"/>
      <c r="T236" s="2201"/>
      <c r="AT236" s="2198" t="s">
        <v>3303</v>
      </c>
      <c r="AU236" s="2198" t="s">
        <v>134</v>
      </c>
      <c r="AV236" s="2195" t="s">
        <v>133</v>
      </c>
      <c r="AW236" s="2195" t="s">
        <v>3171</v>
      </c>
      <c r="AX236" s="2195" t="s">
        <v>3213</v>
      </c>
      <c r="AY236" s="2198" t="s">
        <v>3285</v>
      </c>
    </row>
    <row r="237" spans="2:65" s="2209" customFormat="1">
      <c r="B237" s="2210"/>
      <c r="D237" s="2197" t="s">
        <v>3303</v>
      </c>
      <c r="E237" s="2211" t="s">
        <v>3146</v>
      </c>
      <c r="F237" s="2212" t="s">
        <v>4222</v>
      </c>
      <c r="H237" s="2213">
        <v>222</v>
      </c>
      <c r="L237" s="2210"/>
      <c r="M237" s="2214"/>
      <c r="T237" s="2215"/>
      <c r="AT237" s="2211" t="s">
        <v>3303</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4650</v>
      </c>
      <c r="F238" s="4610" t="s">
        <v>4651</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4652</v>
      </c>
    </row>
    <row r="239" spans="2:65" s="2195" customFormat="1">
      <c r="B239" s="2196"/>
      <c r="D239" s="2197" t="s">
        <v>3303</v>
      </c>
      <c r="E239" s="2198" t="s">
        <v>3146</v>
      </c>
      <c r="F239" s="2199" t="s">
        <v>4653</v>
      </c>
      <c r="H239" s="2198" t="s">
        <v>3146</v>
      </c>
      <c r="L239" s="2196"/>
      <c r="M239" s="2200"/>
      <c r="T239" s="2201"/>
      <c r="AT239" s="2198" t="s">
        <v>3303</v>
      </c>
      <c r="AU239" s="2198" t="s">
        <v>134</v>
      </c>
      <c r="AV239" s="2195" t="s">
        <v>133</v>
      </c>
      <c r="AW239" s="2195" t="s">
        <v>3171</v>
      </c>
      <c r="AX239" s="2195" t="s">
        <v>3213</v>
      </c>
      <c r="AY239" s="2198" t="s">
        <v>3285</v>
      </c>
    </row>
    <row r="240" spans="2:65" s="2209" customFormat="1">
      <c r="B240" s="2210"/>
      <c r="D240" s="2197" t="s">
        <v>3303</v>
      </c>
      <c r="E240" s="2211" t="s">
        <v>3146</v>
      </c>
      <c r="F240" s="2212" t="s">
        <v>4654</v>
      </c>
      <c r="H240" s="2213">
        <v>52</v>
      </c>
      <c r="L240" s="2210"/>
      <c r="M240" s="2214"/>
      <c r="T240" s="2215"/>
      <c r="AT240" s="2211" t="s">
        <v>3303</v>
      </c>
      <c r="AU240" s="2211" t="s">
        <v>134</v>
      </c>
      <c r="AV240" s="2209" t="s">
        <v>134</v>
      </c>
      <c r="AW240" s="2209" t="s">
        <v>3171</v>
      </c>
      <c r="AX240" s="2209" t="s">
        <v>133</v>
      </c>
      <c r="AY240" s="2211" t="s">
        <v>3285</v>
      </c>
    </row>
    <row r="241" spans="2:65" s="2070" customFormat="1" ht="33" customHeight="1">
      <c r="B241" s="2164"/>
      <c r="C241" s="4614" t="s">
        <v>3382</v>
      </c>
      <c r="D241" s="4614" t="s">
        <v>135</v>
      </c>
      <c r="E241" s="4615" t="s">
        <v>4655</v>
      </c>
      <c r="F241" s="4616" t="s">
        <v>4656</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4657</v>
      </c>
    </row>
    <row r="242" spans="2:65" s="2209" customFormat="1">
      <c r="B242" s="2210"/>
      <c r="D242" s="2197" t="s">
        <v>3303</v>
      </c>
      <c r="E242" s="2211" t="s">
        <v>3146</v>
      </c>
      <c r="F242" s="2212" t="s">
        <v>4658</v>
      </c>
      <c r="H242" s="2213">
        <v>68.400000000000006</v>
      </c>
      <c r="L242" s="2210"/>
      <c r="M242" s="2214"/>
      <c r="T242" s="2215"/>
      <c r="AT242" s="2211" t="s">
        <v>3303</v>
      </c>
      <c r="AU242" s="2211" t="s">
        <v>134</v>
      </c>
      <c r="AV242" s="2209" t="s">
        <v>134</v>
      </c>
      <c r="AW242" s="2209" t="s">
        <v>3171</v>
      </c>
      <c r="AX242" s="2209" t="s">
        <v>133</v>
      </c>
      <c r="AY242" s="2211" t="s">
        <v>3285</v>
      </c>
    </row>
    <row r="243" spans="2:65" s="2209" customFormat="1">
      <c r="B243" s="2210"/>
      <c r="D243" s="2197" t="s">
        <v>3303</v>
      </c>
      <c r="F243" s="2212" t="s">
        <v>4659</v>
      </c>
      <c r="H243" s="2213">
        <v>75.239999999999995</v>
      </c>
      <c r="L243" s="2210"/>
      <c r="M243" s="2214"/>
      <c r="T243" s="2215"/>
      <c r="AT243" s="2211" t="s">
        <v>3303</v>
      </c>
      <c r="AU243" s="2211" t="s">
        <v>134</v>
      </c>
      <c r="AV243" s="2209" t="s">
        <v>134</v>
      </c>
      <c r="AW243" s="2209" t="s">
        <v>3148</v>
      </c>
      <c r="AX243" s="2209" t="s">
        <v>133</v>
      </c>
      <c r="AY243" s="2211" t="s">
        <v>3285</v>
      </c>
    </row>
    <row r="244" spans="2:65" s="2070" customFormat="1" ht="24.2" customHeight="1">
      <c r="B244" s="2164"/>
      <c r="C244" s="4608" t="s">
        <v>3386</v>
      </c>
      <c r="D244" s="4608" t="s">
        <v>3286</v>
      </c>
      <c r="E244" s="4609" t="s">
        <v>4660</v>
      </c>
      <c r="F244" s="4610" t="s">
        <v>4661</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4662</v>
      </c>
    </row>
    <row r="245" spans="2:65" s="2209" customFormat="1">
      <c r="B245" s="2210"/>
      <c r="D245" s="2197" t="s">
        <v>3303</v>
      </c>
      <c r="E245" s="2211" t="s">
        <v>3146</v>
      </c>
      <c r="F245" s="2212" t="s">
        <v>4663</v>
      </c>
      <c r="H245" s="2213">
        <v>16</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16</v>
      </c>
      <c r="L246" s="2217"/>
      <c r="M246" s="2221"/>
      <c r="T246" s="2222"/>
      <c r="AT246" s="2218" t="s">
        <v>3303</v>
      </c>
      <c r="AU246" s="2218" t="s">
        <v>134</v>
      </c>
      <c r="AV246" s="2216" t="s">
        <v>856</v>
      </c>
      <c r="AW246" s="2216" t="s">
        <v>3171</v>
      </c>
      <c r="AX246" s="2216" t="s">
        <v>133</v>
      </c>
      <c r="AY246" s="2218" t="s">
        <v>3285</v>
      </c>
    </row>
    <row r="247" spans="2:65" s="2070" customFormat="1" ht="24.2" customHeight="1">
      <c r="B247" s="2164"/>
      <c r="C247" s="4614" t="s">
        <v>3389</v>
      </c>
      <c r="D247" s="4614" t="s">
        <v>135</v>
      </c>
      <c r="E247" s="4615" t="s">
        <v>4664</v>
      </c>
      <c r="F247" s="4616" t="s">
        <v>4665</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4666</v>
      </c>
    </row>
    <row r="248" spans="2:65" s="2070" customFormat="1" ht="21.75" customHeight="1">
      <c r="B248" s="2164"/>
      <c r="C248" s="4614" t="s">
        <v>3395</v>
      </c>
      <c r="D248" s="4614" t="s">
        <v>135</v>
      </c>
      <c r="E248" s="4615" t="s">
        <v>4667</v>
      </c>
      <c r="F248" s="4616" t="s">
        <v>4668</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4669</v>
      </c>
    </row>
    <row r="249" spans="2:65" s="2070" customFormat="1" ht="24.2" customHeight="1">
      <c r="B249" s="2164"/>
      <c r="C249" s="4608" t="s">
        <v>3399</v>
      </c>
      <c r="D249" s="4608" t="s">
        <v>3286</v>
      </c>
      <c r="E249" s="4609" t="s">
        <v>4670</v>
      </c>
      <c r="F249" s="4610" t="s">
        <v>4671</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4672</v>
      </c>
    </row>
    <row r="250" spans="2:65" s="2070" customFormat="1" ht="24.2" customHeight="1">
      <c r="B250" s="2164"/>
      <c r="C250" s="4608" t="s">
        <v>2152</v>
      </c>
      <c r="D250" s="4608" t="s">
        <v>3286</v>
      </c>
      <c r="E250" s="4609" t="s">
        <v>4673</v>
      </c>
      <c r="F250" s="4610" t="s">
        <v>4674</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4675</v>
      </c>
    </row>
    <row r="251" spans="2:65" s="2209" customFormat="1">
      <c r="B251" s="2210"/>
      <c r="D251" s="2197" t="s">
        <v>3303</v>
      </c>
      <c r="E251" s="2211" t="s">
        <v>3146</v>
      </c>
      <c r="F251" s="2212" t="s">
        <v>4676</v>
      </c>
      <c r="H251" s="2213">
        <v>4</v>
      </c>
      <c r="L251" s="2210"/>
      <c r="M251" s="2214"/>
      <c r="T251" s="2215"/>
      <c r="AT251" s="2211" t="s">
        <v>3303</v>
      </c>
      <c r="AU251" s="2211" t="s">
        <v>134</v>
      </c>
      <c r="AV251" s="2209" t="s">
        <v>134</v>
      </c>
      <c r="AW251" s="2209" t="s">
        <v>3171</v>
      </c>
      <c r="AX251" s="2209" t="s">
        <v>3213</v>
      </c>
      <c r="AY251" s="2211" t="s">
        <v>3285</v>
      </c>
    </row>
    <row r="252" spans="2:65" s="2209" customFormat="1">
      <c r="B252" s="2210"/>
      <c r="D252" s="2197" t="s">
        <v>3303</v>
      </c>
      <c r="E252" s="2211" t="s">
        <v>3146</v>
      </c>
      <c r="F252" s="2212" t="s">
        <v>4677</v>
      </c>
      <c r="H252" s="2213">
        <v>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2212" t="s">
        <v>4678</v>
      </c>
      <c r="H253" s="2213">
        <v>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v>7</v>
      </c>
      <c r="L254" s="2217"/>
      <c r="M254" s="2221"/>
      <c r="T254" s="2222"/>
      <c r="AT254" s="2218" t="s">
        <v>3303</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4679</v>
      </c>
      <c r="F255" s="4616" t="s">
        <v>4680</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4681</v>
      </c>
    </row>
    <row r="256" spans="2:65" s="2209" customFormat="1">
      <c r="B256" s="2210"/>
      <c r="D256" s="2197" t="s">
        <v>3303</v>
      </c>
      <c r="E256" s="2211" t="s">
        <v>3146</v>
      </c>
      <c r="F256" s="2212" t="s">
        <v>4676</v>
      </c>
      <c r="H256" s="2213">
        <v>4</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4677</v>
      </c>
      <c r="H257" s="2213">
        <v>1</v>
      </c>
      <c r="L257" s="2210"/>
      <c r="M257" s="2214"/>
      <c r="T257" s="2215"/>
      <c r="AT257" s="2211" t="s">
        <v>3303</v>
      </c>
      <c r="AU257" s="2211" t="s">
        <v>134</v>
      </c>
      <c r="AV257" s="2209" t="s">
        <v>134</v>
      </c>
      <c r="AW257" s="2209" t="s">
        <v>3171</v>
      </c>
      <c r="AX257" s="2209" t="s">
        <v>3213</v>
      </c>
      <c r="AY257" s="2211" t="s">
        <v>3285</v>
      </c>
    </row>
    <row r="258" spans="2:65" s="2216" customFormat="1">
      <c r="B258" s="2217"/>
      <c r="D258" s="2197" t="s">
        <v>3303</v>
      </c>
      <c r="E258" s="2218" t="s">
        <v>3146</v>
      </c>
      <c r="F258" s="2219" t="s">
        <v>3306</v>
      </c>
      <c r="H258" s="2220">
        <v>5</v>
      </c>
      <c r="L258" s="2217"/>
      <c r="M258" s="2221"/>
      <c r="T258" s="2222"/>
      <c r="AT258" s="2218" t="s">
        <v>3303</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4682</v>
      </c>
      <c r="F259" s="4616" t="s">
        <v>4683</v>
      </c>
      <c r="G259" s="4617" t="s">
        <v>4684</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4685</v>
      </c>
    </row>
    <row r="260" spans="2:65" s="2070" customFormat="1" ht="24.2" customHeight="1">
      <c r="B260" s="2164"/>
      <c r="C260" s="4608" t="s">
        <v>685</v>
      </c>
      <c r="D260" s="4608" t="s">
        <v>3286</v>
      </c>
      <c r="E260" s="4609" t="s">
        <v>4686</v>
      </c>
      <c r="F260" s="4610" t="s">
        <v>4687</v>
      </c>
      <c r="G260" s="4611" t="s">
        <v>3795</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4688</v>
      </c>
    </row>
    <row r="261" spans="2:65" s="2070" customFormat="1" ht="24.2" customHeight="1">
      <c r="B261" s="2164"/>
      <c r="C261" s="4608" t="s">
        <v>2605</v>
      </c>
      <c r="D261" s="4608" t="s">
        <v>3286</v>
      </c>
      <c r="E261" s="4609" t="s">
        <v>4689</v>
      </c>
      <c r="F261" s="4610" t="s">
        <v>4690</v>
      </c>
      <c r="G261" s="4611" t="s">
        <v>3795</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4691</v>
      </c>
    </row>
    <row r="262" spans="2:65" s="2209" customFormat="1">
      <c r="B262" s="2210"/>
      <c r="D262" s="2197" t="s">
        <v>3303</v>
      </c>
      <c r="E262" s="2211" t="s">
        <v>3146</v>
      </c>
      <c r="F262" s="2212" t="s">
        <v>133</v>
      </c>
      <c r="H262" s="2213">
        <v>1</v>
      </c>
      <c r="L262" s="2210"/>
      <c r="M262" s="2214"/>
      <c r="T262" s="2215"/>
      <c r="AT262" s="2211" t="s">
        <v>3303</v>
      </c>
      <c r="AU262" s="2211" t="s">
        <v>134</v>
      </c>
      <c r="AV262" s="2209" t="s">
        <v>134</v>
      </c>
      <c r="AW262" s="2209" t="s">
        <v>3171</v>
      </c>
      <c r="AX262" s="2209" t="s">
        <v>133</v>
      </c>
      <c r="AY262" s="2211" t="s">
        <v>3285</v>
      </c>
    </row>
    <row r="263" spans="2:65" s="2178" customFormat="1" ht="22.9" customHeight="1">
      <c r="B263" s="2179"/>
      <c r="D263" s="2180" t="s">
        <v>3212</v>
      </c>
      <c r="E263" s="2188" t="s">
        <v>3923</v>
      </c>
      <c r="F263" s="2188" t="s">
        <v>988</v>
      </c>
      <c r="J263" s="2189">
        <f>BK263</f>
        <v>0</v>
      </c>
      <c r="L263" s="2179"/>
      <c r="M263" s="2183"/>
      <c r="P263" s="2184">
        <f>P264</f>
        <v>294.99147999999997</v>
      </c>
      <c r="R263" s="2184">
        <f>R264</f>
        <v>0</v>
      </c>
      <c r="T263" s="2185">
        <f>T264</f>
        <v>0</v>
      </c>
      <c r="AR263" s="2180" t="s">
        <v>133</v>
      </c>
      <c r="AT263" s="2186" t="s">
        <v>3212</v>
      </c>
      <c r="AU263" s="2186" t="s">
        <v>133</v>
      </c>
      <c r="AY263" s="2180" t="s">
        <v>3285</v>
      </c>
      <c r="BK263" s="2187">
        <f>BK264</f>
        <v>0</v>
      </c>
    </row>
    <row r="264" spans="2:65" s="2070" customFormat="1" ht="21.75" customHeight="1">
      <c r="B264" s="2164"/>
      <c r="C264" s="4608" t="s">
        <v>2616</v>
      </c>
      <c r="D264" s="4608" t="s">
        <v>3286</v>
      </c>
      <c r="E264" s="4609" t="s">
        <v>11108</v>
      </c>
      <c r="F264" s="4610" t="s">
        <v>11109</v>
      </c>
      <c r="G264" s="4611" t="s">
        <v>302</v>
      </c>
      <c r="H264" s="4612">
        <v>59.835999999999999</v>
      </c>
      <c r="I264" s="4613"/>
      <c r="J264" s="4613">
        <f>ROUND(I264*H264,2)</f>
        <v>0</v>
      </c>
      <c r="K264" s="4610" t="s">
        <v>142</v>
      </c>
      <c r="L264" s="2071"/>
      <c r="M264" s="2190" t="s">
        <v>3146</v>
      </c>
      <c r="N264" s="2163" t="s">
        <v>3181</v>
      </c>
      <c r="O264" s="2191">
        <v>4.93</v>
      </c>
      <c r="P264" s="2191">
        <f>O264*H264</f>
        <v>294.99147999999997</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11110</v>
      </c>
    </row>
    <row r="265" spans="2:65" s="2178" customFormat="1" ht="25.9" customHeight="1">
      <c r="B265" s="2179"/>
      <c r="D265" s="2180" t="s">
        <v>3212</v>
      </c>
      <c r="E265" s="2181" t="s">
        <v>995</v>
      </c>
      <c r="F265" s="2181" t="s">
        <v>996</v>
      </c>
      <c r="J265" s="2182">
        <f>BK265</f>
        <v>0</v>
      </c>
      <c r="L265" s="2179"/>
      <c r="M265" s="2183"/>
      <c r="P265" s="2184">
        <f>P266+P272+P295+P307+P319+P478+P487+P499+P509+P554+P577+P738+P900+P1605+P1618+P1632+P1693+P1859</f>
        <v>13599.978237999996</v>
      </c>
      <c r="R265" s="2184">
        <f>R266+R272+R295+R307+R319+R478+R487+R499+R509+R554+R577+R738+R900+R1605+R1618+R1632+R1693+R1859</f>
        <v>252.33609159999997</v>
      </c>
      <c r="T265" s="2185">
        <f>T266+T272+T295+T307+T319+T478+T487+T499+T509+T554+T577+T738+T900+T1605+T1618+T1632+T1693+T1859</f>
        <v>0</v>
      </c>
      <c r="AR265" s="2180" t="s">
        <v>134</v>
      </c>
      <c r="AT265" s="2186" t="s">
        <v>3212</v>
      </c>
      <c r="AU265" s="2186" t="s">
        <v>3213</v>
      </c>
      <c r="AY265" s="2180" t="s">
        <v>3285</v>
      </c>
      <c r="BK265" s="2187">
        <f>BK266+BK272+BK295+BK307+BK319+BK478+BK487+BK499+BK509+BK554+BK577+BK738+BK900+BK1605+BK1618+BK1632+BK1693+BK1859</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3424</v>
      </c>
      <c r="D267" s="4608" t="s">
        <v>3286</v>
      </c>
      <c r="E267" s="4609" t="s">
        <v>4692</v>
      </c>
      <c r="F267" s="4610" t="s">
        <v>4693</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4694</v>
      </c>
    </row>
    <row r="268" spans="2:65" s="2070" customFormat="1" ht="16.5" customHeight="1">
      <c r="B268" s="2164"/>
      <c r="C268" s="4614" t="s">
        <v>2645</v>
      </c>
      <c r="D268" s="4614" t="s">
        <v>135</v>
      </c>
      <c r="E268" s="4615" t="s">
        <v>4695</v>
      </c>
      <c r="F268" s="4616" t="s">
        <v>4696</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3389</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4697</v>
      </c>
    </row>
    <row r="269" spans="2:65" s="2209" customFormat="1">
      <c r="B269" s="2210"/>
      <c r="D269" s="2197" t="s">
        <v>3303</v>
      </c>
      <c r="F269" s="2212" t="s">
        <v>4698</v>
      </c>
      <c r="H269" s="2213">
        <v>5.8999999999999997E-2</v>
      </c>
      <c r="L269" s="2210"/>
      <c r="M269" s="2214"/>
      <c r="T269" s="2215"/>
      <c r="AT269" s="2211" t="s">
        <v>3303</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11111</v>
      </c>
      <c r="F270" s="4610" t="s">
        <v>11112</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11113</v>
      </c>
    </row>
    <row r="271" spans="2:65" s="2070" customFormat="1" ht="24.2" customHeight="1">
      <c r="B271" s="2164"/>
      <c r="C271" s="4608" t="s">
        <v>2661</v>
      </c>
      <c r="D271" s="4608" t="s">
        <v>3286</v>
      </c>
      <c r="E271" s="4609" t="s">
        <v>4006</v>
      </c>
      <c r="F271" s="4610" t="s">
        <v>4007</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11114</v>
      </c>
    </row>
    <row r="272" spans="2:65" s="2178" customFormat="1" ht="22.9" customHeight="1">
      <c r="B272" s="2179"/>
      <c r="D272" s="2180" t="s">
        <v>3212</v>
      </c>
      <c r="E272" s="2188" t="s">
        <v>3933</v>
      </c>
      <c r="F272" s="2188" t="s">
        <v>3934</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4699</v>
      </c>
      <c r="F273" s="4610" t="s">
        <v>4700</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4701</v>
      </c>
    </row>
    <row r="274" spans="2:65" s="2195" customFormat="1">
      <c r="B274" s="2196"/>
      <c r="D274" s="2197" t="s">
        <v>3303</v>
      </c>
      <c r="E274" s="2198" t="s">
        <v>3146</v>
      </c>
      <c r="F274" s="2199" t="s">
        <v>4702</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2212" t="s">
        <v>4703</v>
      </c>
      <c r="H275" s="2213">
        <v>45.12</v>
      </c>
      <c r="L275" s="2210"/>
      <c r="M275" s="2214"/>
      <c r="T275" s="2215"/>
      <c r="AT275" s="2211" t="s">
        <v>3303</v>
      </c>
      <c r="AU275" s="2211" t="s">
        <v>134</v>
      </c>
      <c r="AV275" s="2209" t="s">
        <v>134</v>
      </c>
      <c r="AW275" s="2209" t="s">
        <v>3171</v>
      </c>
      <c r="AX275" s="2209" t="s">
        <v>3213</v>
      </c>
      <c r="AY275" s="2211" t="s">
        <v>3285</v>
      </c>
    </row>
    <row r="276" spans="2:65" s="2195" customFormat="1">
      <c r="B276" s="2196"/>
      <c r="D276" s="2197" t="s">
        <v>3303</v>
      </c>
      <c r="E276" s="2198" t="s">
        <v>3146</v>
      </c>
      <c r="F276" s="2199" t="s">
        <v>4704</v>
      </c>
      <c r="H276" s="2198" t="s">
        <v>3146</v>
      </c>
      <c r="L276" s="2196"/>
      <c r="M276" s="2200"/>
      <c r="T276" s="2201"/>
      <c r="AT276" s="2198" t="s">
        <v>3303</v>
      </c>
      <c r="AU276" s="2198" t="s">
        <v>134</v>
      </c>
      <c r="AV276" s="2195" t="s">
        <v>133</v>
      </c>
      <c r="AW276" s="2195" t="s">
        <v>3171</v>
      </c>
      <c r="AX276" s="2195" t="s">
        <v>3213</v>
      </c>
      <c r="AY276" s="2198" t="s">
        <v>3285</v>
      </c>
    </row>
    <row r="277" spans="2:65" s="2209" customFormat="1">
      <c r="B277" s="2210"/>
      <c r="D277" s="2197" t="s">
        <v>3303</v>
      </c>
      <c r="E277" s="2211" t="s">
        <v>3146</v>
      </c>
      <c r="F277" s="2212" t="s">
        <v>4705</v>
      </c>
      <c r="H277" s="2213">
        <v>100.548</v>
      </c>
      <c r="L277" s="2210"/>
      <c r="M277" s="2214"/>
      <c r="T277" s="2215"/>
      <c r="AT277" s="2211" t="s">
        <v>3303</v>
      </c>
      <c r="AU277" s="2211" t="s">
        <v>134</v>
      </c>
      <c r="AV277" s="2209" t="s">
        <v>134</v>
      </c>
      <c r="AW277" s="2209" t="s">
        <v>3171</v>
      </c>
      <c r="AX277" s="2209" t="s">
        <v>3213</v>
      </c>
      <c r="AY277" s="2211" t="s">
        <v>3285</v>
      </c>
    </row>
    <row r="278" spans="2:65" s="2195" customFormat="1">
      <c r="B278" s="2196"/>
      <c r="D278" s="2197" t="s">
        <v>3303</v>
      </c>
      <c r="E278" s="2198" t="s">
        <v>3146</v>
      </c>
      <c r="F278" s="2199" t="s">
        <v>4706</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2212" t="s">
        <v>4707</v>
      </c>
      <c r="H279" s="2213">
        <v>22.8</v>
      </c>
      <c r="L279" s="2210"/>
      <c r="M279" s="2214"/>
      <c r="T279" s="2215"/>
      <c r="AT279" s="2211" t="s">
        <v>3303</v>
      </c>
      <c r="AU279" s="2211" t="s">
        <v>134</v>
      </c>
      <c r="AV279" s="2209" t="s">
        <v>134</v>
      </c>
      <c r="AW279" s="2209" t="s">
        <v>3171</v>
      </c>
      <c r="AX279" s="2209" t="s">
        <v>3213</v>
      </c>
      <c r="AY279" s="2211" t="s">
        <v>3285</v>
      </c>
    </row>
    <row r="280" spans="2:65" s="2216" customFormat="1">
      <c r="B280" s="2217"/>
      <c r="D280" s="2197" t="s">
        <v>3303</v>
      </c>
      <c r="E280" s="2218" t="s">
        <v>3146</v>
      </c>
      <c r="F280" s="2219" t="s">
        <v>3306</v>
      </c>
      <c r="H280" s="2220">
        <v>168.46799999999999</v>
      </c>
      <c r="L280" s="2217"/>
      <c r="M280" s="2221"/>
      <c r="T280" s="2222"/>
      <c r="AT280" s="2218" t="s">
        <v>3303</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4708</v>
      </c>
      <c r="F281" s="4616" t="s">
        <v>4709</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3389</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4710</v>
      </c>
    </row>
    <row r="282" spans="2:65" s="2209" customFormat="1">
      <c r="B282" s="2210"/>
      <c r="D282" s="2197" t="s">
        <v>3303</v>
      </c>
      <c r="F282" s="2212" t="s">
        <v>4711</v>
      </c>
      <c r="H282" s="2213">
        <v>213.196</v>
      </c>
      <c r="L282" s="2210"/>
      <c r="M282" s="2214"/>
      <c r="T282" s="2215"/>
      <c r="AT282" s="2211" t="s">
        <v>3303</v>
      </c>
      <c r="AU282" s="2211" t="s">
        <v>134</v>
      </c>
      <c r="AV282" s="2209" t="s">
        <v>134</v>
      </c>
      <c r="AW282" s="2209" t="s">
        <v>3148</v>
      </c>
      <c r="AX282" s="2209" t="s">
        <v>133</v>
      </c>
      <c r="AY282" s="2211" t="s">
        <v>3285</v>
      </c>
    </row>
    <row r="283" spans="2:65" s="2070" customFormat="1" ht="33" customHeight="1">
      <c r="B283" s="2164"/>
      <c r="C283" s="4608" t="s">
        <v>3472</v>
      </c>
      <c r="D283" s="4608" t="s">
        <v>3286</v>
      </c>
      <c r="E283" s="4609" t="s">
        <v>4712</v>
      </c>
      <c r="F283" s="4610" t="s">
        <v>4713</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4714</v>
      </c>
    </row>
    <row r="284" spans="2:65" s="2195" customFormat="1">
      <c r="B284" s="2196"/>
      <c r="D284" s="2197" t="s">
        <v>3303</v>
      </c>
      <c r="E284" s="2198" t="s">
        <v>3146</v>
      </c>
      <c r="F284" s="2199" t="s">
        <v>4715</v>
      </c>
      <c r="H284" s="2198" t="s">
        <v>3146</v>
      </c>
      <c r="L284" s="2196"/>
      <c r="M284" s="2200"/>
      <c r="T284" s="2201"/>
      <c r="AT284" s="2198" t="s">
        <v>3303</v>
      </c>
      <c r="AU284" s="2198" t="s">
        <v>134</v>
      </c>
      <c r="AV284" s="2195" t="s">
        <v>133</v>
      </c>
      <c r="AW284" s="2195" t="s">
        <v>3171</v>
      </c>
      <c r="AX284" s="2195" t="s">
        <v>3213</v>
      </c>
      <c r="AY284" s="2198" t="s">
        <v>3285</v>
      </c>
    </row>
    <row r="285" spans="2:65" s="2209" customFormat="1">
      <c r="B285" s="2210"/>
      <c r="D285" s="2197" t="s">
        <v>3303</v>
      </c>
      <c r="E285" s="2211" t="s">
        <v>3146</v>
      </c>
      <c r="F285" s="2212" t="s">
        <v>4716</v>
      </c>
      <c r="H285" s="2213">
        <v>4.5999999999999996</v>
      </c>
      <c r="L285" s="2210"/>
      <c r="M285" s="2214"/>
      <c r="T285" s="2215"/>
      <c r="AT285" s="2211" t="s">
        <v>3303</v>
      </c>
      <c r="AU285" s="2211" t="s">
        <v>134</v>
      </c>
      <c r="AV285" s="2209" t="s">
        <v>134</v>
      </c>
      <c r="AW285" s="2209" t="s">
        <v>3171</v>
      </c>
      <c r="AX285" s="2209" t="s">
        <v>3213</v>
      </c>
      <c r="AY285" s="2211" t="s">
        <v>3285</v>
      </c>
    </row>
    <row r="286" spans="2:65" s="2216" customFormat="1">
      <c r="B286" s="2217"/>
      <c r="D286" s="2197" t="s">
        <v>3303</v>
      </c>
      <c r="E286" s="2218" t="s">
        <v>3146</v>
      </c>
      <c r="F286" s="2219" t="s">
        <v>3306</v>
      </c>
      <c r="H286" s="2220">
        <v>4.5999999999999996</v>
      </c>
      <c r="L286" s="2217"/>
      <c r="M286" s="2221"/>
      <c r="T286" s="2222"/>
      <c r="AT286" s="2218" t="s">
        <v>3303</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4717</v>
      </c>
      <c r="F287" s="4610" t="s">
        <v>4718</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4719</v>
      </c>
    </row>
    <row r="288" spans="2:65" s="2195" customFormat="1">
      <c r="B288" s="2196"/>
      <c r="D288" s="2197" t="s">
        <v>3303</v>
      </c>
      <c r="E288" s="2198" t="s">
        <v>3146</v>
      </c>
      <c r="F288" s="2199" t="s">
        <v>4720</v>
      </c>
      <c r="H288" s="2198" t="s">
        <v>3146</v>
      </c>
      <c r="L288" s="2196"/>
      <c r="M288" s="2200"/>
      <c r="T288" s="2201"/>
      <c r="AT288" s="2198" t="s">
        <v>3303</v>
      </c>
      <c r="AU288" s="2198" t="s">
        <v>134</v>
      </c>
      <c r="AV288" s="2195" t="s">
        <v>133</v>
      </c>
      <c r="AW288" s="2195" t="s">
        <v>3171</v>
      </c>
      <c r="AX288" s="2195" t="s">
        <v>3213</v>
      </c>
      <c r="AY288" s="2198" t="s">
        <v>3285</v>
      </c>
    </row>
    <row r="289" spans="2:65" s="2209" customFormat="1">
      <c r="B289" s="2210"/>
      <c r="D289" s="2197" t="s">
        <v>3303</v>
      </c>
      <c r="E289" s="2211" t="s">
        <v>3146</v>
      </c>
      <c r="F289" s="2212" t="s">
        <v>4001</v>
      </c>
      <c r="H289" s="2213">
        <v>179</v>
      </c>
      <c r="L289" s="2210"/>
      <c r="M289" s="2214"/>
      <c r="T289" s="2215"/>
      <c r="AT289" s="2211" t="s">
        <v>3303</v>
      </c>
      <c r="AU289" s="2211" t="s">
        <v>134</v>
      </c>
      <c r="AV289" s="2209" t="s">
        <v>134</v>
      </c>
      <c r="AW289" s="2209" t="s">
        <v>3171</v>
      </c>
      <c r="AX289" s="2209" t="s">
        <v>3213</v>
      </c>
      <c r="AY289" s="2211" t="s">
        <v>3285</v>
      </c>
    </row>
    <row r="290" spans="2:65" s="2216" customFormat="1">
      <c r="B290" s="2217"/>
      <c r="D290" s="2197" t="s">
        <v>3303</v>
      </c>
      <c r="E290" s="2218" t="s">
        <v>3146</v>
      </c>
      <c r="F290" s="2219" t="s">
        <v>3306</v>
      </c>
      <c r="H290" s="2220">
        <v>179</v>
      </c>
      <c r="L290" s="2217"/>
      <c r="M290" s="2221"/>
      <c r="T290" s="2222"/>
      <c r="AT290" s="2218" t="s">
        <v>3303</v>
      </c>
      <c r="AU290" s="2218" t="s">
        <v>134</v>
      </c>
      <c r="AV290" s="2216" t="s">
        <v>856</v>
      </c>
      <c r="AW290" s="2216" t="s">
        <v>3171</v>
      </c>
      <c r="AX290" s="2216" t="s">
        <v>133</v>
      </c>
      <c r="AY290" s="2218" t="s">
        <v>3285</v>
      </c>
    </row>
    <row r="291" spans="2:65" s="2070" customFormat="1" ht="16.5" customHeight="1">
      <c r="B291" s="2164"/>
      <c r="C291" s="4614" t="s">
        <v>3482</v>
      </c>
      <c r="D291" s="4614" t="s">
        <v>135</v>
      </c>
      <c r="E291" s="4615" t="s">
        <v>4721</v>
      </c>
      <c r="F291" s="4616" t="s">
        <v>4722</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3389</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4723</v>
      </c>
    </row>
    <row r="292" spans="2:65" s="2209" customFormat="1">
      <c r="B292" s="2210"/>
      <c r="D292" s="2197" t="s">
        <v>3303</v>
      </c>
      <c r="F292" s="2212" t="s">
        <v>4724</v>
      </c>
      <c r="H292" s="2213">
        <v>182.58</v>
      </c>
      <c r="L292" s="2210"/>
      <c r="M292" s="2214"/>
      <c r="T292" s="2215"/>
      <c r="AT292" s="2211" t="s">
        <v>3303</v>
      </c>
      <c r="AU292" s="2211" t="s">
        <v>134</v>
      </c>
      <c r="AV292" s="2209" t="s">
        <v>134</v>
      </c>
      <c r="AW292" s="2209" t="s">
        <v>3148</v>
      </c>
      <c r="AX292" s="2209" t="s">
        <v>133</v>
      </c>
      <c r="AY292" s="2211" t="s">
        <v>3285</v>
      </c>
    </row>
    <row r="293" spans="2:65" s="2070" customFormat="1" ht="24.2" customHeight="1">
      <c r="B293" s="2164"/>
      <c r="C293" s="4608" t="s">
        <v>3485</v>
      </c>
      <c r="D293" s="4608" t="s">
        <v>3286</v>
      </c>
      <c r="E293" s="4609" t="s">
        <v>4352</v>
      </c>
      <c r="F293" s="4610" t="s">
        <v>4353</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11115</v>
      </c>
    </row>
    <row r="294" spans="2:65" s="2070" customFormat="1" ht="24.2" customHeight="1">
      <c r="B294" s="2164"/>
      <c r="C294" s="4608" t="s">
        <v>2433</v>
      </c>
      <c r="D294" s="4608" t="s">
        <v>3286</v>
      </c>
      <c r="E294" s="4609" t="s">
        <v>4355</v>
      </c>
      <c r="F294" s="4610" t="s">
        <v>4356</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11116</v>
      </c>
    </row>
    <row r="295" spans="2:65" s="2178" customFormat="1" ht="22.9" customHeight="1">
      <c r="B295" s="2179"/>
      <c r="D295" s="2180" t="s">
        <v>3212</v>
      </c>
      <c r="E295" s="2188" t="s">
        <v>4009</v>
      </c>
      <c r="F295" s="2188" t="s">
        <v>4010</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4725</v>
      </c>
      <c r="F296" s="4610" t="s">
        <v>4726</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4727</v>
      </c>
    </row>
    <row r="297" spans="2:65" s="2195" customFormat="1">
      <c r="B297" s="2196"/>
      <c r="D297" s="2197" t="s">
        <v>3303</v>
      </c>
      <c r="E297" s="2198" t="s">
        <v>3146</v>
      </c>
      <c r="F297" s="2199" t="s">
        <v>4590</v>
      </c>
      <c r="H297" s="2198" t="s">
        <v>3146</v>
      </c>
      <c r="L297" s="2196"/>
      <c r="M297" s="2200"/>
      <c r="T297" s="2201"/>
      <c r="AT297" s="2198" t="s">
        <v>3303</v>
      </c>
      <c r="AU297" s="2198" t="s">
        <v>134</v>
      </c>
      <c r="AV297" s="2195" t="s">
        <v>133</v>
      </c>
      <c r="AW297" s="2195" t="s">
        <v>3171</v>
      </c>
      <c r="AX297" s="2195" t="s">
        <v>3213</v>
      </c>
      <c r="AY297" s="2198" t="s">
        <v>3285</v>
      </c>
    </row>
    <row r="298" spans="2:65" s="2209" customFormat="1">
      <c r="B298" s="2210"/>
      <c r="D298" s="2197" t="s">
        <v>3303</v>
      </c>
      <c r="E298" s="2211" t="s">
        <v>3146</v>
      </c>
      <c r="F298" s="2212" t="s">
        <v>4728</v>
      </c>
      <c r="H298" s="2213">
        <v>115.73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4729</v>
      </c>
      <c r="H299" s="2213">
        <v>4.95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4730</v>
      </c>
      <c r="H300" s="2213">
        <v>23.625</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4731</v>
      </c>
      <c r="H301" s="2213">
        <v>3.96</v>
      </c>
      <c r="L301" s="2210"/>
      <c r="M301" s="2214"/>
      <c r="T301" s="2215"/>
      <c r="AT301" s="2211" t="s">
        <v>3303</v>
      </c>
      <c r="AU301" s="2211" t="s">
        <v>134</v>
      </c>
      <c r="AV301" s="2209" t="s">
        <v>134</v>
      </c>
      <c r="AW301" s="2209" t="s">
        <v>3171</v>
      </c>
      <c r="AX301" s="2209" t="s">
        <v>3213</v>
      </c>
      <c r="AY301" s="2211" t="s">
        <v>3285</v>
      </c>
    </row>
    <row r="302" spans="2:65" s="2216" customFormat="1">
      <c r="B302" s="2217"/>
      <c r="D302" s="2197" t="s">
        <v>3303</v>
      </c>
      <c r="E302" s="2218" t="s">
        <v>3146</v>
      </c>
      <c r="F302" s="2219" t="s">
        <v>3306</v>
      </c>
      <c r="H302" s="2220">
        <v>148.26499999999999</v>
      </c>
      <c r="L302" s="2217"/>
      <c r="M302" s="2221"/>
      <c r="T302" s="2222"/>
      <c r="AT302" s="2218" t="s">
        <v>3303</v>
      </c>
      <c r="AU302" s="2218" t="s">
        <v>134</v>
      </c>
      <c r="AV302" s="2216" t="s">
        <v>856</v>
      </c>
      <c r="AW302" s="2216" t="s">
        <v>3171</v>
      </c>
      <c r="AX302" s="2216" t="s">
        <v>133</v>
      </c>
      <c r="AY302" s="2218" t="s">
        <v>3285</v>
      </c>
    </row>
    <row r="303" spans="2:65" s="2070" customFormat="1" ht="16.5" customHeight="1">
      <c r="B303" s="2164"/>
      <c r="C303" s="4614" t="s">
        <v>3497</v>
      </c>
      <c r="D303" s="4614" t="s">
        <v>135</v>
      </c>
      <c r="E303" s="4615" t="s">
        <v>4732</v>
      </c>
      <c r="F303" s="4616" t="s">
        <v>4733</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3389</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4734</v>
      </c>
    </row>
    <row r="304" spans="2:65" s="2209" customFormat="1">
      <c r="B304" s="2210"/>
      <c r="D304" s="2197" t="s">
        <v>3303</v>
      </c>
      <c r="E304" s="2211" t="s">
        <v>3146</v>
      </c>
      <c r="F304" s="2212" t="s">
        <v>4735</v>
      </c>
      <c r="H304" s="2213">
        <v>8.8960000000000008</v>
      </c>
      <c r="L304" s="2210"/>
      <c r="M304" s="2214"/>
      <c r="T304" s="2215"/>
      <c r="AT304" s="2211" t="s">
        <v>3303</v>
      </c>
      <c r="AU304" s="2211" t="s">
        <v>134</v>
      </c>
      <c r="AV304" s="2209" t="s">
        <v>134</v>
      </c>
      <c r="AW304" s="2209" t="s">
        <v>3171</v>
      </c>
      <c r="AX304" s="2209" t="s">
        <v>133</v>
      </c>
      <c r="AY304" s="2211" t="s">
        <v>3285</v>
      </c>
    </row>
    <row r="305" spans="2:65" s="2070" customFormat="1" ht="24.2" customHeight="1">
      <c r="B305" s="2164"/>
      <c r="C305" s="4608" t="s">
        <v>3502</v>
      </c>
      <c r="D305" s="4608" t="s">
        <v>3286</v>
      </c>
      <c r="E305" s="4609" t="s">
        <v>4385</v>
      </c>
      <c r="F305" s="4610" t="s">
        <v>4386</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11117</v>
      </c>
    </row>
    <row r="306" spans="2:65" s="2070" customFormat="1" ht="24.2" customHeight="1">
      <c r="B306" s="2164"/>
      <c r="C306" s="4608" t="s">
        <v>2225</v>
      </c>
      <c r="D306" s="4608" t="s">
        <v>3286</v>
      </c>
      <c r="E306" s="4609" t="s">
        <v>4388</v>
      </c>
      <c r="F306" s="4610" t="s">
        <v>4389</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11118</v>
      </c>
    </row>
    <row r="307" spans="2:65" s="2178" customFormat="1" ht="22.9" customHeight="1">
      <c r="B307" s="2179"/>
      <c r="D307" s="2180" t="s">
        <v>3212</v>
      </c>
      <c r="E307" s="2188" t="s">
        <v>4736</v>
      </c>
      <c r="F307" s="2188" t="s">
        <v>4737</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4738</v>
      </c>
      <c r="F308" s="4610" t="s">
        <v>4739</v>
      </c>
      <c r="G308" s="4611" t="s">
        <v>3795</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4740</v>
      </c>
    </row>
    <row r="309" spans="2:65" s="2209" customFormat="1">
      <c r="B309" s="2210"/>
      <c r="D309" s="2197" t="s">
        <v>3303</v>
      </c>
      <c r="E309" s="2211" t="s">
        <v>3146</v>
      </c>
      <c r="F309" s="2212" t="s">
        <v>4741</v>
      </c>
      <c r="H309" s="2213">
        <v>6</v>
      </c>
      <c r="L309" s="2210"/>
      <c r="M309" s="2214"/>
      <c r="T309" s="2215"/>
      <c r="AT309" s="2211" t="s">
        <v>3303</v>
      </c>
      <c r="AU309" s="2211" t="s">
        <v>134</v>
      </c>
      <c r="AV309" s="2209" t="s">
        <v>134</v>
      </c>
      <c r="AW309" s="2209" t="s">
        <v>3171</v>
      </c>
      <c r="AX309" s="2209" t="s">
        <v>3213</v>
      </c>
      <c r="AY309" s="2211" t="s">
        <v>3285</v>
      </c>
    </row>
    <row r="310" spans="2:65" s="2216" customFormat="1">
      <c r="B310" s="2217"/>
      <c r="D310" s="2197" t="s">
        <v>3303</v>
      </c>
      <c r="E310" s="2218" t="s">
        <v>3146</v>
      </c>
      <c r="F310" s="2219" t="s">
        <v>3306</v>
      </c>
      <c r="H310" s="2220">
        <v>6</v>
      </c>
      <c r="L310" s="2217"/>
      <c r="M310" s="2221"/>
      <c r="T310" s="2222"/>
      <c r="AT310" s="2218" t="s">
        <v>3303</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4742</v>
      </c>
      <c r="F311" s="4610" t="s">
        <v>4743</v>
      </c>
      <c r="G311" s="4611" t="s">
        <v>3795</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4744</v>
      </c>
    </row>
    <row r="312" spans="2:65" s="2209" customFormat="1">
      <c r="B312" s="2210"/>
      <c r="D312" s="2197" t="s">
        <v>3303</v>
      </c>
      <c r="E312" s="2211" t="s">
        <v>3146</v>
      </c>
      <c r="F312" s="2212" t="s">
        <v>4745</v>
      </c>
      <c r="H312" s="2213">
        <v>1</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4746</v>
      </c>
      <c r="F313" s="4610" t="s">
        <v>4747</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4748</v>
      </c>
    </row>
    <row r="314" spans="2:65" s="2209" customFormat="1">
      <c r="B314" s="2210"/>
      <c r="D314" s="2197" t="s">
        <v>3303</v>
      </c>
      <c r="E314" s="2211" t="s">
        <v>3146</v>
      </c>
      <c r="F314" s="2212" t="s">
        <v>133</v>
      </c>
      <c r="H314" s="2213">
        <v>1</v>
      </c>
      <c r="L314" s="2210"/>
      <c r="M314" s="2214"/>
      <c r="T314" s="2215"/>
      <c r="AT314" s="2211" t="s">
        <v>3303</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4749</v>
      </c>
      <c r="F315" s="4610" t="s">
        <v>4750</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4751</v>
      </c>
    </row>
    <row r="316" spans="2:65" s="2209" customFormat="1">
      <c r="B316" s="2210"/>
      <c r="D316" s="2197" t="s">
        <v>3303</v>
      </c>
      <c r="E316" s="2211" t="s">
        <v>3146</v>
      </c>
      <c r="F316" s="2212" t="s">
        <v>4752</v>
      </c>
      <c r="H316" s="2213">
        <v>4</v>
      </c>
      <c r="L316" s="2210"/>
      <c r="M316" s="2214"/>
      <c r="T316" s="2215"/>
      <c r="AT316" s="2211" t="s">
        <v>3303</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11119</v>
      </c>
      <c r="F317" s="4610" t="s">
        <v>11120</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11121</v>
      </c>
    </row>
    <row r="318" spans="2:65" s="2070" customFormat="1" ht="24.2" customHeight="1">
      <c r="B318" s="2164"/>
      <c r="C318" s="4608" t="s">
        <v>2999</v>
      </c>
      <c r="D318" s="4608" t="s">
        <v>3286</v>
      </c>
      <c r="E318" s="4609" t="s">
        <v>11122</v>
      </c>
      <c r="F318" s="4610" t="s">
        <v>11123</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11124</v>
      </c>
    </row>
    <row r="319" spans="2:65" s="2178" customFormat="1" ht="22.9" customHeight="1">
      <c r="B319" s="2179"/>
      <c r="D319" s="2180" t="s">
        <v>3212</v>
      </c>
      <c r="E319" s="2188" t="s">
        <v>4753</v>
      </c>
      <c r="F319" s="2188" t="s">
        <v>4754</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4755</v>
      </c>
      <c r="F320" s="4610" t="s">
        <v>4756</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4757</v>
      </c>
    </row>
    <row r="321" spans="2:65" s="2195" customFormat="1">
      <c r="B321" s="2196"/>
      <c r="D321" s="2197" t="s">
        <v>3303</v>
      </c>
      <c r="E321" s="2198" t="s">
        <v>3146</v>
      </c>
      <c r="F321" s="2199" t="s">
        <v>4758</v>
      </c>
      <c r="H321" s="2198" t="s">
        <v>3146</v>
      </c>
      <c r="L321" s="2196"/>
      <c r="M321" s="2200"/>
      <c r="T321" s="2201"/>
      <c r="AT321" s="2198" t="s">
        <v>3303</v>
      </c>
      <c r="AU321" s="2198" t="s">
        <v>134</v>
      </c>
      <c r="AV321" s="2195" t="s">
        <v>133</v>
      </c>
      <c r="AW321" s="2195" t="s">
        <v>3171</v>
      </c>
      <c r="AX321" s="2195" t="s">
        <v>3213</v>
      </c>
      <c r="AY321" s="2198" t="s">
        <v>3285</v>
      </c>
    </row>
    <row r="322" spans="2:65" s="2209" customFormat="1">
      <c r="B322" s="2210"/>
      <c r="D322" s="2197" t="s">
        <v>3303</v>
      </c>
      <c r="E322" s="2211" t="s">
        <v>3146</v>
      </c>
      <c r="F322" s="2212" t="s">
        <v>4759</v>
      </c>
      <c r="H322" s="2213">
        <v>35</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3547</v>
      </c>
      <c r="D323" s="4608" t="s">
        <v>3286</v>
      </c>
      <c r="E323" s="4609" t="s">
        <v>4760</v>
      </c>
      <c r="F323" s="4610" t="s">
        <v>4761</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4762</v>
      </c>
    </row>
    <row r="324" spans="2:65" s="2195" customFormat="1">
      <c r="B324" s="2196"/>
      <c r="D324" s="2197" t="s">
        <v>3303</v>
      </c>
      <c r="E324" s="2198" t="s">
        <v>3146</v>
      </c>
      <c r="F324" s="2199" t="s">
        <v>4763</v>
      </c>
      <c r="H324" s="2198" t="s">
        <v>3146</v>
      </c>
      <c r="L324" s="2196"/>
      <c r="M324" s="2200"/>
      <c r="T324" s="2201"/>
      <c r="AT324" s="2198" t="s">
        <v>3303</v>
      </c>
      <c r="AU324" s="2198" t="s">
        <v>134</v>
      </c>
      <c r="AV324" s="2195" t="s">
        <v>133</v>
      </c>
      <c r="AW324" s="2195" t="s">
        <v>3171</v>
      </c>
      <c r="AX324" s="2195" t="s">
        <v>3213</v>
      </c>
      <c r="AY324" s="2198" t="s">
        <v>3285</v>
      </c>
    </row>
    <row r="325" spans="2:65" s="2209" customFormat="1">
      <c r="B325" s="2210"/>
      <c r="D325" s="2197" t="s">
        <v>3303</v>
      </c>
      <c r="E325" s="2211" t="s">
        <v>3146</v>
      </c>
      <c r="F325" s="2212" t="s">
        <v>4764</v>
      </c>
      <c r="H325" s="2213">
        <v>7</v>
      </c>
      <c r="L325" s="2210"/>
      <c r="M325" s="2214"/>
      <c r="T325" s="2215"/>
      <c r="AT325" s="2211" t="s">
        <v>3303</v>
      </c>
      <c r="AU325" s="2211" t="s">
        <v>134</v>
      </c>
      <c r="AV325" s="2209" t="s">
        <v>134</v>
      </c>
      <c r="AW325" s="2209" t="s">
        <v>3171</v>
      </c>
      <c r="AX325" s="2209" t="s">
        <v>133</v>
      </c>
      <c r="AY325" s="2211" t="s">
        <v>3285</v>
      </c>
    </row>
    <row r="326" spans="2:65" s="2070" customFormat="1" ht="16.5" customHeight="1">
      <c r="B326" s="2164"/>
      <c r="C326" s="4608" t="s">
        <v>3551</v>
      </c>
      <c r="D326" s="4608" t="s">
        <v>3286</v>
      </c>
      <c r="E326" s="4609" t="s">
        <v>4765</v>
      </c>
      <c r="F326" s="4610" t="s">
        <v>4766</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4767</v>
      </c>
    </row>
    <row r="327" spans="2:65" s="2195" customFormat="1">
      <c r="B327" s="2196"/>
      <c r="D327" s="2197" t="s">
        <v>3303</v>
      </c>
      <c r="E327" s="2198" t="s">
        <v>3146</v>
      </c>
      <c r="F327" s="2199" t="s">
        <v>4768</v>
      </c>
      <c r="H327" s="2198" t="s">
        <v>3146</v>
      </c>
      <c r="L327" s="2196"/>
      <c r="M327" s="2200"/>
      <c r="T327" s="2201"/>
      <c r="AT327" s="2198" t="s">
        <v>3303</v>
      </c>
      <c r="AU327" s="2198" t="s">
        <v>134</v>
      </c>
      <c r="AV327" s="2195" t="s">
        <v>133</v>
      </c>
      <c r="AW327" s="2195" t="s">
        <v>3171</v>
      </c>
      <c r="AX327" s="2195" t="s">
        <v>3213</v>
      </c>
      <c r="AY327" s="2198" t="s">
        <v>3285</v>
      </c>
    </row>
    <row r="328" spans="2:65" s="2209" customFormat="1">
      <c r="B328" s="2210"/>
      <c r="D328" s="2197" t="s">
        <v>3303</v>
      </c>
      <c r="E328" s="2211" t="s">
        <v>3146</v>
      </c>
      <c r="F328" s="2212" t="s">
        <v>4769</v>
      </c>
      <c r="H328" s="2213">
        <v>42</v>
      </c>
      <c r="L328" s="2210"/>
      <c r="M328" s="2214"/>
      <c r="T328" s="2215"/>
      <c r="AT328" s="2211" t="s">
        <v>3303</v>
      </c>
      <c r="AU328" s="2211" t="s">
        <v>134</v>
      </c>
      <c r="AV328" s="2209" t="s">
        <v>134</v>
      </c>
      <c r="AW328" s="2209" t="s">
        <v>3171</v>
      </c>
      <c r="AX328" s="2209" t="s">
        <v>133</v>
      </c>
      <c r="AY328" s="2211" t="s">
        <v>3285</v>
      </c>
    </row>
    <row r="329" spans="2:65" s="2070" customFormat="1" ht="16.5" customHeight="1">
      <c r="B329" s="2164"/>
      <c r="C329" s="4608" t="s">
        <v>3555</v>
      </c>
      <c r="D329" s="4608" t="s">
        <v>3286</v>
      </c>
      <c r="E329" s="4609" t="s">
        <v>4770</v>
      </c>
      <c r="F329" s="4610" t="s">
        <v>4771</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4772</v>
      </c>
    </row>
    <row r="330" spans="2:65" s="2195" customFormat="1">
      <c r="B330" s="2196"/>
      <c r="D330" s="2197" t="s">
        <v>3303</v>
      </c>
      <c r="E330" s="2198" t="s">
        <v>3146</v>
      </c>
      <c r="F330" s="2199" t="s">
        <v>4773</v>
      </c>
      <c r="H330" s="2198" t="s">
        <v>3146</v>
      </c>
      <c r="L330" s="2196"/>
      <c r="M330" s="2200"/>
      <c r="T330" s="2201"/>
      <c r="AT330" s="2198" t="s">
        <v>3303</v>
      </c>
      <c r="AU330" s="2198" t="s">
        <v>134</v>
      </c>
      <c r="AV330" s="2195" t="s">
        <v>133</v>
      </c>
      <c r="AW330" s="2195" t="s">
        <v>3171</v>
      </c>
      <c r="AX330" s="2195" t="s">
        <v>3213</v>
      </c>
      <c r="AY330" s="2198" t="s">
        <v>3285</v>
      </c>
    </row>
    <row r="331" spans="2:65" s="2209" customFormat="1">
      <c r="B331" s="2210"/>
      <c r="D331" s="2197" t="s">
        <v>3303</v>
      </c>
      <c r="E331" s="2211" t="s">
        <v>3146</v>
      </c>
      <c r="F331" s="2212" t="s">
        <v>4774</v>
      </c>
      <c r="H331" s="2213">
        <v>57</v>
      </c>
      <c r="L331" s="2210"/>
      <c r="M331" s="2214"/>
      <c r="T331" s="2215"/>
      <c r="AT331" s="2211" t="s">
        <v>3303</v>
      </c>
      <c r="AU331" s="2211" t="s">
        <v>134</v>
      </c>
      <c r="AV331" s="2209" t="s">
        <v>134</v>
      </c>
      <c r="AW331" s="2209" t="s">
        <v>3171</v>
      </c>
      <c r="AX331" s="2209" t="s">
        <v>133</v>
      </c>
      <c r="AY331" s="2211" t="s">
        <v>3285</v>
      </c>
    </row>
    <row r="332" spans="2:65" s="2070" customFormat="1" ht="16.5" customHeight="1">
      <c r="B332" s="2164"/>
      <c r="C332" s="4608" t="s">
        <v>3559</v>
      </c>
      <c r="D332" s="4608" t="s">
        <v>3286</v>
      </c>
      <c r="E332" s="4609" t="s">
        <v>4775</v>
      </c>
      <c r="F332" s="4610" t="s">
        <v>4776</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4777</v>
      </c>
    </row>
    <row r="333" spans="2:65" s="2195" customFormat="1">
      <c r="B333" s="2196"/>
      <c r="D333" s="2197" t="s">
        <v>3303</v>
      </c>
      <c r="E333" s="2198" t="s">
        <v>3146</v>
      </c>
      <c r="F333" s="2199" t="s">
        <v>4778</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4779</v>
      </c>
      <c r="H334" s="2213">
        <v>36</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36</v>
      </c>
      <c r="L335" s="2217"/>
      <c r="M335" s="2221"/>
      <c r="T335" s="2222"/>
      <c r="AT335" s="2218" t="s">
        <v>3303</v>
      </c>
      <c r="AU335" s="2218" t="s">
        <v>134</v>
      </c>
      <c r="AV335" s="2216" t="s">
        <v>856</v>
      </c>
      <c r="AW335" s="2216" t="s">
        <v>3171</v>
      </c>
      <c r="AX335" s="2216" t="s">
        <v>133</v>
      </c>
      <c r="AY335" s="2218" t="s">
        <v>3285</v>
      </c>
    </row>
    <row r="336" spans="2:65" s="2070" customFormat="1" ht="16.5" customHeight="1">
      <c r="B336" s="2164"/>
      <c r="C336" s="4608" t="s">
        <v>3565</v>
      </c>
      <c r="D336" s="4608" t="s">
        <v>3286</v>
      </c>
      <c r="E336" s="4609" t="s">
        <v>4780</v>
      </c>
      <c r="F336" s="4610" t="s">
        <v>4781</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4782</v>
      </c>
    </row>
    <row r="337" spans="2:65" s="2195" customFormat="1">
      <c r="B337" s="2196"/>
      <c r="D337" s="2197" t="s">
        <v>3303</v>
      </c>
      <c r="E337" s="2198" t="s">
        <v>3146</v>
      </c>
      <c r="F337" s="2199" t="s">
        <v>4783</v>
      </c>
      <c r="H337" s="2198" t="s">
        <v>3146</v>
      </c>
      <c r="L337" s="2196"/>
      <c r="M337" s="2200"/>
      <c r="T337" s="2201"/>
      <c r="AT337" s="2198" t="s">
        <v>3303</v>
      </c>
      <c r="AU337" s="2198" t="s">
        <v>134</v>
      </c>
      <c r="AV337" s="2195" t="s">
        <v>133</v>
      </c>
      <c r="AW337" s="2195" t="s">
        <v>3171</v>
      </c>
      <c r="AX337" s="2195" t="s">
        <v>3213</v>
      </c>
      <c r="AY337" s="2198" t="s">
        <v>3285</v>
      </c>
    </row>
    <row r="338" spans="2:65" s="2209" customFormat="1">
      <c r="B338" s="2210"/>
      <c r="D338" s="2197" t="s">
        <v>3303</v>
      </c>
      <c r="E338" s="2211" t="s">
        <v>3146</v>
      </c>
      <c r="F338" s="2212" t="s">
        <v>4784</v>
      </c>
      <c r="H338" s="2213">
        <v>16</v>
      </c>
      <c r="L338" s="2210"/>
      <c r="M338" s="2214"/>
      <c r="T338" s="2215"/>
      <c r="AT338" s="2211" t="s">
        <v>3303</v>
      </c>
      <c r="AU338" s="2211" t="s">
        <v>134</v>
      </c>
      <c r="AV338" s="2209" t="s">
        <v>134</v>
      </c>
      <c r="AW338" s="2209" t="s">
        <v>3171</v>
      </c>
      <c r="AX338" s="2209" t="s">
        <v>3213</v>
      </c>
      <c r="AY338" s="2211" t="s">
        <v>3285</v>
      </c>
    </row>
    <row r="339" spans="2:65" s="2216" customFormat="1">
      <c r="B339" s="2217"/>
      <c r="D339" s="2197" t="s">
        <v>3303</v>
      </c>
      <c r="E339" s="2218" t="s">
        <v>3146</v>
      </c>
      <c r="F339" s="2219" t="s">
        <v>3306</v>
      </c>
      <c r="H339" s="2220">
        <v>16</v>
      </c>
      <c r="L339" s="2217"/>
      <c r="M339" s="2221"/>
      <c r="T339" s="2222"/>
      <c r="AT339" s="2218" t="s">
        <v>3303</v>
      </c>
      <c r="AU339" s="2218" t="s">
        <v>134</v>
      </c>
      <c r="AV339" s="2216" t="s">
        <v>856</v>
      </c>
      <c r="AW339" s="2216" t="s">
        <v>3171</v>
      </c>
      <c r="AX339" s="2216" t="s">
        <v>133</v>
      </c>
      <c r="AY339" s="2218" t="s">
        <v>3285</v>
      </c>
    </row>
    <row r="340" spans="2:65" s="2070" customFormat="1" ht="16.5" customHeight="1">
      <c r="B340" s="2164"/>
      <c r="C340" s="4608">
        <v>68</v>
      </c>
      <c r="D340" s="4608" t="s">
        <v>3286</v>
      </c>
      <c r="E340" s="4609" t="s">
        <v>11598</v>
      </c>
      <c r="F340" s="4610" t="s">
        <v>11599</v>
      </c>
      <c r="G340" s="4611" t="s">
        <v>155</v>
      </c>
      <c r="H340" s="4612">
        <v>14</v>
      </c>
      <c r="I340" s="4613"/>
      <c r="J340" s="4613">
        <f>ROUND(I340*H340,2)</f>
        <v>0</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f>IF(N340="snížená",J340,0)</f>
        <v>0</v>
      </c>
      <c r="BG340" s="2194">
        <f>IF(N340="zákl. přenesená",J340,0)</f>
        <v>0</v>
      </c>
      <c r="BH340" s="2194">
        <f>IF(N340="sníž. přenesená",J340,0)</f>
        <v>0</v>
      </c>
      <c r="BI340" s="2194">
        <f>IF(N340="nulová",J340,0)</f>
        <v>0</v>
      </c>
      <c r="BJ340" s="2056" t="s">
        <v>134</v>
      </c>
      <c r="BK340" s="2194">
        <f>ROUND(I340*H340,2)</f>
        <v>0</v>
      </c>
      <c r="BL340" s="2056" t="s">
        <v>856</v>
      </c>
      <c r="BM340" s="2193" t="s">
        <v>4782</v>
      </c>
    </row>
    <row r="341" spans="2:65" s="2195" customFormat="1">
      <c r="B341" s="2196"/>
      <c r="D341" s="2197" t="s">
        <v>3303</v>
      </c>
      <c r="E341" s="2198" t="s">
        <v>3146</v>
      </c>
      <c r="F341" s="2199" t="s">
        <v>11600</v>
      </c>
      <c r="H341" s="2198" t="s">
        <v>3146</v>
      </c>
      <c r="L341" s="2196"/>
      <c r="M341" s="2200"/>
      <c r="T341" s="2201"/>
      <c r="AT341" s="2198" t="s">
        <v>3303</v>
      </c>
      <c r="AU341" s="2198" t="s">
        <v>134</v>
      </c>
      <c r="AV341" s="2195" t="s">
        <v>133</v>
      </c>
      <c r="AW341" s="2195" t="s">
        <v>3171</v>
      </c>
      <c r="AX341" s="2195" t="s">
        <v>3213</v>
      </c>
      <c r="AY341" s="2198" t="s">
        <v>3285</v>
      </c>
    </row>
    <row r="342" spans="2:65" s="2209" customFormat="1">
      <c r="B342" s="2210"/>
      <c r="D342" s="2197" t="s">
        <v>3303</v>
      </c>
      <c r="E342" s="2211" t="s">
        <v>3146</v>
      </c>
      <c r="F342" s="2212" t="s">
        <v>11601</v>
      </c>
      <c r="H342" s="2213">
        <f>3+6+3+2</f>
        <v>14</v>
      </c>
      <c r="L342" s="2210"/>
      <c r="M342" s="2214"/>
      <c r="T342" s="2215"/>
      <c r="AT342" s="2211" t="s">
        <v>3303</v>
      </c>
      <c r="AU342" s="2211" t="s">
        <v>134</v>
      </c>
      <c r="AV342" s="2209" t="s">
        <v>134</v>
      </c>
      <c r="AW342" s="2209" t="s">
        <v>3171</v>
      </c>
      <c r="AX342" s="2209" t="s">
        <v>3213</v>
      </c>
      <c r="AY342" s="2211" t="s">
        <v>3285</v>
      </c>
    </row>
    <row r="343" spans="2:65" s="2216" customFormat="1">
      <c r="B343" s="2217"/>
      <c r="D343" s="2197" t="s">
        <v>3303</v>
      </c>
      <c r="E343" s="2218" t="s">
        <v>3146</v>
      </c>
      <c r="F343" s="2219" t="s">
        <v>3306</v>
      </c>
      <c r="H343" s="2220">
        <v>14</v>
      </c>
      <c r="L343" s="2217"/>
      <c r="M343" s="2221"/>
      <c r="T343" s="2222"/>
      <c r="AT343" s="2218" t="s">
        <v>3303</v>
      </c>
      <c r="AU343" s="2218" t="s">
        <v>134</v>
      </c>
      <c r="AV343" s="2216" t="s">
        <v>856</v>
      </c>
      <c r="AW343" s="2216" t="s">
        <v>3171</v>
      </c>
      <c r="AX343" s="2216" t="s">
        <v>133</v>
      </c>
      <c r="AY343" s="2218" t="s">
        <v>3285</v>
      </c>
    </row>
    <row r="344" spans="2:65" s="2070" customFormat="1" ht="21.75" customHeight="1">
      <c r="B344" s="2164"/>
      <c r="C344" s="4608">
        <v>69</v>
      </c>
      <c r="D344" s="4608" t="s">
        <v>3286</v>
      </c>
      <c r="E344" s="4609" t="s">
        <v>4785</v>
      </c>
      <c r="F344" s="4610" t="s">
        <v>4786</v>
      </c>
      <c r="G344" s="4611" t="s">
        <v>155</v>
      </c>
      <c r="H344" s="4612">
        <v>28</v>
      </c>
      <c r="I344" s="4613"/>
      <c r="J344" s="4613">
        <f>ROUND(I344*H344,2)</f>
        <v>0</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856</v>
      </c>
      <c r="BM344" s="2193" t="s">
        <v>4787</v>
      </c>
    </row>
    <row r="345" spans="2:65" s="2195" customFormat="1">
      <c r="B345" s="2196"/>
      <c r="D345" s="2197" t="s">
        <v>3303</v>
      </c>
      <c r="E345" s="2198" t="s">
        <v>3146</v>
      </c>
      <c r="F345" s="2199" t="s">
        <v>4788</v>
      </c>
      <c r="H345" s="2198" t="s">
        <v>3146</v>
      </c>
      <c r="L345" s="2196"/>
      <c r="M345" s="2200"/>
      <c r="T345" s="2201"/>
      <c r="AT345" s="2198" t="s">
        <v>3303</v>
      </c>
      <c r="AU345" s="2198" t="s">
        <v>134</v>
      </c>
      <c r="AV345" s="2195" t="s">
        <v>133</v>
      </c>
      <c r="AW345" s="2195" t="s">
        <v>3171</v>
      </c>
      <c r="AX345" s="2195" t="s">
        <v>3213</v>
      </c>
      <c r="AY345" s="2198" t="s">
        <v>3285</v>
      </c>
    </row>
    <row r="346" spans="2:65" s="2209" customFormat="1">
      <c r="B346" s="2210"/>
      <c r="D346" s="2197" t="s">
        <v>3303</v>
      </c>
      <c r="E346" s="2211" t="s">
        <v>3146</v>
      </c>
      <c r="F346" s="2212" t="s">
        <v>4789</v>
      </c>
      <c r="H346" s="2213">
        <v>28</v>
      </c>
      <c r="L346" s="2210"/>
      <c r="M346" s="2214"/>
      <c r="T346" s="2215"/>
      <c r="AT346" s="2211" t="s">
        <v>3303</v>
      </c>
      <c r="AU346" s="2211" t="s">
        <v>134</v>
      </c>
      <c r="AV346" s="2209" t="s">
        <v>134</v>
      </c>
      <c r="AW346" s="2209" t="s">
        <v>3171</v>
      </c>
      <c r="AX346" s="2209" t="s">
        <v>3213</v>
      </c>
      <c r="AY346" s="2211" t="s">
        <v>3285</v>
      </c>
    </row>
    <row r="347" spans="2:65" s="2216" customFormat="1">
      <c r="B347" s="2217"/>
      <c r="D347" s="2197" t="s">
        <v>3303</v>
      </c>
      <c r="E347" s="2218" t="s">
        <v>3146</v>
      </c>
      <c r="F347" s="2219" t="s">
        <v>3306</v>
      </c>
      <c r="H347" s="2220">
        <v>28</v>
      </c>
      <c r="L347" s="2217"/>
      <c r="M347" s="2221"/>
      <c r="T347" s="2222"/>
      <c r="AT347" s="2218" t="s">
        <v>3303</v>
      </c>
      <c r="AU347" s="2218" t="s">
        <v>134</v>
      </c>
      <c r="AV347" s="2216" t="s">
        <v>856</v>
      </c>
      <c r="AW347" s="2216" t="s">
        <v>3171</v>
      </c>
      <c r="AX347" s="2216" t="s">
        <v>133</v>
      </c>
      <c r="AY347" s="2218" t="s">
        <v>3285</v>
      </c>
    </row>
    <row r="348" spans="2:65" s="2070" customFormat="1" ht="16.5" customHeight="1">
      <c r="B348" s="2164"/>
      <c r="C348" s="4608">
        <v>70</v>
      </c>
      <c r="D348" s="4608" t="s">
        <v>3286</v>
      </c>
      <c r="E348" s="4609" t="s">
        <v>4790</v>
      </c>
      <c r="F348" s="4610" t="s">
        <v>4791</v>
      </c>
      <c r="G348" s="4611" t="s">
        <v>155</v>
      </c>
      <c r="H348" s="4612">
        <v>100</v>
      </c>
      <c r="I348" s="4613"/>
      <c r="J348" s="4613">
        <f>ROUND(I348*H348,2)</f>
        <v>0</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f>IF(N348="snížená",J348,0)</f>
        <v>0</v>
      </c>
      <c r="BG348" s="2194">
        <f>IF(N348="zákl. přenesená",J348,0)</f>
        <v>0</v>
      </c>
      <c r="BH348" s="2194">
        <f>IF(N348="sníž. přenesená",J348,0)</f>
        <v>0</v>
      </c>
      <c r="BI348" s="2194">
        <f>IF(N348="nulová",J348,0)</f>
        <v>0</v>
      </c>
      <c r="BJ348" s="2056" t="s">
        <v>134</v>
      </c>
      <c r="BK348" s="2194">
        <f>ROUND(I348*H348,2)</f>
        <v>0</v>
      </c>
      <c r="BL348" s="2056" t="s">
        <v>856</v>
      </c>
      <c r="BM348" s="2193" t="s">
        <v>4792</v>
      </c>
    </row>
    <row r="349" spans="2:65" s="2195" customFormat="1">
      <c r="B349" s="2196"/>
      <c r="D349" s="2197" t="s">
        <v>3303</v>
      </c>
      <c r="E349" s="2198" t="s">
        <v>3146</v>
      </c>
      <c r="F349" s="2199" t="s">
        <v>4793</v>
      </c>
      <c r="H349" s="2198" t="s">
        <v>3146</v>
      </c>
      <c r="L349" s="2196"/>
      <c r="M349" s="2200"/>
      <c r="T349" s="2201"/>
      <c r="AT349" s="2198" t="s">
        <v>3303</v>
      </c>
      <c r="AU349" s="2198" t="s">
        <v>134</v>
      </c>
      <c r="AV349" s="2195" t="s">
        <v>133</v>
      </c>
      <c r="AW349" s="2195" t="s">
        <v>3171</v>
      </c>
      <c r="AX349" s="2195" t="s">
        <v>3213</v>
      </c>
      <c r="AY349" s="2198" t="s">
        <v>3285</v>
      </c>
    </row>
    <row r="350" spans="2:65" s="2209" customFormat="1">
      <c r="B350" s="2210"/>
      <c r="D350" s="2197" t="s">
        <v>3303</v>
      </c>
      <c r="E350" s="2211" t="s">
        <v>3146</v>
      </c>
      <c r="F350" s="2212" t="s">
        <v>4794</v>
      </c>
      <c r="H350" s="2213">
        <v>100</v>
      </c>
      <c r="L350" s="2210"/>
      <c r="M350" s="2214"/>
      <c r="T350" s="2215"/>
      <c r="AT350" s="2211" t="s">
        <v>3303</v>
      </c>
      <c r="AU350" s="2211" t="s">
        <v>134</v>
      </c>
      <c r="AV350" s="2209" t="s">
        <v>134</v>
      </c>
      <c r="AW350" s="2209" t="s">
        <v>3171</v>
      </c>
      <c r="AX350" s="2209" t="s">
        <v>3213</v>
      </c>
      <c r="AY350" s="2211" t="s">
        <v>3285</v>
      </c>
    </row>
    <row r="351" spans="2:65" s="2216" customFormat="1">
      <c r="B351" s="2217"/>
      <c r="D351" s="2197" t="s">
        <v>3303</v>
      </c>
      <c r="E351" s="2218" t="s">
        <v>3146</v>
      </c>
      <c r="F351" s="2219" t="s">
        <v>3306</v>
      </c>
      <c r="H351" s="2220">
        <v>100</v>
      </c>
      <c r="L351" s="2217"/>
      <c r="M351" s="2221"/>
      <c r="T351" s="2222"/>
      <c r="AT351" s="2218" t="s">
        <v>3303</v>
      </c>
      <c r="AU351" s="2218" t="s">
        <v>134</v>
      </c>
      <c r="AV351" s="2216" t="s">
        <v>856</v>
      </c>
      <c r="AW351" s="2216" t="s">
        <v>3171</v>
      </c>
      <c r="AX351" s="2216" t="s">
        <v>133</v>
      </c>
      <c r="AY351" s="2218" t="s">
        <v>3285</v>
      </c>
    </row>
    <row r="352" spans="2:65" s="2070" customFormat="1" ht="16.5" customHeight="1">
      <c r="B352" s="2164"/>
      <c r="C352" s="4608">
        <v>71</v>
      </c>
      <c r="D352" s="4608" t="s">
        <v>3286</v>
      </c>
      <c r="E352" s="4609" t="s">
        <v>4795</v>
      </c>
      <c r="F352" s="4610" t="s">
        <v>4796</v>
      </c>
      <c r="G352" s="4611" t="s">
        <v>155</v>
      </c>
      <c r="H352" s="4612">
        <v>55</v>
      </c>
      <c r="I352" s="4613"/>
      <c r="J352" s="4613">
        <f>ROUND(I352*H352,2)</f>
        <v>0</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4797</v>
      </c>
    </row>
    <row r="353" spans="2:65" s="2195" customFormat="1">
      <c r="B353" s="2196"/>
      <c r="D353" s="2197" t="s">
        <v>3303</v>
      </c>
      <c r="E353" s="2198" t="s">
        <v>3146</v>
      </c>
      <c r="F353" s="2199" t="s">
        <v>4798</v>
      </c>
      <c r="H353" s="2198" t="s">
        <v>3146</v>
      </c>
      <c r="L353" s="2196"/>
      <c r="M353" s="2200"/>
      <c r="T353" s="2201"/>
      <c r="AT353" s="2198" t="s">
        <v>3303</v>
      </c>
      <c r="AU353" s="2198" t="s">
        <v>134</v>
      </c>
      <c r="AV353" s="2195" t="s">
        <v>133</v>
      </c>
      <c r="AW353" s="2195" t="s">
        <v>3171</v>
      </c>
      <c r="AX353" s="2195" t="s">
        <v>3213</v>
      </c>
      <c r="AY353" s="2198" t="s">
        <v>3285</v>
      </c>
    </row>
    <row r="354" spans="2:65" s="2209" customFormat="1">
      <c r="B354" s="2210"/>
      <c r="D354" s="2197" t="s">
        <v>3303</v>
      </c>
      <c r="E354" s="2211" t="s">
        <v>3146</v>
      </c>
      <c r="F354" s="2212" t="s">
        <v>4799</v>
      </c>
      <c r="H354" s="2213">
        <v>55</v>
      </c>
      <c r="L354" s="2210"/>
      <c r="M354" s="2214"/>
      <c r="T354" s="2215"/>
      <c r="AT354" s="2211" t="s">
        <v>3303</v>
      </c>
      <c r="AU354" s="2211" t="s">
        <v>134</v>
      </c>
      <c r="AV354" s="2209" t="s">
        <v>134</v>
      </c>
      <c r="AW354" s="2209" t="s">
        <v>3171</v>
      </c>
      <c r="AX354" s="2209" t="s">
        <v>3213</v>
      </c>
      <c r="AY354" s="2211" t="s">
        <v>3285</v>
      </c>
    </row>
    <row r="355" spans="2:65" s="2216" customFormat="1">
      <c r="B355" s="2217"/>
      <c r="D355" s="2197" t="s">
        <v>3303</v>
      </c>
      <c r="E355" s="2218" t="s">
        <v>3146</v>
      </c>
      <c r="F355" s="2219" t="s">
        <v>3306</v>
      </c>
      <c r="H355" s="2220">
        <v>55</v>
      </c>
      <c r="L355" s="2217"/>
      <c r="M355" s="2221"/>
      <c r="T355" s="2222"/>
      <c r="AT355" s="2218" t="s">
        <v>3303</v>
      </c>
      <c r="AU355" s="2218" t="s">
        <v>134</v>
      </c>
      <c r="AV355" s="2216" t="s">
        <v>856</v>
      </c>
      <c r="AW355" s="2216" t="s">
        <v>3171</v>
      </c>
      <c r="AX355" s="2216" t="s">
        <v>133</v>
      </c>
      <c r="AY355" s="2218" t="s">
        <v>3285</v>
      </c>
    </row>
    <row r="356" spans="2:65" s="2070" customFormat="1" ht="21.75" customHeight="1">
      <c r="B356" s="2164"/>
      <c r="C356" s="4608">
        <v>72</v>
      </c>
      <c r="D356" s="4608" t="s">
        <v>3286</v>
      </c>
      <c r="E356" s="4609" t="s">
        <v>4800</v>
      </c>
      <c r="F356" s="4610" t="s">
        <v>4801</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4802</v>
      </c>
    </row>
    <row r="357" spans="2:65" s="2195" customFormat="1">
      <c r="B357" s="2196"/>
      <c r="D357" s="2197" t="s">
        <v>3303</v>
      </c>
      <c r="E357" s="2198" t="s">
        <v>3146</v>
      </c>
      <c r="F357" s="2199" t="s">
        <v>4803</v>
      </c>
      <c r="H357" s="2198" t="s">
        <v>3146</v>
      </c>
      <c r="L357" s="2196"/>
      <c r="M357" s="2200"/>
      <c r="T357" s="2201"/>
      <c r="AT357" s="2198" t="s">
        <v>3303</v>
      </c>
      <c r="AU357" s="2198" t="s">
        <v>134</v>
      </c>
      <c r="AV357" s="2195" t="s">
        <v>133</v>
      </c>
      <c r="AW357" s="2195" t="s">
        <v>3171</v>
      </c>
      <c r="AX357" s="2195" t="s">
        <v>3213</v>
      </c>
      <c r="AY357" s="2198" t="s">
        <v>3285</v>
      </c>
    </row>
    <row r="358" spans="2:65" s="2209" customFormat="1">
      <c r="B358" s="2210"/>
      <c r="D358" s="2197" t="s">
        <v>3303</v>
      </c>
      <c r="E358" s="2211" t="s">
        <v>3146</v>
      </c>
      <c r="F358" s="2212" t="s">
        <v>4804</v>
      </c>
      <c r="H358" s="2213">
        <v>2</v>
      </c>
      <c r="L358" s="2210"/>
      <c r="M358" s="2214"/>
      <c r="T358" s="2215"/>
      <c r="AT358" s="2211" t="s">
        <v>3303</v>
      </c>
      <c r="AU358" s="2211" t="s">
        <v>134</v>
      </c>
      <c r="AV358" s="2209" t="s">
        <v>134</v>
      </c>
      <c r="AW358" s="2209" t="s">
        <v>3171</v>
      </c>
      <c r="AX358" s="2209" t="s">
        <v>3213</v>
      </c>
      <c r="AY358" s="2211" t="s">
        <v>3285</v>
      </c>
    </row>
    <row r="359" spans="2:65" s="2216" customFormat="1">
      <c r="B359" s="2217"/>
      <c r="D359" s="2197" t="s">
        <v>3303</v>
      </c>
      <c r="E359" s="2218" t="s">
        <v>3146</v>
      </c>
      <c r="F359" s="2219" t="s">
        <v>3306</v>
      </c>
      <c r="H359" s="2220">
        <v>2</v>
      </c>
      <c r="L359" s="2217"/>
      <c r="M359" s="2221"/>
      <c r="T359" s="2222"/>
      <c r="AT359" s="2218" t="s">
        <v>3303</v>
      </c>
      <c r="AU359" s="2218" t="s">
        <v>134</v>
      </c>
      <c r="AV359" s="2216" t="s">
        <v>856</v>
      </c>
      <c r="AW359" s="2216" t="s">
        <v>3171</v>
      </c>
      <c r="AX359" s="2216" t="s">
        <v>133</v>
      </c>
      <c r="AY359" s="2218" t="s">
        <v>3285</v>
      </c>
    </row>
    <row r="360" spans="2:65" s="2070" customFormat="1" ht="16.5" customHeight="1">
      <c r="B360" s="2164"/>
      <c r="C360" s="4608">
        <v>73</v>
      </c>
      <c r="D360" s="4608" t="s">
        <v>3286</v>
      </c>
      <c r="E360" s="4609" t="s">
        <v>4805</v>
      </c>
      <c r="F360" s="4610" t="s">
        <v>4806</v>
      </c>
      <c r="G360" s="4611" t="s">
        <v>155</v>
      </c>
      <c r="H360" s="4612">
        <v>7</v>
      </c>
      <c r="I360" s="4613"/>
      <c r="J360" s="4613">
        <f>ROUND(I360*H360,2)</f>
        <v>0</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f>IF(N360="snížená",J360,0)</f>
        <v>0</v>
      </c>
      <c r="BG360" s="2194">
        <f>IF(N360="zákl. přenesená",J360,0)</f>
        <v>0</v>
      </c>
      <c r="BH360" s="2194">
        <f>IF(N360="sníž. přenesená",J360,0)</f>
        <v>0</v>
      </c>
      <c r="BI360" s="2194">
        <f>IF(N360="nulová",J360,0)</f>
        <v>0</v>
      </c>
      <c r="BJ360" s="2056" t="s">
        <v>134</v>
      </c>
      <c r="BK360" s="2194">
        <f>ROUND(I360*H360,2)</f>
        <v>0</v>
      </c>
      <c r="BL360" s="2056" t="s">
        <v>856</v>
      </c>
      <c r="BM360" s="2193" t="s">
        <v>4807</v>
      </c>
    </row>
    <row r="361" spans="2:65" s="2195" customFormat="1">
      <c r="B361" s="2196"/>
      <c r="D361" s="2197" t="s">
        <v>3303</v>
      </c>
      <c r="E361" s="2198" t="s">
        <v>3146</v>
      </c>
      <c r="F361" s="2199" t="s">
        <v>4808</v>
      </c>
      <c r="H361" s="2198" t="s">
        <v>3146</v>
      </c>
      <c r="L361" s="2196"/>
      <c r="M361" s="2200"/>
      <c r="T361" s="2201"/>
      <c r="AT361" s="2198" t="s">
        <v>3303</v>
      </c>
      <c r="AU361" s="2198" t="s">
        <v>134</v>
      </c>
      <c r="AV361" s="2195" t="s">
        <v>133</v>
      </c>
      <c r="AW361" s="2195" t="s">
        <v>3171</v>
      </c>
      <c r="AX361" s="2195" t="s">
        <v>3213</v>
      </c>
      <c r="AY361" s="2198" t="s">
        <v>3285</v>
      </c>
    </row>
    <row r="362" spans="2:65" s="2209" customFormat="1">
      <c r="B362" s="2210"/>
      <c r="D362" s="2197" t="s">
        <v>3303</v>
      </c>
      <c r="E362" s="2211" t="s">
        <v>3146</v>
      </c>
      <c r="F362" s="2212" t="s">
        <v>4809</v>
      </c>
      <c r="H362" s="2213">
        <v>7</v>
      </c>
      <c r="L362" s="2210"/>
      <c r="M362" s="2214"/>
      <c r="T362" s="2215"/>
      <c r="AT362" s="2211" t="s">
        <v>3303</v>
      </c>
      <c r="AU362" s="2211" t="s">
        <v>134</v>
      </c>
      <c r="AV362" s="2209" t="s">
        <v>134</v>
      </c>
      <c r="AW362" s="2209" t="s">
        <v>3171</v>
      </c>
      <c r="AX362" s="2209" t="s">
        <v>3213</v>
      </c>
      <c r="AY362" s="2211" t="s">
        <v>3285</v>
      </c>
    </row>
    <row r="363" spans="2:65" s="2216" customFormat="1">
      <c r="B363" s="2217"/>
      <c r="D363" s="2197" t="s">
        <v>3303</v>
      </c>
      <c r="E363" s="2218" t="s">
        <v>3146</v>
      </c>
      <c r="F363" s="2219" t="s">
        <v>3306</v>
      </c>
      <c r="H363" s="2220">
        <v>7</v>
      </c>
      <c r="L363" s="2217"/>
      <c r="M363" s="2221"/>
      <c r="T363" s="2222"/>
      <c r="AT363" s="2218" t="s">
        <v>3303</v>
      </c>
      <c r="AU363" s="2218" t="s">
        <v>134</v>
      </c>
      <c r="AV363" s="2216" t="s">
        <v>856</v>
      </c>
      <c r="AW363" s="2216" t="s">
        <v>3171</v>
      </c>
      <c r="AX363" s="2216" t="s">
        <v>133</v>
      </c>
      <c r="AY363" s="2218" t="s">
        <v>3285</v>
      </c>
    </row>
    <row r="364" spans="2:65" s="2070" customFormat="1" ht="16.5" customHeight="1">
      <c r="B364" s="2164"/>
      <c r="C364" s="4608">
        <v>74</v>
      </c>
      <c r="D364" s="4608" t="s">
        <v>3286</v>
      </c>
      <c r="E364" s="4609" t="s">
        <v>4810</v>
      </c>
      <c r="F364" s="4610" t="s">
        <v>4811</v>
      </c>
      <c r="G364" s="4611" t="s">
        <v>155</v>
      </c>
      <c r="H364" s="4612">
        <v>5</v>
      </c>
      <c r="I364" s="4613"/>
      <c r="J364" s="4613">
        <f>ROUND(I364*H364,2)</f>
        <v>0</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4812</v>
      </c>
    </row>
    <row r="365" spans="2:65" s="2195" customFormat="1">
      <c r="B365" s="2196"/>
      <c r="D365" s="2197" t="s">
        <v>3303</v>
      </c>
      <c r="E365" s="2198" t="s">
        <v>3146</v>
      </c>
      <c r="F365" s="2199" t="s">
        <v>4813</v>
      </c>
      <c r="H365" s="2198" t="s">
        <v>3146</v>
      </c>
      <c r="L365" s="2196"/>
      <c r="M365" s="2200"/>
      <c r="T365" s="2201"/>
      <c r="AT365" s="2198" t="s">
        <v>3303</v>
      </c>
      <c r="AU365" s="2198" t="s">
        <v>134</v>
      </c>
      <c r="AV365" s="2195" t="s">
        <v>133</v>
      </c>
      <c r="AW365" s="2195" t="s">
        <v>3171</v>
      </c>
      <c r="AX365" s="2195" t="s">
        <v>3213</v>
      </c>
      <c r="AY365" s="2198" t="s">
        <v>3285</v>
      </c>
    </row>
    <row r="366" spans="2:65" s="2209" customFormat="1">
      <c r="B366" s="2210"/>
      <c r="D366" s="2197" t="s">
        <v>3303</v>
      </c>
      <c r="E366" s="2211" t="s">
        <v>3146</v>
      </c>
      <c r="F366" s="2212" t="s">
        <v>4814</v>
      </c>
      <c r="H366" s="2213">
        <v>5</v>
      </c>
      <c r="L366" s="2210"/>
      <c r="M366" s="2214"/>
      <c r="T366" s="2215"/>
      <c r="AT366" s="2211" t="s">
        <v>3303</v>
      </c>
      <c r="AU366" s="2211" t="s">
        <v>134</v>
      </c>
      <c r="AV366" s="2209" t="s">
        <v>134</v>
      </c>
      <c r="AW366" s="2209" t="s">
        <v>3171</v>
      </c>
      <c r="AX366" s="2209" t="s">
        <v>3213</v>
      </c>
      <c r="AY366" s="2211" t="s">
        <v>3285</v>
      </c>
    </row>
    <row r="367" spans="2:65" s="2216" customFormat="1">
      <c r="B367" s="2217"/>
      <c r="D367" s="2197" t="s">
        <v>3303</v>
      </c>
      <c r="E367" s="2218" t="s">
        <v>3146</v>
      </c>
      <c r="F367" s="2219" t="s">
        <v>3306</v>
      </c>
      <c r="H367" s="2220">
        <v>5</v>
      </c>
      <c r="L367" s="2217"/>
      <c r="M367" s="2221"/>
      <c r="T367" s="2222"/>
      <c r="AT367" s="2218" t="s">
        <v>3303</v>
      </c>
      <c r="AU367" s="2218" t="s">
        <v>134</v>
      </c>
      <c r="AV367" s="2216" t="s">
        <v>856</v>
      </c>
      <c r="AW367" s="2216" t="s">
        <v>3171</v>
      </c>
      <c r="AX367" s="2216" t="s">
        <v>133</v>
      </c>
      <c r="AY367" s="2218" t="s">
        <v>3285</v>
      </c>
    </row>
    <row r="368" spans="2:65" s="2070" customFormat="1" ht="16.5" customHeight="1">
      <c r="B368" s="2164"/>
      <c r="C368" s="4608">
        <v>75</v>
      </c>
      <c r="D368" s="4608" t="s">
        <v>3286</v>
      </c>
      <c r="E368" s="4609" t="s">
        <v>4815</v>
      </c>
      <c r="F368" s="4610" t="s">
        <v>4816</v>
      </c>
      <c r="G368" s="4611" t="s">
        <v>155</v>
      </c>
      <c r="H368" s="4612">
        <v>4</v>
      </c>
      <c r="I368" s="4613"/>
      <c r="J368" s="4613">
        <f>ROUND(I368*H368,2)</f>
        <v>0</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f>IF(N368="snížená",J368,0)</f>
        <v>0</v>
      </c>
      <c r="BG368" s="2194">
        <f>IF(N368="zákl. přenesená",J368,0)</f>
        <v>0</v>
      </c>
      <c r="BH368" s="2194">
        <f>IF(N368="sníž. přenesená",J368,0)</f>
        <v>0</v>
      </c>
      <c r="BI368" s="2194">
        <f>IF(N368="nulová",J368,0)</f>
        <v>0</v>
      </c>
      <c r="BJ368" s="2056" t="s">
        <v>134</v>
      </c>
      <c r="BK368" s="2194">
        <f>ROUND(I368*H368,2)</f>
        <v>0</v>
      </c>
      <c r="BL368" s="2056" t="s">
        <v>856</v>
      </c>
      <c r="BM368" s="2193" t="s">
        <v>4817</v>
      </c>
    </row>
    <row r="369" spans="2:65" s="2195" customFormat="1">
      <c r="B369" s="2196"/>
      <c r="D369" s="2197" t="s">
        <v>3303</v>
      </c>
      <c r="E369" s="2198" t="s">
        <v>3146</v>
      </c>
      <c r="F369" s="2199" t="s">
        <v>4818</v>
      </c>
      <c r="H369" s="2198" t="s">
        <v>3146</v>
      </c>
      <c r="L369" s="2196"/>
      <c r="M369" s="2200"/>
      <c r="T369" s="2201"/>
      <c r="AT369" s="2198" t="s">
        <v>3303</v>
      </c>
      <c r="AU369" s="2198" t="s">
        <v>134</v>
      </c>
      <c r="AV369" s="2195" t="s">
        <v>133</v>
      </c>
      <c r="AW369" s="2195" t="s">
        <v>3171</v>
      </c>
      <c r="AX369" s="2195" t="s">
        <v>3213</v>
      </c>
      <c r="AY369" s="2198" t="s">
        <v>3285</v>
      </c>
    </row>
    <row r="370" spans="2:65" s="2209" customFormat="1">
      <c r="B370" s="2210"/>
      <c r="D370" s="2197" t="s">
        <v>3303</v>
      </c>
      <c r="E370" s="2211" t="s">
        <v>3146</v>
      </c>
      <c r="F370" s="2212" t="s">
        <v>4819</v>
      </c>
      <c r="H370" s="2213">
        <v>4</v>
      </c>
      <c r="L370" s="2210"/>
      <c r="M370" s="2214"/>
      <c r="T370" s="2215"/>
      <c r="AT370" s="2211" t="s">
        <v>3303</v>
      </c>
      <c r="AU370" s="2211" t="s">
        <v>134</v>
      </c>
      <c r="AV370" s="2209" t="s">
        <v>134</v>
      </c>
      <c r="AW370" s="2209" t="s">
        <v>3171</v>
      </c>
      <c r="AX370" s="2209" t="s">
        <v>3213</v>
      </c>
      <c r="AY370" s="2211" t="s">
        <v>3285</v>
      </c>
    </row>
    <row r="371" spans="2:65" s="2216" customFormat="1">
      <c r="B371" s="2217"/>
      <c r="D371" s="2197" t="s">
        <v>3303</v>
      </c>
      <c r="E371" s="2218" t="s">
        <v>3146</v>
      </c>
      <c r="F371" s="2219" t="s">
        <v>3306</v>
      </c>
      <c r="H371" s="2220">
        <v>4</v>
      </c>
      <c r="L371" s="2217"/>
      <c r="M371" s="2221"/>
      <c r="T371" s="2222"/>
      <c r="AT371" s="2218" t="s">
        <v>3303</v>
      </c>
      <c r="AU371" s="2218" t="s">
        <v>134</v>
      </c>
      <c r="AV371" s="2216" t="s">
        <v>856</v>
      </c>
      <c r="AW371" s="2216" t="s">
        <v>3171</v>
      </c>
      <c r="AX371" s="2216" t="s">
        <v>133</v>
      </c>
      <c r="AY371" s="2218" t="s">
        <v>3285</v>
      </c>
    </row>
    <row r="372" spans="2:65" s="2070" customFormat="1" ht="24.2" customHeight="1">
      <c r="B372" s="2164"/>
      <c r="C372" s="4608">
        <v>76</v>
      </c>
      <c r="D372" s="4608" t="s">
        <v>3286</v>
      </c>
      <c r="E372" s="4609" t="s">
        <v>4820</v>
      </c>
      <c r="F372" s="4610" t="s">
        <v>4821</v>
      </c>
      <c r="G372" s="4611" t="s">
        <v>3795</v>
      </c>
      <c r="H372" s="4612">
        <v>25</v>
      </c>
      <c r="I372" s="4613"/>
      <c r="J372" s="4613">
        <f>ROUND(I372*H372,2)</f>
        <v>0</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2894</v>
      </c>
      <c r="BM372" s="2193" t="s">
        <v>4822</v>
      </c>
    </row>
    <row r="373" spans="2:65" s="2195" customFormat="1">
      <c r="B373" s="2196"/>
      <c r="D373" s="2197" t="s">
        <v>3303</v>
      </c>
      <c r="E373" s="2198" t="s">
        <v>3146</v>
      </c>
      <c r="F373" s="2199" t="s">
        <v>4823</v>
      </c>
      <c r="H373" s="2198" t="s">
        <v>3146</v>
      </c>
      <c r="L373" s="2196"/>
      <c r="M373" s="2200"/>
      <c r="T373" s="2201"/>
      <c r="AT373" s="2198" t="s">
        <v>3303</v>
      </c>
      <c r="AU373" s="2198" t="s">
        <v>134</v>
      </c>
      <c r="AV373" s="2195" t="s">
        <v>133</v>
      </c>
      <c r="AW373" s="2195" t="s">
        <v>3171</v>
      </c>
      <c r="AX373" s="2195" t="s">
        <v>3213</v>
      </c>
      <c r="AY373" s="2198" t="s">
        <v>3285</v>
      </c>
    </row>
    <row r="374" spans="2:65" s="2209" customFormat="1">
      <c r="B374" s="2210"/>
      <c r="D374" s="2197" t="s">
        <v>3303</v>
      </c>
      <c r="E374" s="2211" t="s">
        <v>3146</v>
      </c>
      <c r="F374" s="2212" t="s">
        <v>4824</v>
      </c>
      <c r="H374" s="2213">
        <v>25</v>
      </c>
      <c r="L374" s="2210"/>
      <c r="M374" s="2214"/>
      <c r="T374" s="2215"/>
      <c r="AT374" s="2211" t="s">
        <v>3303</v>
      </c>
      <c r="AU374" s="2211" t="s">
        <v>134</v>
      </c>
      <c r="AV374" s="2209" t="s">
        <v>134</v>
      </c>
      <c r="AW374" s="2209" t="s">
        <v>3171</v>
      </c>
      <c r="AX374" s="2209" t="s">
        <v>133</v>
      </c>
      <c r="AY374" s="2211" t="s">
        <v>3285</v>
      </c>
    </row>
    <row r="375" spans="2:65" s="2070" customFormat="1" ht="24.2" customHeight="1">
      <c r="B375" s="2164"/>
      <c r="C375" s="4608">
        <v>77</v>
      </c>
      <c r="D375" s="4608" t="s">
        <v>3286</v>
      </c>
      <c r="E375" s="4609" t="s">
        <v>4825</v>
      </c>
      <c r="F375" s="4610" t="s">
        <v>4826</v>
      </c>
      <c r="G375" s="4611" t="s">
        <v>3795</v>
      </c>
      <c r="H375" s="4612">
        <v>12</v>
      </c>
      <c r="I375" s="4613"/>
      <c r="J375" s="4613">
        <f>ROUND(I375*H375,2)</f>
        <v>0</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f>IF(N375="snížená",J375,0)</f>
        <v>0</v>
      </c>
      <c r="BG375" s="2194">
        <f>IF(N375="zákl. přenesená",J375,0)</f>
        <v>0</v>
      </c>
      <c r="BH375" s="2194">
        <f>IF(N375="sníž. přenesená",J375,0)</f>
        <v>0</v>
      </c>
      <c r="BI375" s="2194">
        <f>IF(N375="nulová",J375,0)</f>
        <v>0</v>
      </c>
      <c r="BJ375" s="2056" t="s">
        <v>134</v>
      </c>
      <c r="BK375" s="2194">
        <f>ROUND(I375*H375,2)</f>
        <v>0</v>
      </c>
      <c r="BL375" s="2056" t="s">
        <v>2894</v>
      </c>
      <c r="BM375" s="2193" t="s">
        <v>4827</v>
      </c>
    </row>
    <row r="376" spans="2:65" s="2195" customFormat="1">
      <c r="B376" s="2196"/>
      <c r="D376" s="2197" t="s">
        <v>3303</v>
      </c>
      <c r="E376" s="2198" t="s">
        <v>3146</v>
      </c>
      <c r="F376" s="2199" t="s">
        <v>4828</v>
      </c>
      <c r="H376" s="2198" t="s">
        <v>3146</v>
      </c>
      <c r="L376" s="2196"/>
      <c r="M376" s="2200"/>
      <c r="T376" s="2201"/>
      <c r="AT376" s="2198" t="s">
        <v>3303</v>
      </c>
      <c r="AU376" s="2198" t="s">
        <v>134</v>
      </c>
      <c r="AV376" s="2195" t="s">
        <v>133</v>
      </c>
      <c r="AW376" s="2195" t="s">
        <v>3171</v>
      </c>
      <c r="AX376" s="2195" t="s">
        <v>3213</v>
      </c>
      <c r="AY376" s="2198" t="s">
        <v>3285</v>
      </c>
    </row>
    <row r="377" spans="2:65" s="2209" customFormat="1">
      <c r="B377" s="2210"/>
      <c r="D377" s="2197" t="s">
        <v>3303</v>
      </c>
      <c r="E377" s="2211" t="s">
        <v>3146</v>
      </c>
      <c r="F377" s="2212" t="s">
        <v>4829</v>
      </c>
      <c r="H377" s="2213">
        <v>12</v>
      </c>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4608">
        <v>78</v>
      </c>
      <c r="D378" s="4608" t="s">
        <v>3286</v>
      </c>
      <c r="E378" s="4609" t="s">
        <v>4830</v>
      </c>
      <c r="F378" s="4610" t="s">
        <v>4831</v>
      </c>
      <c r="G378" s="4611" t="s">
        <v>3795</v>
      </c>
      <c r="H378" s="4612">
        <v>24</v>
      </c>
      <c r="I378" s="4613"/>
      <c r="J378" s="4613">
        <f>ROUND(I378*H378,2)</f>
        <v>0</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f>IF(N378="snížená",J378,0)</f>
        <v>0</v>
      </c>
      <c r="BG378" s="2194">
        <f>IF(N378="zákl. přenesená",J378,0)</f>
        <v>0</v>
      </c>
      <c r="BH378" s="2194">
        <f>IF(N378="sníž. přenesená",J378,0)</f>
        <v>0</v>
      </c>
      <c r="BI378" s="2194">
        <f>IF(N378="nulová",J378,0)</f>
        <v>0</v>
      </c>
      <c r="BJ378" s="2056" t="s">
        <v>134</v>
      </c>
      <c r="BK378" s="2194">
        <f>ROUND(I378*H378,2)</f>
        <v>0</v>
      </c>
      <c r="BL378" s="2056" t="s">
        <v>2894</v>
      </c>
      <c r="BM378" s="2193" t="s">
        <v>4832</v>
      </c>
    </row>
    <row r="379" spans="2:65" s="2195" customFormat="1">
      <c r="B379" s="2196"/>
      <c r="D379" s="2197" t="s">
        <v>3303</v>
      </c>
      <c r="E379" s="2198" t="s">
        <v>3146</v>
      </c>
      <c r="F379" s="2199" t="s">
        <v>4833</v>
      </c>
      <c r="H379" s="2198" t="s">
        <v>3146</v>
      </c>
      <c r="L379" s="2196"/>
      <c r="M379" s="2200"/>
      <c r="T379" s="2201"/>
      <c r="AT379" s="2198" t="s">
        <v>3303</v>
      </c>
      <c r="AU379" s="2198" t="s">
        <v>134</v>
      </c>
      <c r="AV379" s="2195" t="s">
        <v>133</v>
      </c>
      <c r="AW379" s="2195" t="s">
        <v>3171</v>
      </c>
      <c r="AX379" s="2195" t="s">
        <v>3213</v>
      </c>
      <c r="AY379" s="2198" t="s">
        <v>3285</v>
      </c>
    </row>
    <row r="380" spans="2:65" s="2209" customFormat="1">
      <c r="B380" s="2210"/>
      <c r="D380" s="2197" t="s">
        <v>3303</v>
      </c>
      <c r="E380" s="2211" t="s">
        <v>3146</v>
      </c>
      <c r="F380" s="2212" t="s">
        <v>4834</v>
      </c>
      <c r="H380" s="2213">
        <v>24</v>
      </c>
      <c r="L380" s="2210"/>
      <c r="M380" s="2214"/>
      <c r="T380" s="2215"/>
      <c r="AT380" s="2211" t="s">
        <v>3303</v>
      </c>
      <c r="AU380" s="2211" t="s">
        <v>134</v>
      </c>
      <c r="AV380" s="2209" t="s">
        <v>134</v>
      </c>
      <c r="AW380" s="2209" t="s">
        <v>3171</v>
      </c>
      <c r="AX380" s="2209" t="s">
        <v>3213</v>
      </c>
      <c r="AY380" s="2211" t="s">
        <v>3285</v>
      </c>
    </row>
    <row r="381" spans="2:65" s="2216" customFormat="1">
      <c r="B381" s="2217"/>
      <c r="D381" s="2197" t="s">
        <v>3303</v>
      </c>
      <c r="E381" s="2218" t="s">
        <v>3146</v>
      </c>
      <c r="F381" s="2219" t="s">
        <v>3306</v>
      </c>
      <c r="H381" s="2220">
        <v>24</v>
      </c>
      <c r="L381" s="2217"/>
      <c r="M381" s="2221"/>
      <c r="T381" s="2222"/>
      <c r="AT381" s="2218" t="s">
        <v>3303</v>
      </c>
      <c r="AU381" s="2218" t="s">
        <v>134</v>
      </c>
      <c r="AV381" s="2216" t="s">
        <v>856</v>
      </c>
      <c r="AW381" s="2216" t="s">
        <v>3171</v>
      </c>
      <c r="AX381" s="2216" t="s">
        <v>133</v>
      </c>
      <c r="AY381" s="2218" t="s">
        <v>3285</v>
      </c>
    </row>
    <row r="382" spans="2:65" s="2070" customFormat="1" ht="24.2" customHeight="1">
      <c r="B382" s="2164"/>
      <c r="C382" s="4608">
        <v>79</v>
      </c>
      <c r="D382" s="4608" t="s">
        <v>3286</v>
      </c>
      <c r="E382" s="4609" t="s">
        <v>4835</v>
      </c>
      <c r="F382" s="4610" t="s">
        <v>4836</v>
      </c>
      <c r="G382" s="4611" t="s">
        <v>3795</v>
      </c>
      <c r="H382" s="4612">
        <v>33</v>
      </c>
      <c r="I382" s="4613"/>
      <c r="J382" s="4613">
        <f>ROUND(I382*H382,2)</f>
        <v>0</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f>IF(N382="snížená",J382,0)</f>
        <v>0</v>
      </c>
      <c r="BG382" s="2194">
        <f>IF(N382="zákl. přenesená",J382,0)</f>
        <v>0</v>
      </c>
      <c r="BH382" s="2194">
        <f>IF(N382="sníž. přenesená",J382,0)</f>
        <v>0</v>
      </c>
      <c r="BI382" s="2194">
        <f>IF(N382="nulová",J382,0)</f>
        <v>0</v>
      </c>
      <c r="BJ382" s="2056" t="s">
        <v>134</v>
      </c>
      <c r="BK382" s="2194">
        <f>ROUND(I382*H382,2)</f>
        <v>0</v>
      </c>
      <c r="BL382" s="2056" t="s">
        <v>2894</v>
      </c>
      <c r="BM382" s="2193" t="s">
        <v>4837</v>
      </c>
    </row>
    <row r="383" spans="2:65" s="2195" customFormat="1">
      <c r="B383" s="2196"/>
      <c r="D383" s="2197" t="s">
        <v>3303</v>
      </c>
      <c r="E383" s="2198" t="s">
        <v>3146</v>
      </c>
      <c r="F383" s="2199" t="s">
        <v>4838</v>
      </c>
      <c r="H383" s="2198" t="s">
        <v>3146</v>
      </c>
      <c r="L383" s="2196"/>
      <c r="M383" s="2200"/>
      <c r="T383" s="2201"/>
      <c r="AT383" s="2198" t="s">
        <v>3303</v>
      </c>
      <c r="AU383" s="2198" t="s">
        <v>134</v>
      </c>
      <c r="AV383" s="2195" t="s">
        <v>133</v>
      </c>
      <c r="AW383" s="2195" t="s">
        <v>3171</v>
      </c>
      <c r="AX383" s="2195" t="s">
        <v>3213</v>
      </c>
      <c r="AY383" s="2198" t="s">
        <v>3285</v>
      </c>
    </row>
    <row r="384" spans="2:65" s="2209" customFormat="1">
      <c r="B384" s="2210"/>
      <c r="D384" s="2197" t="s">
        <v>3303</v>
      </c>
      <c r="E384" s="2211" t="s">
        <v>3146</v>
      </c>
      <c r="F384" s="2212" t="s">
        <v>4839</v>
      </c>
      <c r="H384" s="2213">
        <v>33</v>
      </c>
      <c r="L384" s="2210"/>
      <c r="M384" s="2214"/>
      <c r="T384" s="2215"/>
      <c r="AT384" s="2211" t="s">
        <v>3303</v>
      </c>
      <c r="AU384" s="2211" t="s">
        <v>134</v>
      </c>
      <c r="AV384" s="2209" t="s">
        <v>134</v>
      </c>
      <c r="AW384" s="2209" t="s">
        <v>3171</v>
      </c>
      <c r="AX384" s="2209" t="s">
        <v>3213</v>
      </c>
      <c r="AY384" s="2211" t="s">
        <v>3285</v>
      </c>
    </row>
    <row r="385" spans="2:65" s="2216" customFormat="1">
      <c r="B385" s="2217"/>
      <c r="D385" s="2197" t="s">
        <v>3303</v>
      </c>
      <c r="E385" s="2218" t="s">
        <v>3146</v>
      </c>
      <c r="F385" s="2219" t="s">
        <v>3306</v>
      </c>
      <c r="H385" s="2220">
        <v>33</v>
      </c>
      <c r="L385" s="2217"/>
      <c r="M385" s="2221"/>
      <c r="T385" s="2222"/>
      <c r="AT385" s="2218" t="s">
        <v>3303</v>
      </c>
      <c r="AU385" s="2218" t="s">
        <v>134</v>
      </c>
      <c r="AV385" s="2216" t="s">
        <v>856</v>
      </c>
      <c r="AW385" s="2216" t="s">
        <v>3171</v>
      </c>
      <c r="AX385" s="2216" t="s">
        <v>133</v>
      </c>
      <c r="AY385" s="2218" t="s">
        <v>3285</v>
      </c>
    </row>
    <row r="386" spans="2:65" s="2070" customFormat="1" ht="24.2" customHeight="1">
      <c r="B386" s="2164"/>
      <c r="C386" s="4608">
        <v>80</v>
      </c>
      <c r="D386" s="4608" t="s">
        <v>3286</v>
      </c>
      <c r="E386" s="4609" t="s">
        <v>4840</v>
      </c>
      <c r="F386" s="4610" t="s">
        <v>4841</v>
      </c>
      <c r="G386" s="4611" t="s">
        <v>3795</v>
      </c>
      <c r="H386" s="4612">
        <v>38</v>
      </c>
      <c r="I386" s="4613"/>
      <c r="J386" s="4613">
        <f>ROUND(I386*H386,2)</f>
        <v>0</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f>IF(N386="snížená",J386,0)</f>
        <v>0</v>
      </c>
      <c r="BG386" s="2194">
        <f>IF(N386="zákl. přenesená",J386,0)</f>
        <v>0</v>
      </c>
      <c r="BH386" s="2194">
        <f>IF(N386="sníž. přenesená",J386,0)</f>
        <v>0</v>
      </c>
      <c r="BI386" s="2194">
        <f>IF(N386="nulová",J386,0)</f>
        <v>0</v>
      </c>
      <c r="BJ386" s="2056" t="s">
        <v>134</v>
      </c>
      <c r="BK386" s="2194">
        <f>ROUND(I386*H386,2)</f>
        <v>0</v>
      </c>
      <c r="BL386" s="2056" t="s">
        <v>2894</v>
      </c>
      <c r="BM386" s="2193" t="s">
        <v>4842</v>
      </c>
    </row>
    <row r="387" spans="2:65" s="2195" customFormat="1">
      <c r="B387" s="2196"/>
      <c r="D387" s="2197" t="s">
        <v>3303</v>
      </c>
      <c r="E387" s="2198" t="s">
        <v>3146</v>
      </c>
      <c r="F387" s="2199" t="s">
        <v>4843</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4844</v>
      </c>
      <c r="H388" s="2213">
        <v>38</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38</v>
      </c>
      <c r="L389" s="2217"/>
      <c r="M389" s="2221"/>
      <c r="T389" s="2222"/>
      <c r="AT389" s="2218" t="s">
        <v>3303</v>
      </c>
      <c r="AU389" s="2218" t="s">
        <v>134</v>
      </c>
      <c r="AV389" s="2216" t="s">
        <v>856</v>
      </c>
      <c r="AW389" s="2216" t="s">
        <v>3171</v>
      </c>
      <c r="AX389" s="2216" t="s">
        <v>133</v>
      </c>
      <c r="AY389" s="2218" t="s">
        <v>3285</v>
      </c>
    </row>
    <row r="390" spans="2:65" s="2070" customFormat="1" ht="24.2" customHeight="1">
      <c r="B390" s="2164"/>
      <c r="C390" s="4608">
        <v>81</v>
      </c>
      <c r="D390" s="4608" t="s">
        <v>3286</v>
      </c>
      <c r="E390" s="4609" t="s">
        <v>4845</v>
      </c>
      <c r="F390" s="4610" t="s">
        <v>4846</v>
      </c>
      <c r="G390" s="4611" t="s">
        <v>3795</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4847</v>
      </c>
    </row>
    <row r="391" spans="2:65" s="2209" customFormat="1">
      <c r="B391" s="2210"/>
      <c r="D391" s="2197" t="s">
        <v>3303</v>
      </c>
      <c r="E391" s="2211" t="s">
        <v>3146</v>
      </c>
      <c r="F391" s="2212" t="s">
        <v>4848</v>
      </c>
      <c r="H391" s="2213">
        <v>33</v>
      </c>
      <c r="L391" s="2210"/>
      <c r="M391" s="2214"/>
      <c r="T391" s="2215"/>
      <c r="AT391" s="2211" t="s">
        <v>3303</v>
      </c>
      <c r="AU391" s="2211" t="s">
        <v>134</v>
      </c>
      <c r="AV391" s="2209" t="s">
        <v>134</v>
      </c>
      <c r="AW391" s="2209" t="s">
        <v>3171</v>
      </c>
      <c r="AX391" s="2209" t="s">
        <v>133</v>
      </c>
      <c r="AY391" s="2211" t="s">
        <v>3285</v>
      </c>
    </row>
    <row r="392" spans="2:65" s="2070" customFormat="1" ht="24.2" customHeight="1">
      <c r="B392" s="2164"/>
      <c r="C392" s="4608">
        <v>82</v>
      </c>
      <c r="D392" s="4608" t="s">
        <v>3286</v>
      </c>
      <c r="E392" s="4609" t="s">
        <v>4849</v>
      </c>
      <c r="F392" s="4610" t="s">
        <v>4850</v>
      </c>
      <c r="G392" s="4611" t="s">
        <v>3795</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4851</v>
      </c>
    </row>
    <row r="393" spans="2:65" s="2209" customFormat="1">
      <c r="B393" s="2210"/>
      <c r="D393" s="2197" t="s">
        <v>3303</v>
      </c>
      <c r="E393" s="2211" t="s">
        <v>3146</v>
      </c>
      <c r="F393" s="2212" t="s">
        <v>4848</v>
      </c>
      <c r="H393" s="2213">
        <v>33</v>
      </c>
      <c r="L393" s="2210"/>
      <c r="M393" s="2214"/>
      <c r="T393" s="2215"/>
      <c r="AT393" s="2211" t="s">
        <v>3303</v>
      </c>
      <c r="AU393" s="2211" t="s">
        <v>134</v>
      </c>
      <c r="AV393" s="2209" t="s">
        <v>134</v>
      </c>
      <c r="AW393" s="2209" t="s">
        <v>3171</v>
      </c>
      <c r="AX393" s="2209" t="s">
        <v>133</v>
      </c>
      <c r="AY393" s="2211" t="s">
        <v>3285</v>
      </c>
    </row>
    <row r="394" spans="2:65" s="2070" customFormat="1" ht="24.2" customHeight="1">
      <c r="B394" s="2164"/>
      <c r="C394" s="4608">
        <v>83</v>
      </c>
      <c r="D394" s="4608" t="s">
        <v>3286</v>
      </c>
      <c r="E394" s="4609" t="s">
        <v>4852</v>
      </c>
      <c r="F394" s="4610" t="s">
        <v>4853</v>
      </c>
      <c r="G394" s="4611" t="s">
        <v>3795</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4854</v>
      </c>
    </row>
    <row r="395" spans="2:65" s="2209" customFormat="1">
      <c r="B395" s="2210"/>
      <c r="D395" s="2197" t="s">
        <v>3303</v>
      </c>
      <c r="E395" s="2211" t="s">
        <v>3146</v>
      </c>
      <c r="F395" s="2212" t="s">
        <v>4848</v>
      </c>
      <c r="H395" s="2213">
        <v>33</v>
      </c>
      <c r="L395" s="2210"/>
      <c r="M395" s="2214"/>
      <c r="T395" s="2215"/>
      <c r="AT395" s="2211" t="s">
        <v>3303</v>
      </c>
      <c r="AU395" s="2211" t="s">
        <v>134</v>
      </c>
      <c r="AV395" s="2209" t="s">
        <v>134</v>
      </c>
      <c r="AW395" s="2209" t="s">
        <v>3171</v>
      </c>
      <c r="AX395" s="2209" t="s">
        <v>133</v>
      </c>
      <c r="AY395" s="2211" t="s">
        <v>3285</v>
      </c>
    </row>
    <row r="396" spans="2:65" s="2070" customFormat="1" ht="33" customHeight="1">
      <c r="B396" s="2164"/>
      <c r="C396" s="4608">
        <v>84</v>
      </c>
      <c r="D396" s="4608" t="s">
        <v>3286</v>
      </c>
      <c r="E396" s="4609" t="s">
        <v>4855</v>
      </c>
      <c r="F396" s="4610" t="s">
        <v>4856</v>
      </c>
      <c r="G396" s="4611" t="s">
        <v>3795</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4857</v>
      </c>
    </row>
    <row r="397" spans="2:65" s="2209" customFormat="1">
      <c r="B397" s="2210"/>
      <c r="D397" s="2197" t="s">
        <v>3303</v>
      </c>
      <c r="E397" s="2211" t="s">
        <v>3146</v>
      </c>
      <c r="F397" s="2212" t="s">
        <v>4858</v>
      </c>
      <c r="H397" s="2213">
        <v>18</v>
      </c>
      <c r="L397" s="2210"/>
      <c r="M397" s="2214"/>
      <c r="T397" s="2215"/>
      <c r="AT397" s="2211" t="s">
        <v>3303</v>
      </c>
      <c r="AU397" s="2211" t="s">
        <v>134</v>
      </c>
      <c r="AV397" s="2209" t="s">
        <v>134</v>
      </c>
      <c r="AW397" s="2209" t="s">
        <v>3171</v>
      </c>
      <c r="AX397" s="2209" t="s">
        <v>133</v>
      </c>
      <c r="AY397" s="2211" t="s">
        <v>3285</v>
      </c>
    </row>
    <row r="398" spans="2:65" s="2070" customFormat="1" ht="33" customHeight="1">
      <c r="B398" s="2164"/>
      <c r="C398" s="4608">
        <v>85</v>
      </c>
      <c r="D398" s="4608" t="s">
        <v>3286</v>
      </c>
      <c r="E398" s="4609" t="s">
        <v>4859</v>
      </c>
      <c r="F398" s="4610" t="s">
        <v>4860</v>
      </c>
      <c r="G398" s="4611" t="s">
        <v>3795</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4861</v>
      </c>
    </row>
    <row r="399" spans="2:65" s="2209" customFormat="1">
      <c r="B399" s="2210"/>
      <c r="D399" s="2197" t="s">
        <v>3303</v>
      </c>
      <c r="E399" s="2211" t="s">
        <v>3146</v>
      </c>
      <c r="F399" s="2212" t="s">
        <v>4858</v>
      </c>
      <c r="H399" s="2213">
        <v>18</v>
      </c>
      <c r="L399" s="2210"/>
      <c r="M399" s="2214"/>
      <c r="T399" s="2215"/>
      <c r="AT399" s="2211" t="s">
        <v>3303</v>
      </c>
      <c r="AU399" s="2211" t="s">
        <v>134</v>
      </c>
      <c r="AV399" s="2209" t="s">
        <v>134</v>
      </c>
      <c r="AW399" s="2209" t="s">
        <v>3171</v>
      </c>
      <c r="AX399" s="2209" t="s">
        <v>133</v>
      </c>
      <c r="AY399" s="2211" t="s">
        <v>3285</v>
      </c>
    </row>
    <row r="400" spans="2:65" s="2070" customFormat="1" ht="16.5" customHeight="1">
      <c r="B400" s="2164"/>
      <c r="C400" s="4608">
        <v>86</v>
      </c>
      <c r="D400" s="4608" t="s">
        <v>3286</v>
      </c>
      <c r="E400" s="4609" t="s">
        <v>4862</v>
      </c>
      <c r="F400" s="4610" t="s">
        <v>4863</v>
      </c>
      <c r="G400" s="4611" t="s">
        <v>155</v>
      </c>
      <c r="H400" s="4612">
        <v>1</v>
      </c>
      <c r="I400" s="4613"/>
      <c r="J400" s="4613">
        <f>ROUND(I400*H400,2)</f>
        <v>0</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f>IF(N400="snížená",J400,0)</f>
        <v>0</v>
      </c>
      <c r="BG400" s="2194">
        <f>IF(N400="zákl. přenesená",J400,0)</f>
        <v>0</v>
      </c>
      <c r="BH400" s="2194">
        <f>IF(N400="sníž. přenesená",J400,0)</f>
        <v>0</v>
      </c>
      <c r="BI400" s="2194">
        <f>IF(N400="nulová",J400,0)</f>
        <v>0</v>
      </c>
      <c r="BJ400" s="2056" t="s">
        <v>134</v>
      </c>
      <c r="BK400" s="2194">
        <f>ROUND(I400*H400,2)</f>
        <v>0</v>
      </c>
      <c r="BL400" s="2056" t="s">
        <v>2894</v>
      </c>
      <c r="BM400" s="2193" t="s">
        <v>4864</v>
      </c>
    </row>
    <row r="401" spans="2:65" s="2195" customFormat="1">
      <c r="B401" s="2196"/>
      <c r="D401" s="2197" t="s">
        <v>3303</v>
      </c>
      <c r="E401" s="2198" t="s">
        <v>3146</v>
      </c>
      <c r="F401" s="2199" t="s">
        <v>4865</v>
      </c>
      <c r="H401" s="2198" t="s">
        <v>3146</v>
      </c>
      <c r="L401" s="2196"/>
      <c r="M401" s="2200"/>
      <c r="T401" s="2201"/>
      <c r="AT401" s="2198" t="s">
        <v>3303</v>
      </c>
      <c r="AU401" s="2198" t="s">
        <v>134</v>
      </c>
      <c r="AV401" s="2195" t="s">
        <v>133</v>
      </c>
      <c r="AW401" s="2195" t="s">
        <v>3171</v>
      </c>
      <c r="AX401" s="2195" t="s">
        <v>3213</v>
      </c>
      <c r="AY401" s="2198" t="s">
        <v>3285</v>
      </c>
    </row>
    <row r="402" spans="2:65" s="2209" customFormat="1">
      <c r="B402" s="2210"/>
      <c r="D402" s="2197" t="s">
        <v>3303</v>
      </c>
      <c r="E402" s="2211" t="s">
        <v>3146</v>
      </c>
      <c r="F402" s="2212">
        <v>1</v>
      </c>
      <c r="H402" s="2213">
        <v>1</v>
      </c>
      <c r="L402" s="2217"/>
      <c r="M402" s="2221"/>
      <c r="N402" s="2216"/>
      <c r="T402" s="2215"/>
      <c r="AT402" s="2211" t="s">
        <v>3303</v>
      </c>
      <c r="AU402" s="2211" t="s">
        <v>134</v>
      </c>
      <c r="AV402" s="2209" t="s">
        <v>134</v>
      </c>
      <c r="AW402" s="2209" t="s">
        <v>3171</v>
      </c>
      <c r="AX402" s="2209" t="s">
        <v>133</v>
      </c>
      <c r="AY402" s="2211" t="s">
        <v>3285</v>
      </c>
    </row>
    <row r="403" spans="2:65" s="2070" customFormat="1" ht="16.5" customHeight="1">
      <c r="B403" s="2164"/>
      <c r="C403" s="4608">
        <v>87</v>
      </c>
      <c r="D403" s="4608" t="s">
        <v>3286</v>
      </c>
      <c r="E403" s="4609" t="s">
        <v>4866</v>
      </c>
      <c r="F403" s="4610" t="s">
        <v>4867</v>
      </c>
      <c r="G403" s="4611" t="s">
        <v>155</v>
      </c>
      <c r="H403" s="4612">
        <v>1</v>
      </c>
      <c r="I403" s="4613"/>
      <c r="J403" s="4613">
        <f>ROUND(I403*H403,2)</f>
        <v>0</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f>IF(N403="snížená",J403,0)</f>
        <v>0</v>
      </c>
      <c r="BG403" s="2194">
        <f>IF(N403="zákl. přenesená",J403,0)</f>
        <v>0</v>
      </c>
      <c r="BH403" s="2194">
        <f>IF(N403="sníž. přenesená",J403,0)</f>
        <v>0</v>
      </c>
      <c r="BI403" s="2194">
        <f>IF(N403="nulová",J403,0)</f>
        <v>0</v>
      </c>
      <c r="BJ403" s="2056" t="s">
        <v>134</v>
      </c>
      <c r="BK403" s="2194">
        <f>ROUND(I403*H403,2)</f>
        <v>0</v>
      </c>
      <c r="BL403" s="2056" t="s">
        <v>2894</v>
      </c>
      <c r="BM403" s="2193" t="s">
        <v>4868</v>
      </c>
    </row>
    <row r="404" spans="2:65" s="2195" customFormat="1">
      <c r="B404" s="2196"/>
      <c r="D404" s="2197" t="s">
        <v>3303</v>
      </c>
      <c r="E404" s="2198" t="s">
        <v>3146</v>
      </c>
      <c r="F404" s="2199" t="s">
        <v>4869</v>
      </c>
      <c r="H404" s="2198" t="s">
        <v>3146</v>
      </c>
      <c r="L404" s="2196"/>
      <c r="M404" s="2200"/>
      <c r="T404" s="2201"/>
      <c r="AT404" s="2198" t="s">
        <v>3303</v>
      </c>
      <c r="AU404" s="2198" t="s">
        <v>134</v>
      </c>
      <c r="AV404" s="2195" t="s">
        <v>133</v>
      </c>
      <c r="AW404" s="2195" t="s">
        <v>3171</v>
      </c>
      <c r="AX404" s="2195" t="s">
        <v>3213</v>
      </c>
      <c r="AY404" s="2198" t="s">
        <v>3285</v>
      </c>
    </row>
    <row r="405" spans="2:65" s="2209" customFormat="1">
      <c r="B405" s="2210"/>
      <c r="D405" s="2197" t="s">
        <v>3303</v>
      </c>
      <c r="E405" s="2211" t="s">
        <v>3146</v>
      </c>
      <c r="F405" s="2212" t="s">
        <v>133</v>
      </c>
      <c r="H405" s="2213">
        <v>1</v>
      </c>
      <c r="L405" s="2210"/>
      <c r="M405" s="2214"/>
      <c r="T405" s="2215"/>
      <c r="AT405" s="2211" t="s">
        <v>3303</v>
      </c>
      <c r="AU405" s="2211" t="s">
        <v>134</v>
      </c>
      <c r="AV405" s="2209" t="s">
        <v>134</v>
      </c>
      <c r="AW405" s="2209" t="s">
        <v>3171</v>
      </c>
      <c r="AX405" s="2209" t="s">
        <v>133</v>
      </c>
      <c r="AY405" s="2211" t="s">
        <v>3285</v>
      </c>
    </row>
    <row r="406" spans="2:65" s="2070" customFormat="1" ht="16.5" customHeight="1">
      <c r="B406" s="2164"/>
      <c r="C406" s="4608">
        <v>88</v>
      </c>
      <c r="D406" s="4608" t="s">
        <v>3286</v>
      </c>
      <c r="E406" s="4609" t="s">
        <v>4870</v>
      </c>
      <c r="F406" s="4610" t="s">
        <v>4871</v>
      </c>
      <c r="G406" s="4611" t="s">
        <v>155</v>
      </c>
      <c r="H406" s="4612">
        <v>1</v>
      </c>
      <c r="I406" s="4613"/>
      <c r="J406" s="4613">
        <f>ROUND(I406*H406,2)</f>
        <v>0</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f>IF(N406="snížená",J406,0)</f>
        <v>0</v>
      </c>
      <c r="BG406" s="2194">
        <f>IF(N406="zákl. přenesená",J406,0)</f>
        <v>0</v>
      </c>
      <c r="BH406" s="2194">
        <f>IF(N406="sníž. přenesená",J406,0)</f>
        <v>0</v>
      </c>
      <c r="BI406" s="2194">
        <f>IF(N406="nulová",J406,0)</f>
        <v>0</v>
      </c>
      <c r="BJ406" s="2056" t="s">
        <v>134</v>
      </c>
      <c r="BK406" s="2194">
        <f>ROUND(I406*H406,2)</f>
        <v>0</v>
      </c>
      <c r="BL406" s="2056" t="s">
        <v>2894</v>
      </c>
      <c r="BM406" s="2193" t="s">
        <v>4872</v>
      </c>
    </row>
    <row r="407" spans="2:65" s="2195" customFormat="1">
      <c r="B407" s="2196"/>
      <c r="D407" s="2197" t="s">
        <v>3303</v>
      </c>
      <c r="E407" s="2198" t="s">
        <v>3146</v>
      </c>
      <c r="F407" s="2199" t="s">
        <v>4873</v>
      </c>
      <c r="H407" s="2198" t="s">
        <v>3146</v>
      </c>
      <c r="L407" s="2196"/>
      <c r="M407" s="2200"/>
      <c r="T407" s="2201"/>
      <c r="AT407" s="2198" t="s">
        <v>3303</v>
      </c>
      <c r="AU407" s="2198" t="s">
        <v>134</v>
      </c>
      <c r="AV407" s="2195" t="s">
        <v>133</v>
      </c>
      <c r="AW407" s="2195" t="s">
        <v>3171</v>
      </c>
      <c r="AX407" s="2195" t="s">
        <v>3213</v>
      </c>
      <c r="AY407" s="2198" t="s">
        <v>3285</v>
      </c>
    </row>
    <row r="408" spans="2:65" s="2209" customFormat="1">
      <c r="B408" s="2210"/>
      <c r="D408" s="2197" t="s">
        <v>3303</v>
      </c>
      <c r="E408" s="2211" t="s">
        <v>3146</v>
      </c>
      <c r="F408" s="2212" t="s">
        <v>133</v>
      </c>
      <c r="H408" s="2213">
        <v>1</v>
      </c>
      <c r="L408" s="2210"/>
      <c r="M408" s="2214"/>
      <c r="T408" s="2215"/>
      <c r="AT408" s="2211" t="s">
        <v>3303</v>
      </c>
      <c r="AU408" s="2211" t="s">
        <v>134</v>
      </c>
      <c r="AV408" s="2209" t="s">
        <v>134</v>
      </c>
      <c r="AW408" s="2209" t="s">
        <v>3171</v>
      </c>
      <c r="AX408" s="2209" t="s">
        <v>133</v>
      </c>
      <c r="AY408" s="2211" t="s">
        <v>3285</v>
      </c>
    </row>
    <row r="409" spans="2:65" s="2070" customFormat="1" ht="16.5" customHeight="1">
      <c r="B409" s="2164"/>
      <c r="C409" s="4608">
        <v>89</v>
      </c>
      <c r="D409" s="4608" t="s">
        <v>3286</v>
      </c>
      <c r="E409" s="4609" t="s">
        <v>4874</v>
      </c>
      <c r="F409" s="4610" t="s">
        <v>4875</v>
      </c>
      <c r="G409" s="4611" t="s">
        <v>155</v>
      </c>
      <c r="H409" s="4612">
        <v>0</v>
      </c>
      <c r="I409" s="4613"/>
      <c r="J409" s="4613">
        <v>0</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f>IF(N409="snížená",J409,0)</f>
        <v>0</v>
      </c>
      <c r="BG409" s="2194">
        <f>IF(N409="zákl. přenesená",J409,0)</f>
        <v>0</v>
      </c>
      <c r="BH409" s="2194">
        <f>IF(N409="sníž. přenesená",J409,0)</f>
        <v>0</v>
      </c>
      <c r="BI409" s="2194">
        <f>IF(N409="nulová",J409,0)</f>
        <v>0</v>
      </c>
      <c r="BJ409" s="2056" t="s">
        <v>134</v>
      </c>
      <c r="BK409" s="2194">
        <f>ROUND(I409*H409,2)</f>
        <v>0</v>
      </c>
      <c r="BL409" s="2056" t="s">
        <v>2894</v>
      </c>
      <c r="BM409" s="2193" t="s">
        <v>4876</v>
      </c>
    </row>
    <row r="410" spans="2:65" s="2195" customFormat="1">
      <c r="B410" s="2196"/>
      <c r="D410" s="2197" t="s">
        <v>3303</v>
      </c>
      <c r="E410" s="2198" t="s">
        <v>3146</v>
      </c>
      <c r="F410" s="2199" t="s">
        <v>4877</v>
      </c>
      <c r="H410" s="2198" t="s">
        <v>3146</v>
      </c>
      <c r="L410" s="2217"/>
      <c r="M410" s="2200"/>
      <c r="T410" s="2201"/>
      <c r="AT410" s="2198" t="s">
        <v>3303</v>
      </c>
      <c r="AU410" s="2198" t="s">
        <v>134</v>
      </c>
      <c r="AV410" s="2195" t="s">
        <v>133</v>
      </c>
      <c r="AW410" s="2195" t="s">
        <v>3171</v>
      </c>
      <c r="AX410" s="2195" t="s">
        <v>3213</v>
      </c>
      <c r="AY410" s="2198" t="s">
        <v>3285</v>
      </c>
    </row>
    <row r="411" spans="2:65" s="2209" customFormat="1">
      <c r="B411" s="2210"/>
      <c r="D411" s="2197" t="s">
        <v>3303</v>
      </c>
      <c r="E411" s="2211" t="s">
        <v>3146</v>
      </c>
      <c r="F411" s="2212">
        <v>0</v>
      </c>
      <c r="H411" s="2213">
        <v>0</v>
      </c>
      <c r="L411" s="2210"/>
      <c r="M411" s="2214"/>
      <c r="T411" s="2215"/>
      <c r="AT411" s="2211" t="s">
        <v>3303</v>
      </c>
      <c r="AU411" s="2211" t="s">
        <v>134</v>
      </c>
      <c r="AV411" s="2209" t="s">
        <v>134</v>
      </c>
      <c r="AW411" s="2209" t="s">
        <v>3171</v>
      </c>
      <c r="AX411" s="2209" t="s">
        <v>133</v>
      </c>
      <c r="AY411" s="2211" t="s">
        <v>3285</v>
      </c>
    </row>
    <row r="412" spans="2:65" s="2070" customFormat="1" ht="16.5" customHeight="1">
      <c r="B412" s="2164"/>
      <c r="C412" s="4608">
        <v>90</v>
      </c>
      <c r="D412" s="4608" t="s">
        <v>3286</v>
      </c>
      <c r="E412" s="4609" t="s">
        <v>4878</v>
      </c>
      <c r="F412" s="4610" t="s">
        <v>4879</v>
      </c>
      <c r="G412" s="4611" t="s">
        <v>155</v>
      </c>
      <c r="H412" s="4612">
        <v>1</v>
      </c>
      <c r="I412" s="4613"/>
      <c r="J412" s="4613">
        <f>ROUND(I412*H412,2)</f>
        <v>0</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f>IF(N412="snížená",J412,0)</f>
        <v>0</v>
      </c>
      <c r="BG412" s="2194">
        <f>IF(N412="zákl. přenesená",J412,0)</f>
        <v>0</v>
      </c>
      <c r="BH412" s="2194">
        <f>IF(N412="sníž. přenesená",J412,0)</f>
        <v>0</v>
      </c>
      <c r="BI412" s="2194">
        <f>IF(N412="nulová",J412,0)</f>
        <v>0</v>
      </c>
      <c r="BJ412" s="2056" t="s">
        <v>134</v>
      </c>
      <c r="BK412" s="2194">
        <f>ROUND(I412*H412,2)</f>
        <v>0</v>
      </c>
      <c r="BL412" s="2056" t="s">
        <v>2894</v>
      </c>
      <c r="BM412" s="2193" t="s">
        <v>4880</v>
      </c>
    </row>
    <row r="413" spans="2:65" s="2195" customFormat="1">
      <c r="B413" s="2196"/>
      <c r="D413" s="2197" t="s">
        <v>3303</v>
      </c>
      <c r="E413" s="2198" t="s">
        <v>3146</v>
      </c>
      <c r="F413" s="2199" t="s">
        <v>4881</v>
      </c>
      <c r="H413" s="2198" t="s">
        <v>3146</v>
      </c>
      <c r="L413" s="2196"/>
      <c r="M413" s="2200"/>
      <c r="T413" s="2201"/>
      <c r="AT413" s="2198" t="s">
        <v>3303</v>
      </c>
      <c r="AU413" s="2198" t="s">
        <v>134</v>
      </c>
      <c r="AV413" s="2195" t="s">
        <v>133</v>
      </c>
      <c r="AW413" s="2195" t="s">
        <v>3171</v>
      </c>
      <c r="AX413" s="2195" t="s">
        <v>3213</v>
      </c>
      <c r="AY413" s="2198" t="s">
        <v>3285</v>
      </c>
    </row>
    <row r="414" spans="2:65" s="2209" customFormat="1">
      <c r="B414" s="2210"/>
      <c r="D414" s="2197" t="s">
        <v>3303</v>
      </c>
      <c r="E414" s="2211" t="s">
        <v>3146</v>
      </c>
      <c r="F414" s="2212" t="s">
        <v>133</v>
      </c>
      <c r="H414" s="2213">
        <v>1</v>
      </c>
      <c r="L414" s="2210"/>
      <c r="M414" s="2214"/>
      <c r="T414" s="2215"/>
      <c r="AT414" s="2211" t="s">
        <v>3303</v>
      </c>
      <c r="AU414" s="2211" t="s">
        <v>134</v>
      </c>
      <c r="AV414" s="2209" t="s">
        <v>134</v>
      </c>
      <c r="AW414" s="2209" t="s">
        <v>3171</v>
      </c>
      <c r="AX414" s="2209" t="s">
        <v>133</v>
      </c>
      <c r="AY414" s="2211" t="s">
        <v>3285</v>
      </c>
    </row>
    <row r="415" spans="2:65" s="2070" customFormat="1" ht="16.5" customHeight="1">
      <c r="B415" s="2164"/>
      <c r="C415" s="4608">
        <v>91</v>
      </c>
      <c r="D415" s="4608" t="s">
        <v>3286</v>
      </c>
      <c r="E415" s="4609" t="s">
        <v>4882</v>
      </c>
      <c r="F415" s="4610" t="s">
        <v>4883</v>
      </c>
      <c r="G415" s="4611" t="s">
        <v>155</v>
      </c>
      <c r="H415" s="4612">
        <v>1</v>
      </c>
      <c r="I415" s="4613"/>
      <c r="J415" s="4613">
        <f>ROUND(I415*H415,2)</f>
        <v>0</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f>IF(N415="snížená",J415,0)</f>
        <v>0</v>
      </c>
      <c r="BG415" s="2194">
        <f>IF(N415="zákl. přenesená",J415,0)</f>
        <v>0</v>
      </c>
      <c r="BH415" s="2194">
        <f>IF(N415="sníž. přenesená",J415,0)</f>
        <v>0</v>
      </c>
      <c r="BI415" s="2194">
        <f>IF(N415="nulová",J415,0)</f>
        <v>0</v>
      </c>
      <c r="BJ415" s="2056" t="s">
        <v>134</v>
      </c>
      <c r="BK415" s="2194">
        <f>ROUND(I415*H415,2)</f>
        <v>0</v>
      </c>
      <c r="BL415" s="2056" t="s">
        <v>2894</v>
      </c>
      <c r="BM415" s="2193" t="s">
        <v>4884</v>
      </c>
    </row>
    <row r="416" spans="2:65" s="2195" customFormat="1">
      <c r="B416" s="2196"/>
      <c r="D416" s="2197" t="s">
        <v>3303</v>
      </c>
      <c r="E416" s="2198" t="s">
        <v>3146</v>
      </c>
      <c r="F416" s="2199" t="s">
        <v>4885</v>
      </c>
      <c r="H416" s="2198" t="s">
        <v>3146</v>
      </c>
      <c r="L416" s="2196"/>
      <c r="M416" s="2200"/>
      <c r="T416" s="2201"/>
      <c r="AT416" s="2198" t="s">
        <v>3303</v>
      </c>
      <c r="AU416" s="2198" t="s">
        <v>134</v>
      </c>
      <c r="AV416" s="2195" t="s">
        <v>133</v>
      </c>
      <c r="AW416" s="2195" t="s">
        <v>3171</v>
      </c>
      <c r="AX416" s="2195" t="s">
        <v>3213</v>
      </c>
      <c r="AY416" s="2198" t="s">
        <v>3285</v>
      </c>
    </row>
    <row r="417" spans="2:65" s="2209" customFormat="1">
      <c r="B417" s="2210"/>
      <c r="D417" s="2197" t="s">
        <v>3303</v>
      </c>
      <c r="E417" s="2211" t="s">
        <v>3146</v>
      </c>
      <c r="F417" s="2212" t="s">
        <v>133</v>
      </c>
      <c r="H417" s="2213">
        <v>1</v>
      </c>
      <c r="L417" s="2210"/>
      <c r="M417" s="2214"/>
      <c r="T417" s="2215"/>
      <c r="AT417" s="2211" t="s">
        <v>3303</v>
      </c>
      <c r="AU417" s="2211" t="s">
        <v>134</v>
      </c>
      <c r="AV417" s="2209" t="s">
        <v>134</v>
      </c>
      <c r="AW417" s="2209" t="s">
        <v>3171</v>
      </c>
      <c r="AX417" s="2209" t="s">
        <v>133</v>
      </c>
      <c r="AY417" s="2211" t="s">
        <v>3285</v>
      </c>
    </row>
    <row r="418" spans="2:65" s="2070" customFormat="1" ht="16.5" customHeight="1">
      <c r="B418" s="2164"/>
      <c r="C418" s="4608">
        <v>92</v>
      </c>
      <c r="D418" s="4608" t="s">
        <v>3286</v>
      </c>
      <c r="E418" s="4609" t="s">
        <v>4886</v>
      </c>
      <c r="F418" s="4610" t="s">
        <v>4887</v>
      </c>
      <c r="G418" s="4611" t="s">
        <v>155</v>
      </c>
      <c r="H418" s="4612">
        <v>1</v>
      </c>
      <c r="I418" s="4613"/>
      <c r="J418" s="4613">
        <f>ROUND(I418*H418,2)</f>
        <v>0</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f>IF(N418="snížená",J418,0)</f>
        <v>0</v>
      </c>
      <c r="BG418" s="2194">
        <f>IF(N418="zákl. přenesená",J418,0)</f>
        <v>0</v>
      </c>
      <c r="BH418" s="2194">
        <f>IF(N418="sníž. přenesená",J418,0)</f>
        <v>0</v>
      </c>
      <c r="BI418" s="2194">
        <f>IF(N418="nulová",J418,0)</f>
        <v>0</v>
      </c>
      <c r="BJ418" s="2056" t="s">
        <v>134</v>
      </c>
      <c r="BK418" s="2194">
        <f>ROUND(I418*H418,2)</f>
        <v>0</v>
      </c>
      <c r="BL418" s="2056" t="s">
        <v>2894</v>
      </c>
      <c r="BM418" s="2193" t="s">
        <v>4888</v>
      </c>
    </row>
    <row r="419" spans="2:65" s="2195" customFormat="1">
      <c r="B419" s="2196"/>
      <c r="D419" s="2197" t="s">
        <v>3303</v>
      </c>
      <c r="E419" s="2198" t="s">
        <v>3146</v>
      </c>
      <c r="F419" s="2199" t="s">
        <v>4889</v>
      </c>
      <c r="H419" s="2198" t="s">
        <v>3146</v>
      </c>
      <c r="L419" s="2196"/>
      <c r="M419" s="2200"/>
      <c r="T419" s="2201"/>
      <c r="AT419" s="2198" t="s">
        <v>3303</v>
      </c>
      <c r="AU419" s="2198" t="s">
        <v>134</v>
      </c>
      <c r="AV419" s="2195" t="s">
        <v>133</v>
      </c>
      <c r="AW419" s="2195" t="s">
        <v>3171</v>
      </c>
      <c r="AX419" s="2195" t="s">
        <v>3213</v>
      </c>
      <c r="AY419" s="2198" t="s">
        <v>3285</v>
      </c>
    </row>
    <row r="420" spans="2:65" s="2209" customFormat="1">
      <c r="B420" s="2210"/>
      <c r="D420" s="2197" t="s">
        <v>3303</v>
      </c>
      <c r="E420" s="2211" t="s">
        <v>3146</v>
      </c>
      <c r="F420" s="2212" t="s">
        <v>133</v>
      </c>
      <c r="H420" s="2213">
        <v>1</v>
      </c>
      <c r="L420" s="2210"/>
      <c r="M420" s="2214"/>
      <c r="T420" s="2215"/>
      <c r="AT420" s="2211" t="s">
        <v>3303</v>
      </c>
      <c r="AU420" s="2211" t="s">
        <v>134</v>
      </c>
      <c r="AV420" s="2209" t="s">
        <v>134</v>
      </c>
      <c r="AW420" s="2209" t="s">
        <v>3171</v>
      </c>
      <c r="AX420" s="2209" t="s">
        <v>133</v>
      </c>
      <c r="AY420" s="2211" t="s">
        <v>3285</v>
      </c>
    </row>
    <row r="421" spans="2:65" s="2070" customFormat="1" ht="16.5" customHeight="1">
      <c r="B421" s="2164"/>
      <c r="C421" s="4608">
        <v>93</v>
      </c>
      <c r="D421" s="4608" t="s">
        <v>3286</v>
      </c>
      <c r="E421" s="4609" t="s">
        <v>4890</v>
      </c>
      <c r="F421" s="4610" t="s">
        <v>4891</v>
      </c>
      <c r="G421" s="4611" t="s">
        <v>155</v>
      </c>
      <c r="H421" s="4612">
        <v>2</v>
      </c>
      <c r="I421" s="4613"/>
      <c r="J421" s="4613">
        <f>ROUND(I421*H421,2)</f>
        <v>0</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2894</v>
      </c>
      <c r="BM421" s="2193" t="s">
        <v>4892</v>
      </c>
    </row>
    <row r="422" spans="2:65" s="2195" customFormat="1">
      <c r="B422" s="2196"/>
      <c r="D422" s="2197" t="s">
        <v>3303</v>
      </c>
      <c r="E422" s="2198" t="s">
        <v>3146</v>
      </c>
      <c r="F422" s="2199" t="s">
        <v>4893</v>
      </c>
      <c r="H422" s="2198" t="s">
        <v>3146</v>
      </c>
      <c r="L422" s="2196"/>
      <c r="M422" s="2200"/>
      <c r="T422" s="2201"/>
      <c r="AT422" s="2198" t="s">
        <v>3303</v>
      </c>
      <c r="AU422" s="2198" t="s">
        <v>134</v>
      </c>
      <c r="AV422" s="2195" t="s">
        <v>133</v>
      </c>
      <c r="AW422" s="2195" t="s">
        <v>3171</v>
      </c>
      <c r="AX422" s="2195" t="s">
        <v>3213</v>
      </c>
      <c r="AY422" s="2198" t="s">
        <v>3285</v>
      </c>
    </row>
    <row r="423" spans="2:65" s="2209" customFormat="1">
      <c r="B423" s="2210"/>
      <c r="D423" s="2197" t="s">
        <v>3303</v>
      </c>
      <c r="E423" s="2211" t="s">
        <v>3146</v>
      </c>
      <c r="F423" s="2212" t="s">
        <v>134</v>
      </c>
      <c r="H423" s="2213">
        <v>2</v>
      </c>
      <c r="L423" s="2210"/>
      <c r="M423" s="2214"/>
      <c r="T423" s="2215"/>
      <c r="AT423" s="2211" t="s">
        <v>3303</v>
      </c>
      <c r="AU423" s="2211" t="s">
        <v>134</v>
      </c>
      <c r="AV423" s="2209" t="s">
        <v>134</v>
      </c>
      <c r="AW423" s="2209" t="s">
        <v>3171</v>
      </c>
      <c r="AX423" s="2209" t="s">
        <v>133</v>
      </c>
      <c r="AY423" s="2211" t="s">
        <v>3285</v>
      </c>
    </row>
    <row r="424" spans="2:65" s="2070" customFormat="1" ht="16.5" customHeight="1">
      <c r="B424" s="2164"/>
      <c r="C424" s="4608">
        <v>94</v>
      </c>
      <c r="D424" s="4608" t="s">
        <v>3286</v>
      </c>
      <c r="E424" s="4609" t="s">
        <v>4894</v>
      </c>
      <c r="F424" s="4610" t="s">
        <v>4895</v>
      </c>
      <c r="G424" s="4611" t="s">
        <v>155</v>
      </c>
      <c r="H424" s="4612">
        <v>6</v>
      </c>
      <c r="I424" s="4613"/>
      <c r="J424" s="4613">
        <f>ROUND(I424*H424,2)</f>
        <v>0</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f>IF(N424="snížená",J424,0)</f>
        <v>0</v>
      </c>
      <c r="BG424" s="2194">
        <f>IF(N424="zákl. přenesená",J424,0)</f>
        <v>0</v>
      </c>
      <c r="BH424" s="2194">
        <f>IF(N424="sníž. přenesená",J424,0)</f>
        <v>0</v>
      </c>
      <c r="BI424" s="2194">
        <f>IF(N424="nulová",J424,0)</f>
        <v>0</v>
      </c>
      <c r="BJ424" s="2056" t="s">
        <v>134</v>
      </c>
      <c r="BK424" s="2194">
        <f>ROUND(I424*H424,2)</f>
        <v>0</v>
      </c>
      <c r="BL424" s="2056" t="s">
        <v>2894</v>
      </c>
      <c r="BM424" s="2193" t="s">
        <v>4896</v>
      </c>
    </row>
    <row r="425" spans="2:65" s="2195" customFormat="1">
      <c r="B425" s="2196"/>
      <c r="D425" s="2197" t="s">
        <v>3303</v>
      </c>
      <c r="E425" s="2198" t="s">
        <v>3146</v>
      </c>
      <c r="F425" s="2199" t="s">
        <v>4897</v>
      </c>
      <c r="H425" s="2198" t="s">
        <v>3146</v>
      </c>
      <c r="L425" s="2196"/>
      <c r="M425" s="2200"/>
      <c r="T425" s="2201"/>
      <c r="AT425" s="2198" t="s">
        <v>3303</v>
      </c>
      <c r="AU425" s="2198" t="s">
        <v>134</v>
      </c>
      <c r="AV425" s="2195" t="s">
        <v>133</v>
      </c>
      <c r="AW425" s="2195" t="s">
        <v>3171</v>
      </c>
      <c r="AX425" s="2195" t="s">
        <v>3213</v>
      </c>
      <c r="AY425" s="2198" t="s">
        <v>3285</v>
      </c>
    </row>
    <row r="426" spans="2:65" s="2209" customFormat="1">
      <c r="B426" s="2210"/>
      <c r="D426" s="2197" t="s">
        <v>3303</v>
      </c>
      <c r="E426" s="2211" t="s">
        <v>3146</v>
      </c>
      <c r="F426" s="2212" t="s">
        <v>4898</v>
      </c>
      <c r="H426" s="2213">
        <v>6</v>
      </c>
      <c r="L426" s="2210"/>
      <c r="M426" s="2214"/>
      <c r="T426" s="2215"/>
      <c r="AT426" s="2211" t="s">
        <v>3303</v>
      </c>
      <c r="AU426" s="2211" t="s">
        <v>134</v>
      </c>
      <c r="AV426" s="2209" t="s">
        <v>134</v>
      </c>
      <c r="AW426" s="2209" t="s">
        <v>3171</v>
      </c>
      <c r="AX426" s="2209" t="s">
        <v>133</v>
      </c>
      <c r="AY426" s="2211" t="s">
        <v>3285</v>
      </c>
    </row>
    <row r="427" spans="2:65" s="2070" customFormat="1" ht="16.5" customHeight="1">
      <c r="B427" s="2164"/>
      <c r="C427" s="4608">
        <v>95</v>
      </c>
      <c r="D427" s="4608" t="s">
        <v>3286</v>
      </c>
      <c r="E427" s="4609" t="s">
        <v>4899</v>
      </c>
      <c r="F427" s="4610" t="s">
        <v>4900</v>
      </c>
      <c r="G427" s="4611" t="s">
        <v>155</v>
      </c>
      <c r="H427" s="4612">
        <v>1</v>
      </c>
      <c r="I427" s="4613"/>
      <c r="J427" s="4613">
        <f>ROUND(I427*H427,2)</f>
        <v>0</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f>IF(N427="snížená",J427,0)</f>
        <v>0</v>
      </c>
      <c r="BG427" s="2194">
        <f>IF(N427="zákl. přenesená",J427,0)</f>
        <v>0</v>
      </c>
      <c r="BH427" s="2194">
        <f>IF(N427="sníž. přenesená",J427,0)</f>
        <v>0</v>
      </c>
      <c r="BI427" s="2194">
        <f>IF(N427="nulová",J427,0)</f>
        <v>0</v>
      </c>
      <c r="BJ427" s="2056" t="s">
        <v>134</v>
      </c>
      <c r="BK427" s="2194">
        <f>ROUND(I427*H427,2)</f>
        <v>0</v>
      </c>
      <c r="BL427" s="2056" t="s">
        <v>2894</v>
      </c>
      <c r="BM427" s="2193" t="s">
        <v>4901</v>
      </c>
    </row>
    <row r="428" spans="2:65" s="2195" customFormat="1">
      <c r="B428" s="2196"/>
      <c r="D428" s="2197" t="s">
        <v>3303</v>
      </c>
      <c r="E428" s="2198" t="s">
        <v>3146</v>
      </c>
      <c r="F428" s="2199" t="s">
        <v>4902</v>
      </c>
      <c r="H428" s="2198" t="s">
        <v>3146</v>
      </c>
      <c r="L428" s="2196"/>
      <c r="M428" s="2200"/>
      <c r="T428" s="2201"/>
      <c r="AT428" s="2198" t="s">
        <v>3303</v>
      </c>
      <c r="AU428" s="2198" t="s">
        <v>134</v>
      </c>
      <c r="AV428" s="2195" t="s">
        <v>133</v>
      </c>
      <c r="AW428" s="2195" t="s">
        <v>3171</v>
      </c>
      <c r="AX428" s="2195" t="s">
        <v>3213</v>
      </c>
      <c r="AY428" s="2198" t="s">
        <v>3285</v>
      </c>
    </row>
    <row r="429" spans="2:65" s="2209" customFormat="1">
      <c r="B429" s="2210"/>
      <c r="D429" s="2197" t="s">
        <v>3303</v>
      </c>
      <c r="E429" s="2211" t="s">
        <v>3146</v>
      </c>
      <c r="F429" s="2212" t="s">
        <v>133</v>
      </c>
      <c r="H429" s="2213">
        <v>1</v>
      </c>
      <c r="L429" s="2210"/>
      <c r="M429" s="2214"/>
      <c r="T429" s="2215"/>
      <c r="AT429" s="2211" t="s">
        <v>3303</v>
      </c>
      <c r="AU429" s="2211" t="s">
        <v>134</v>
      </c>
      <c r="AV429" s="2209" t="s">
        <v>134</v>
      </c>
      <c r="AW429" s="2209" t="s">
        <v>3171</v>
      </c>
      <c r="AX429" s="2209" t="s">
        <v>133</v>
      </c>
      <c r="AY429" s="2211" t="s">
        <v>3285</v>
      </c>
    </row>
    <row r="430" spans="2:65" s="2070" customFormat="1" ht="16.5" customHeight="1">
      <c r="B430" s="2164"/>
      <c r="C430" s="4608">
        <v>96</v>
      </c>
      <c r="D430" s="4608" t="s">
        <v>3286</v>
      </c>
      <c r="E430" s="4609" t="s">
        <v>4903</v>
      </c>
      <c r="F430" s="4610" t="s">
        <v>4904</v>
      </c>
      <c r="G430" s="4611" t="s">
        <v>155</v>
      </c>
      <c r="H430" s="4612">
        <v>1</v>
      </c>
      <c r="I430" s="4613"/>
      <c r="J430" s="4613">
        <f>ROUND(I430*H430,2)</f>
        <v>0</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f>IF(N430="snížená",J430,0)</f>
        <v>0</v>
      </c>
      <c r="BG430" s="2194">
        <f>IF(N430="zákl. přenesená",J430,0)</f>
        <v>0</v>
      </c>
      <c r="BH430" s="2194">
        <f>IF(N430="sníž. přenesená",J430,0)</f>
        <v>0</v>
      </c>
      <c r="BI430" s="2194">
        <f>IF(N430="nulová",J430,0)</f>
        <v>0</v>
      </c>
      <c r="BJ430" s="2056" t="s">
        <v>134</v>
      </c>
      <c r="BK430" s="2194">
        <f>ROUND(I430*H430,2)</f>
        <v>0</v>
      </c>
      <c r="BL430" s="2056" t="s">
        <v>2894</v>
      </c>
      <c r="BM430" s="2193" t="s">
        <v>4905</v>
      </c>
    </row>
    <row r="431" spans="2:65" s="2195" customFormat="1">
      <c r="B431" s="2196"/>
      <c r="D431" s="2197" t="s">
        <v>3303</v>
      </c>
      <c r="E431" s="2198" t="s">
        <v>3146</v>
      </c>
      <c r="F431" s="2199" t="s">
        <v>4906</v>
      </c>
      <c r="H431" s="2198" t="s">
        <v>3146</v>
      </c>
      <c r="L431" s="2196"/>
      <c r="M431" s="2200"/>
      <c r="T431" s="2201"/>
      <c r="AT431" s="2198" t="s">
        <v>3303</v>
      </c>
      <c r="AU431" s="2198" t="s">
        <v>134</v>
      </c>
      <c r="AV431" s="2195" t="s">
        <v>133</v>
      </c>
      <c r="AW431" s="2195" t="s">
        <v>3171</v>
      </c>
      <c r="AX431" s="2195" t="s">
        <v>3213</v>
      </c>
      <c r="AY431" s="2198" t="s">
        <v>3285</v>
      </c>
    </row>
    <row r="432" spans="2:65" s="2209" customFormat="1">
      <c r="B432" s="2210"/>
      <c r="D432" s="2197" t="s">
        <v>3303</v>
      </c>
      <c r="E432" s="2211" t="s">
        <v>3146</v>
      </c>
      <c r="F432" s="2212" t="s">
        <v>133</v>
      </c>
      <c r="H432" s="2213">
        <v>1</v>
      </c>
      <c r="L432" s="2210"/>
      <c r="M432" s="2214"/>
      <c r="T432" s="2215"/>
      <c r="AT432" s="2211" t="s">
        <v>3303</v>
      </c>
      <c r="AU432" s="2211" t="s">
        <v>134</v>
      </c>
      <c r="AV432" s="2209" t="s">
        <v>134</v>
      </c>
      <c r="AW432" s="2209" t="s">
        <v>3171</v>
      </c>
      <c r="AX432" s="2209" t="s">
        <v>133</v>
      </c>
      <c r="AY432" s="2211" t="s">
        <v>3285</v>
      </c>
    </row>
    <row r="433" spans="2:65" s="2070" customFormat="1" ht="16.5" customHeight="1">
      <c r="B433" s="2164"/>
      <c r="C433" s="4608">
        <v>97</v>
      </c>
      <c r="D433" s="4608" t="s">
        <v>3286</v>
      </c>
      <c r="E433" s="4609" t="s">
        <v>4907</v>
      </c>
      <c r="F433" s="4610" t="s">
        <v>4908</v>
      </c>
      <c r="G433" s="4611" t="s">
        <v>155</v>
      </c>
      <c r="H433" s="4612">
        <v>2</v>
      </c>
      <c r="I433" s="4613"/>
      <c r="J433" s="4613">
        <f>ROUND(I433*H433,2)</f>
        <v>0</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f>IF(N433="snížená",J433,0)</f>
        <v>0</v>
      </c>
      <c r="BG433" s="2194">
        <f>IF(N433="zákl. přenesená",J433,0)</f>
        <v>0</v>
      </c>
      <c r="BH433" s="2194">
        <f>IF(N433="sníž. přenesená",J433,0)</f>
        <v>0</v>
      </c>
      <c r="BI433" s="2194">
        <f>IF(N433="nulová",J433,0)</f>
        <v>0</v>
      </c>
      <c r="BJ433" s="2056" t="s">
        <v>134</v>
      </c>
      <c r="BK433" s="2194">
        <f>ROUND(I433*H433,2)</f>
        <v>0</v>
      </c>
      <c r="BL433" s="2056" t="s">
        <v>2894</v>
      </c>
      <c r="BM433" s="2193" t="s">
        <v>4909</v>
      </c>
    </row>
    <row r="434" spans="2:65" s="2195" customFormat="1">
      <c r="B434" s="2196"/>
      <c r="D434" s="2197" t="s">
        <v>3303</v>
      </c>
      <c r="E434" s="2198" t="s">
        <v>3146</v>
      </c>
      <c r="F434" s="2199" t="s">
        <v>4910</v>
      </c>
      <c r="H434" s="2198" t="s">
        <v>3146</v>
      </c>
      <c r="L434" s="2196"/>
      <c r="M434" s="2200"/>
      <c r="T434" s="2201"/>
      <c r="AT434" s="2198" t="s">
        <v>3303</v>
      </c>
      <c r="AU434" s="2198" t="s">
        <v>134</v>
      </c>
      <c r="AV434" s="2195" t="s">
        <v>133</v>
      </c>
      <c r="AW434" s="2195" t="s">
        <v>3171</v>
      </c>
      <c r="AX434" s="2195" t="s">
        <v>3213</v>
      </c>
      <c r="AY434" s="2198" t="s">
        <v>3285</v>
      </c>
    </row>
    <row r="435" spans="2:65" s="2209" customFormat="1">
      <c r="B435" s="2210"/>
      <c r="D435" s="2197" t="s">
        <v>3303</v>
      </c>
      <c r="E435" s="2211" t="s">
        <v>3146</v>
      </c>
      <c r="F435" s="2212" t="s">
        <v>4804</v>
      </c>
      <c r="H435" s="2213">
        <v>2</v>
      </c>
      <c r="L435" s="2210"/>
      <c r="M435" s="2214"/>
      <c r="T435" s="2215"/>
      <c r="AT435" s="2211" t="s">
        <v>3303</v>
      </c>
      <c r="AU435" s="2211" t="s">
        <v>134</v>
      </c>
      <c r="AV435" s="2209" t="s">
        <v>134</v>
      </c>
      <c r="AW435" s="2209" t="s">
        <v>3171</v>
      </c>
      <c r="AX435" s="2209" t="s">
        <v>133</v>
      </c>
      <c r="AY435" s="2211" t="s">
        <v>3285</v>
      </c>
    </row>
    <row r="436" spans="2:65" s="2070" customFormat="1" ht="16.5" customHeight="1">
      <c r="B436" s="2164"/>
      <c r="C436" s="4608">
        <v>98</v>
      </c>
      <c r="D436" s="4608" t="s">
        <v>3286</v>
      </c>
      <c r="E436" s="4609" t="s">
        <v>4911</v>
      </c>
      <c r="F436" s="4610" t="s">
        <v>4912</v>
      </c>
      <c r="G436" s="4611" t="s">
        <v>155</v>
      </c>
      <c r="H436" s="4612">
        <v>2</v>
      </c>
      <c r="I436" s="4613"/>
      <c r="J436" s="4613">
        <f>ROUND(I436*H436,2)</f>
        <v>0</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f>IF(N436="snížená",J436,0)</f>
        <v>0</v>
      </c>
      <c r="BG436" s="2194">
        <f>IF(N436="zákl. přenesená",J436,0)</f>
        <v>0</v>
      </c>
      <c r="BH436" s="2194">
        <f>IF(N436="sníž. přenesená",J436,0)</f>
        <v>0</v>
      </c>
      <c r="BI436" s="2194">
        <f>IF(N436="nulová",J436,0)</f>
        <v>0</v>
      </c>
      <c r="BJ436" s="2056" t="s">
        <v>134</v>
      </c>
      <c r="BK436" s="2194">
        <f>ROUND(I436*H436,2)</f>
        <v>0</v>
      </c>
      <c r="BL436" s="2056" t="s">
        <v>2894</v>
      </c>
      <c r="BM436" s="2193" t="s">
        <v>4913</v>
      </c>
    </row>
    <row r="437" spans="2:65" s="2195" customFormat="1">
      <c r="B437" s="2196"/>
      <c r="D437" s="2197" t="s">
        <v>3303</v>
      </c>
      <c r="E437" s="2198" t="s">
        <v>3146</v>
      </c>
      <c r="F437" s="2199" t="s">
        <v>4914</v>
      </c>
      <c r="H437" s="2198" t="s">
        <v>3146</v>
      </c>
      <c r="L437" s="2196"/>
      <c r="M437" s="2200"/>
      <c r="T437" s="2201"/>
      <c r="AT437" s="2198" t="s">
        <v>3303</v>
      </c>
      <c r="AU437" s="2198" t="s">
        <v>134</v>
      </c>
      <c r="AV437" s="2195" t="s">
        <v>133</v>
      </c>
      <c r="AW437" s="2195" t="s">
        <v>3171</v>
      </c>
      <c r="AX437" s="2195" t="s">
        <v>3213</v>
      </c>
      <c r="AY437" s="2198" t="s">
        <v>3285</v>
      </c>
    </row>
    <row r="438" spans="2:65" s="2209" customFormat="1">
      <c r="B438" s="2210"/>
      <c r="D438" s="2197" t="s">
        <v>3303</v>
      </c>
      <c r="E438" s="2211" t="s">
        <v>3146</v>
      </c>
      <c r="F438" s="2212" t="s">
        <v>4804</v>
      </c>
      <c r="H438" s="2213">
        <v>2</v>
      </c>
      <c r="L438" s="2210"/>
      <c r="M438" s="2214"/>
      <c r="T438" s="2215"/>
      <c r="AT438" s="2211" t="s">
        <v>3303</v>
      </c>
      <c r="AU438" s="2211" t="s">
        <v>134</v>
      </c>
      <c r="AV438" s="2209" t="s">
        <v>134</v>
      </c>
      <c r="AW438" s="2209" t="s">
        <v>3171</v>
      </c>
      <c r="AX438" s="2209" t="s">
        <v>133</v>
      </c>
      <c r="AY438" s="2211" t="s">
        <v>3285</v>
      </c>
    </row>
    <row r="439" spans="2:65" s="2070" customFormat="1" ht="16.5" customHeight="1">
      <c r="B439" s="2164"/>
      <c r="C439" s="4608">
        <v>99</v>
      </c>
      <c r="D439" s="4608" t="s">
        <v>3286</v>
      </c>
      <c r="E439" s="4609" t="s">
        <v>4915</v>
      </c>
      <c r="F439" s="4610" t="s">
        <v>4916</v>
      </c>
      <c r="G439" s="4611" t="s">
        <v>155</v>
      </c>
      <c r="H439" s="4612">
        <v>2</v>
      </c>
      <c r="I439" s="4613"/>
      <c r="J439" s="4613">
        <f>ROUND(I439*H439,2)</f>
        <v>0</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f>IF(N439="snížená",J439,0)</f>
        <v>0</v>
      </c>
      <c r="BG439" s="2194">
        <f>IF(N439="zákl. přenesená",J439,0)</f>
        <v>0</v>
      </c>
      <c r="BH439" s="2194">
        <f>IF(N439="sníž. přenesená",J439,0)</f>
        <v>0</v>
      </c>
      <c r="BI439" s="2194">
        <f>IF(N439="nulová",J439,0)</f>
        <v>0</v>
      </c>
      <c r="BJ439" s="2056" t="s">
        <v>134</v>
      </c>
      <c r="BK439" s="2194">
        <f>ROUND(I439*H439,2)</f>
        <v>0</v>
      </c>
      <c r="BL439" s="2056" t="s">
        <v>2894</v>
      </c>
      <c r="BM439" s="2193" t="s">
        <v>4917</v>
      </c>
    </row>
    <row r="440" spans="2:65" s="2195" customFormat="1">
      <c r="B440" s="2196"/>
      <c r="D440" s="2197" t="s">
        <v>3303</v>
      </c>
      <c r="E440" s="2198" t="s">
        <v>3146</v>
      </c>
      <c r="F440" s="2199" t="s">
        <v>4918</v>
      </c>
      <c r="H440" s="2198" t="s">
        <v>3146</v>
      </c>
      <c r="L440" s="2196"/>
      <c r="M440" s="2200"/>
      <c r="T440" s="2201"/>
      <c r="AT440" s="2198" t="s">
        <v>3303</v>
      </c>
      <c r="AU440" s="2198" t="s">
        <v>134</v>
      </c>
      <c r="AV440" s="2195" t="s">
        <v>133</v>
      </c>
      <c r="AW440" s="2195" t="s">
        <v>3171</v>
      </c>
      <c r="AX440" s="2195" t="s">
        <v>3213</v>
      </c>
      <c r="AY440" s="2198" t="s">
        <v>3285</v>
      </c>
    </row>
    <row r="441" spans="2:65" s="2209" customFormat="1">
      <c r="B441" s="2210"/>
      <c r="D441" s="2197" t="s">
        <v>3303</v>
      </c>
      <c r="E441" s="2211" t="s">
        <v>3146</v>
      </c>
      <c r="F441" s="2212" t="s">
        <v>4804</v>
      </c>
      <c r="H441" s="2213">
        <v>2</v>
      </c>
      <c r="L441" s="2210"/>
      <c r="M441" s="2214"/>
      <c r="T441" s="2215"/>
      <c r="AT441" s="2211" t="s">
        <v>3303</v>
      </c>
      <c r="AU441" s="2211" t="s">
        <v>134</v>
      </c>
      <c r="AV441" s="2209" t="s">
        <v>134</v>
      </c>
      <c r="AW441" s="2209" t="s">
        <v>3171</v>
      </c>
      <c r="AX441" s="2209" t="s">
        <v>133</v>
      </c>
      <c r="AY441" s="2211" t="s">
        <v>3285</v>
      </c>
    </row>
    <row r="442" spans="2:65" s="2070" customFormat="1" ht="16.5" customHeight="1">
      <c r="B442" s="2164"/>
      <c r="C442" s="4608">
        <v>100</v>
      </c>
      <c r="D442" s="4608" t="s">
        <v>3286</v>
      </c>
      <c r="E442" s="4609" t="s">
        <v>4919</v>
      </c>
      <c r="F442" s="4610" t="s">
        <v>4920</v>
      </c>
      <c r="G442" s="4611" t="s">
        <v>155</v>
      </c>
      <c r="H442" s="4612">
        <v>2</v>
      </c>
      <c r="I442" s="4613"/>
      <c r="J442" s="4613">
        <f>ROUND(I442*H442,2)</f>
        <v>0</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f>IF(N442="snížená",J442,0)</f>
        <v>0</v>
      </c>
      <c r="BG442" s="2194">
        <f>IF(N442="zákl. přenesená",J442,0)</f>
        <v>0</v>
      </c>
      <c r="BH442" s="2194">
        <f>IF(N442="sníž. přenesená",J442,0)</f>
        <v>0</v>
      </c>
      <c r="BI442" s="2194">
        <f>IF(N442="nulová",J442,0)</f>
        <v>0</v>
      </c>
      <c r="BJ442" s="2056" t="s">
        <v>134</v>
      </c>
      <c r="BK442" s="2194">
        <f>ROUND(I442*H442,2)</f>
        <v>0</v>
      </c>
      <c r="BL442" s="2056" t="s">
        <v>2894</v>
      </c>
      <c r="BM442" s="2193" t="s">
        <v>4921</v>
      </c>
    </row>
    <row r="443" spans="2:65" s="2195" customFormat="1">
      <c r="B443" s="2196"/>
      <c r="D443" s="2197" t="s">
        <v>3303</v>
      </c>
      <c r="E443" s="2198" t="s">
        <v>3146</v>
      </c>
      <c r="F443" s="2199" t="s">
        <v>4922</v>
      </c>
      <c r="H443" s="2198" t="s">
        <v>3146</v>
      </c>
      <c r="L443" s="2196"/>
      <c r="M443" s="2200"/>
      <c r="T443" s="2201"/>
      <c r="AT443" s="2198" t="s">
        <v>3303</v>
      </c>
      <c r="AU443" s="2198" t="s">
        <v>134</v>
      </c>
      <c r="AV443" s="2195" t="s">
        <v>133</v>
      </c>
      <c r="AW443" s="2195" t="s">
        <v>3171</v>
      </c>
      <c r="AX443" s="2195" t="s">
        <v>3213</v>
      </c>
      <c r="AY443" s="2198" t="s">
        <v>3285</v>
      </c>
    </row>
    <row r="444" spans="2:65" s="2209" customFormat="1">
      <c r="B444" s="2210"/>
      <c r="D444" s="2197" t="s">
        <v>3303</v>
      </c>
      <c r="E444" s="2211" t="s">
        <v>3146</v>
      </c>
      <c r="F444" s="2212" t="s">
        <v>4804</v>
      </c>
      <c r="H444" s="2213">
        <v>2</v>
      </c>
      <c r="L444" s="2210"/>
      <c r="M444" s="2214"/>
      <c r="T444" s="2215"/>
      <c r="AT444" s="2211" t="s">
        <v>3303</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4923</v>
      </c>
      <c r="F445" s="4610" t="s">
        <v>4924</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4925</v>
      </c>
    </row>
    <row r="446" spans="2:65" s="2195" customFormat="1">
      <c r="B446" s="2196"/>
      <c r="D446" s="2197" t="s">
        <v>3303</v>
      </c>
      <c r="E446" s="2198" t="s">
        <v>3146</v>
      </c>
      <c r="F446" s="2199" t="s">
        <v>4926</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4804</v>
      </c>
      <c r="H447" s="2213">
        <v>2</v>
      </c>
      <c r="L447" s="2210"/>
      <c r="M447" s="2214"/>
      <c r="T447" s="2215"/>
      <c r="AT447" s="2211" t="s">
        <v>3303</v>
      </c>
      <c r="AU447" s="2211" t="s">
        <v>134</v>
      </c>
      <c r="AV447" s="2209" t="s">
        <v>134</v>
      </c>
      <c r="AW447" s="2209" t="s">
        <v>3171</v>
      </c>
      <c r="AX447" s="2209" t="s">
        <v>133</v>
      </c>
      <c r="AY447" s="2211" t="s">
        <v>3285</v>
      </c>
    </row>
    <row r="448" spans="2:65" s="2070" customFormat="1" ht="16.5" customHeight="1">
      <c r="B448" s="2164"/>
      <c r="C448" s="4608">
        <v>102</v>
      </c>
      <c r="D448" s="4608" t="s">
        <v>3286</v>
      </c>
      <c r="E448" s="4609" t="s">
        <v>4927</v>
      </c>
      <c r="F448" s="4610" t="s">
        <v>4928</v>
      </c>
      <c r="G448" s="4611" t="s">
        <v>155</v>
      </c>
      <c r="H448" s="4612">
        <v>2</v>
      </c>
      <c r="I448" s="4613"/>
      <c r="J448" s="4613">
        <f>ROUND(I448*H448,2)</f>
        <v>0</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f>IF(N448="snížená",J448,0)</f>
        <v>0</v>
      </c>
      <c r="BG448" s="2194">
        <f>IF(N448="zákl. přenesená",J448,0)</f>
        <v>0</v>
      </c>
      <c r="BH448" s="2194">
        <f>IF(N448="sníž. přenesená",J448,0)</f>
        <v>0</v>
      </c>
      <c r="BI448" s="2194">
        <f>IF(N448="nulová",J448,0)</f>
        <v>0</v>
      </c>
      <c r="BJ448" s="2056" t="s">
        <v>134</v>
      </c>
      <c r="BK448" s="2194">
        <f>ROUND(I448*H448,2)</f>
        <v>0</v>
      </c>
      <c r="BL448" s="2056" t="s">
        <v>2894</v>
      </c>
      <c r="BM448" s="2193" t="s">
        <v>4929</v>
      </c>
    </row>
    <row r="449" spans="2:65" s="2195" customFormat="1">
      <c r="B449" s="2196"/>
      <c r="D449" s="2197" t="s">
        <v>3303</v>
      </c>
      <c r="E449" s="2198" t="s">
        <v>3146</v>
      </c>
      <c r="F449" s="2199" t="s">
        <v>4930</v>
      </c>
      <c r="H449" s="2198" t="s">
        <v>3146</v>
      </c>
      <c r="L449" s="2196"/>
      <c r="M449" s="2200"/>
      <c r="T449" s="2201"/>
      <c r="AT449" s="2198" t="s">
        <v>3303</v>
      </c>
      <c r="AU449" s="2198" t="s">
        <v>134</v>
      </c>
      <c r="AV449" s="2195" t="s">
        <v>133</v>
      </c>
      <c r="AW449" s="2195" t="s">
        <v>3171</v>
      </c>
      <c r="AX449" s="2195" t="s">
        <v>3213</v>
      </c>
      <c r="AY449" s="2198" t="s">
        <v>3285</v>
      </c>
    </row>
    <row r="450" spans="2:65" s="2209" customFormat="1">
      <c r="B450" s="2210"/>
      <c r="D450" s="2197" t="s">
        <v>3303</v>
      </c>
      <c r="E450" s="2211" t="s">
        <v>3146</v>
      </c>
      <c r="F450" s="2212" t="s">
        <v>4804</v>
      </c>
      <c r="H450" s="2213">
        <v>2</v>
      </c>
      <c r="L450" s="2210"/>
      <c r="M450" s="2214"/>
      <c r="T450" s="2215"/>
      <c r="AT450" s="2211" t="s">
        <v>3303</v>
      </c>
      <c r="AU450" s="2211" t="s">
        <v>134</v>
      </c>
      <c r="AV450" s="2209" t="s">
        <v>134</v>
      </c>
      <c r="AW450" s="2209" t="s">
        <v>3171</v>
      </c>
      <c r="AX450" s="2209" t="s">
        <v>133</v>
      </c>
      <c r="AY450" s="2211" t="s">
        <v>3285</v>
      </c>
    </row>
    <row r="451" spans="2:65" s="2070" customFormat="1" ht="16.5" customHeight="1">
      <c r="B451" s="2164"/>
      <c r="C451" s="4608">
        <v>103</v>
      </c>
      <c r="D451" s="4608" t="s">
        <v>3286</v>
      </c>
      <c r="E451" s="4609" t="s">
        <v>4931</v>
      </c>
      <c r="F451" s="4610" t="s">
        <v>4932</v>
      </c>
      <c r="G451" s="4611" t="s">
        <v>155</v>
      </c>
      <c r="H451" s="4612">
        <v>2</v>
      </c>
      <c r="I451" s="4613"/>
      <c r="J451" s="4613">
        <f>ROUND(I451*H451,2)</f>
        <v>0</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f>IF(N451="snížená",J451,0)</f>
        <v>0</v>
      </c>
      <c r="BG451" s="2194">
        <f>IF(N451="zákl. přenesená",J451,0)</f>
        <v>0</v>
      </c>
      <c r="BH451" s="2194">
        <f>IF(N451="sníž. přenesená",J451,0)</f>
        <v>0</v>
      </c>
      <c r="BI451" s="2194">
        <f>IF(N451="nulová",J451,0)</f>
        <v>0</v>
      </c>
      <c r="BJ451" s="2056" t="s">
        <v>134</v>
      </c>
      <c r="BK451" s="2194">
        <f>ROUND(I451*H451,2)</f>
        <v>0</v>
      </c>
      <c r="BL451" s="2056" t="s">
        <v>2894</v>
      </c>
      <c r="BM451" s="2193" t="s">
        <v>4933</v>
      </c>
    </row>
    <row r="452" spans="2:65" s="2195" customFormat="1">
      <c r="B452" s="2196"/>
      <c r="D452" s="2197" t="s">
        <v>3303</v>
      </c>
      <c r="E452" s="2198" t="s">
        <v>3146</v>
      </c>
      <c r="F452" s="2199" t="s">
        <v>4934</v>
      </c>
      <c r="H452" s="2198" t="s">
        <v>3146</v>
      </c>
      <c r="L452" s="2196"/>
      <c r="M452" s="2200"/>
      <c r="T452" s="2201"/>
      <c r="AT452" s="2198" t="s">
        <v>3303</v>
      </c>
      <c r="AU452" s="2198" t="s">
        <v>134</v>
      </c>
      <c r="AV452" s="2195" t="s">
        <v>133</v>
      </c>
      <c r="AW452" s="2195" t="s">
        <v>3171</v>
      </c>
      <c r="AX452" s="2195" t="s">
        <v>3213</v>
      </c>
      <c r="AY452" s="2198" t="s">
        <v>3285</v>
      </c>
    </row>
    <row r="453" spans="2:65" s="2209" customFormat="1">
      <c r="B453" s="2210"/>
      <c r="D453" s="2197" t="s">
        <v>3303</v>
      </c>
      <c r="E453" s="2211" t="s">
        <v>3146</v>
      </c>
      <c r="F453" s="2212" t="s">
        <v>4804</v>
      </c>
      <c r="H453" s="2213">
        <v>2</v>
      </c>
      <c r="L453" s="2210"/>
      <c r="M453" s="2214"/>
      <c r="T453" s="2215"/>
      <c r="AT453" s="2211" t="s">
        <v>3303</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4935</v>
      </c>
      <c r="F454" s="4610" t="s">
        <v>4936</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4937</v>
      </c>
    </row>
    <row r="455" spans="2:65" s="2195" customFormat="1">
      <c r="B455" s="2196"/>
      <c r="D455" s="2197" t="s">
        <v>3303</v>
      </c>
      <c r="E455" s="2198" t="s">
        <v>3146</v>
      </c>
      <c r="F455" s="2199" t="s">
        <v>4938</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4804</v>
      </c>
      <c r="H456" s="2213">
        <v>2</v>
      </c>
      <c r="L456" s="2210"/>
      <c r="M456" s="2214"/>
      <c r="T456" s="2215"/>
      <c r="AT456" s="2211" t="s">
        <v>3303</v>
      </c>
      <c r="AU456" s="2211" t="s">
        <v>134</v>
      </c>
      <c r="AV456" s="2209" t="s">
        <v>134</v>
      </c>
      <c r="AW456" s="2209" t="s">
        <v>3171</v>
      </c>
      <c r="AX456" s="2209" t="s">
        <v>133</v>
      </c>
      <c r="AY456" s="2211" t="s">
        <v>3285</v>
      </c>
    </row>
    <row r="457" spans="2:65" s="2070" customFormat="1" ht="16.5" customHeight="1">
      <c r="B457" s="2164"/>
      <c r="C457" s="4608">
        <v>105</v>
      </c>
      <c r="D457" s="4608" t="s">
        <v>3286</v>
      </c>
      <c r="E457" s="4609" t="s">
        <v>4939</v>
      </c>
      <c r="F457" s="4610" t="s">
        <v>4932</v>
      </c>
      <c r="G457" s="4611" t="s">
        <v>155</v>
      </c>
      <c r="H457" s="4612">
        <v>2</v>
      </c>
      <c r="I457" s="4613"/>
      <c r="J457" s="4613">
        <f>ROUND(I457*H457,2)</f>
        <v>0</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f>IF(N457="snížená",J457,0)</f>
        <v>0</v>
      </c>
      <c r="BG457" s="2194">
        <f>IF(N457="zákl. přenesená",J457,0)</f>
        <v>0</v>
      </c>
      <c r="BH457" s="2194">
        <f>IF(N457="sníž. přenesená",J457,0)</f>
        <v>0</v>
      </c>
      <c r="BI457" s="2194">
        <f>IF(N457="nulová",J457,0)</f>
        <v>0</v>
      </c>
      <c r="BJ457" s="2056" t="s">
        <v>134</v>
      </c>
      <c r="BK457" s="2194">
        <f>ROUND(I457*H457,2)</f>
        <v>0</v>
      </c>
      <c r="BL457" s="2056" t="s">
        <v>2894</v>
      </c>
      <c r="BM457" s="2193" t="s">
        <v>4940</v>
      </c>
    </row>
    <row r="458" spans="2:65" s="2195" customFormat="1">
      <c r="B458" s="2196"/>
      <c r="D458" s="2197" t="s">
        <v>3303</v>
      </c>
      <c r="E458" s="2198" t="s">
        <v>3146</v>
      </c>
      <c r="F458" s="2199" t="s">
        <v>4941</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D459" s="2197" t="s">
        <v>3303</v>
      </c>
      <c r="E459" s="2211" t="s">
        <v>3146</v>
      </c>
      <c r="F459" s="2212" t="s">
        <v>4804</v>
      </c>
      <c r="H459" s="2213">
        <v>2</v>
      </c>
      <c r="L459" s="2210"/>
      <c r="M459" s="2214"/>
      <c r="T459" s="2215"/>
      <c r="AT459" s="2211" t="s">
        <v>3303</v>
      </c>
      <c r="AU459" s="2211" t="s">
        <v>134</v>
      </c>
      <c r="AV459" s="2209" t="s">
        <v>134</v>
      </c>
      <c r="AW459" s="2209" t="s">
        <v>3171</v>
      </c>
      <c r="AX459" s="2209" t="s">
        <v>133</v>
      </c>
      <c r="AY459" s="2211" t="s">
        <v>3285</v>
      </c>
    </row>
    <row r="460" spans="2:65" s="2070" customFormat="1" ht="16.5" customHeight="1">
      <c r="B460" s="2164"/>
      <c r="C460" s="4608">
        <v>106</v>
      </c>
      <c r="D460" s="4608" t="s">
        <v>3286</v>
      </c>
      <c r="E460" s="4609" t="s">
        <v>4942</v>
      </c>
      <c r="F460" s="4610" t="s">
        <v>4943</v>
      </c>
      <c r="G460" s="4611" t="s">
        <v>155</v>
      </c>
      <c r="H460" s="4612">
        <v>2</v>
      </c>
      <c r="I460" s="4613"/>
      <c r="J460" s="4613">
        <f>ROUND(I460*H460,2)</f>
        <v>0</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f>IF(N460="snížená",J460,0)</f>
        <v>0</v>
      </c>
      <c r="BG460" s="2194">
        <f>IF(N460="zákl. přenesená",J460,0)</f>
        <v>0</v>
      </c>
      <c r="BH460" s="2194">
        <f>IF(N460="sníž. přenesená",J460,0)</f>
        <v>0</v>
      </c>
      <c r="BI460" s="2194">
        <f>IF(N460="nulová",J460,0)</f>
        <v>0</v>
      </c>
      <c r="BJ460" s="2056" t="s">
        <v>134</v>
      </c>
      <c r="BK460" s="2194">
        <f>ROUND(I460*H460,2)</f>
        <v>0</v>
      </c>
      <c r="BL460" s="2056" t="s">
        <v>2894</v>
      </c>
      <c r="BM460" s="2193" t="s">
        <v>4944</v>
      </c>
    </row>
    <row r="461" spans="2:65" s="2195" customFormat="1">
      <c r="B461" s="2196"/>
      <c r="D461" s="2197" t="s">
        <v>3303</v>
      </c>
      <c r="E461" s="2198" t="s">
        <v>3146</v>
      </c>
      <c r="F461" s="2199" t="s">
        <v>4945</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D462" s="2197" t="s">
        <v>3303</v>
      </c>
      <c r="E462" s="2211" t="s">
        <v>3146</v>
      </c>
      <c r="F462" s="2212" t="s">
        <v>4804</v>
      </c>
      <c r="H462" s="2213">
        <v>2</v>
      </c>
      <c r="L462" s="2210"/>
      <c r="M462" s="2214"/>
      <c r="T462" s="2215"/>
      <c r="AT462" s="2211" t="s">
        <v>3303</v>
      </c>
      <c r="AU462" s="2211" t="s">
        <v>134</v>
      </c>
      <c r="AV462" s="2209" t="s">
        <v>134</v>
      </c>
      <c r="AW462" s="2209" t="s">
        <v>3171</v>
      </c>
      <c r="AX462" s="2209" t="s">
        <v>133</v>
      </c>
      <c r="AY462" s="2211" t="s">
        <v>3285</v>
      </c>
    </row>
    <row r="463" spans="2:65" s="2070" customFormat="1" ht="16.5" customHeight="1">
      <c r="B463" s="2164"/>
      <c r="C463" s="4608">
        <v>107</v>
      </c>
      <c r="D463" s="4608" t="s">
        <v>3286</v>
      </c>
      <c r="E463" s="4609" t="s">
        <v>4946</v>
      </c>
      <c r="F463" s="4610" t="s">
        <v>4947</v>
      </c>
      <c r="G463" s="4611" t="s">
        <v>155</v>
      </c>
      <c r="H463" s="4612">
        <v>2</v>
      </c>
      <c r="I463" s="4613"/>
      <c r="J463" s="4613">
        <f>ROUND(I463*H463,2)</f>
        <v>0</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f>IF(N463="snížená",J463,0)</f>
        <v>0</v>
      </c>
      <c r="BG463" s="2194">
        <f>IF(N463="zákl. přenesená",J463,0)</f>
        <v>0</v>
      </c>
      <c r="BH463" s="2194">
        <f>IF(N463="sníž. přenesená",J463,0)</f>
        <v>0</v>
      </c>
      <c r="BI463" s="2194">
        <f>IF(N463="nulová",J463,0)</f>
        <v>0</v>
      </c>
      <c r="BJ463" s="2056" t="s">
        <v>134</v>
      </c>
      <c r="BK463" s="2194">
        <f>ROUND(I463*H463,2)</f>
        <v>0</v>
      </c>
      <c r="BL463" s="2056" t="s">
        <v>2894</v>
      </c>
      <c r="BM463" s="2193" t="s">
        <v>4948</v>
      </c>
    </row>
    <row r="464" spans="2:65" s="2195" customFormat="1">
      <c r="B464" s="2196"/>
      <c r="D464" s="2197" t="s">
        <v>3303</v>
      </c>
      <c r="E464" s="2198" t="s">
        <v>3146</v>
      </c>
      <c r="F464" s="2199" t="s">
        <v>4949</v>
      </c>
      <c r="H464" s="2198" t="s">
        <v>3146</v>
      </c>
      <c r="L464" s="2196"/>
      <c r="M464" s="2200"/>
      <c r="T464" s="2201"/>
      <c r="AT464" s="2198" t="s">
        <v>3303</v>
      </c>
      <c r="AU464" s="2198" t="s">
        <v>134</v>
      </c>
      <c r="AV464" s="2195" t="s">
        <v>133</v>
      </c>
      <c r="AW464" s="2195" t="s">
        <v>3171</v>
      </c>
      <c r="AX464" s="2195" t="s">
        <v>3213</v>
      </c>
      <c r="AY464" s="2198" t="s">
        <v>3285</v>
      </c>
    </row>
    <row r="465" spans="2:65" s="2209" customFormat="1">
      <c r="B465" s="2210"/>
      <c r="D465" s="2197" t="s">
        <v>3303</v>
      </c>
      <c r="E465" s="2211" t="s">
        <v>3146</v>
      </c>
      <c r="F465" s="2212" t="s">
        <v>4804</v>
      </c>
      <c r="H465" s="2213">
        <v>2</v>
      </c>
      <c r="L465" s="2210"/>
      <c r="M465" s="2214"/>
      <c r="T465" s="2215"/>
      <c r="AT465" s="2211" t="s">
        <v>3303</v>
      </c>
      <c r="AU465" s="2211" t="s">
        <v>134</v>
      </c>
      <c r="AV465" s="2209" t="s">
        <v>134</v>
      </c>
      <c r="AW465" s="2209" t="s">
        <v>3171</v>
      </c>
      <c r="AX465" s="2209" t="s">
        <v>133</v>
      </c>
      <c r="AY465" s="2211" t="s">
        <v>3285</v>
      </c>
    </row>
    <row r="466" spans="2:65" s="2070" customFormat="1" ht="16.5" customHeight="1">
      <c r="B466" s="2164"/>
      <c r="C466" s="4608">
        <v>108</v>
      </c>
      <c r="D466" s="4608" t="s">
        <v>3286</v>
      </c>
      <c r="E466" s="4609" t="s">
        <v>4950</v>
      </c>
      <c r="F466" s="4610" t="s">
        <v>4952</v>
      </c>
      <c r="G466" s="4611" t="s">
        <v>155</v>
      </c>
      <c r="H466" s="4612">
        <v>2</v>
      </c>
      <c r="I466" s="4613"/>
      <c r="J466" s="4613">
        <f>ROUND(I466*H466,2)</f>
        <v>0</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2894</v>
      </c>
      <c r="BM466" s="2193" t="s">
        <v>4953</v>
      </c>
    </row>
    <row r="467" spans="2:65" s="2195" customFormat="1">
      <c r="B467" s="2196"/>
      <c r="D467" s="2197" t="s">
        <v>3303</v>
      </c>
      <c r="E467" s="2198" t="s">
        <v>3146</v>
      </c>
      <c r="F467" s="2199" t="s">
        <v>4954</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D468" s="2197" t="s">
        <v>3303</v>
      </c>
      <c r="E468" s="2211" t="s">
        <v>3146</v>
      </c>
      <c r="F468" s="2212" t="s">
        <v>4804</v>
      </c>
      <c r="H468" s="2213">
        <v>2</v>
      </c>
      <c r="L468" s="2210"/>
      <c r="M468" s="2214"/>
      <c r="T468" s="2215"/>
      <c r="AT468" s="2211" t="s">
        <v>3303</v>
      </c>
      <c r="AU468" s="2211" t="s">
        <v>134</v>
      </c>
      <c r="AV468" s="2209" t="s">
        <v>134</v>
      </c>
      <c r="AW468" s="2209" t="s">
        <v>3171</v>
      </c>
      <c r="AX468" s="2209" t="s">
        <v>133</v>
      </c>
      <c r="AY468" s="2211" t="s">
        <v>3285</v>
      </c>
    </row>
    <row r="469" spans="2:65" s="2070" customFormat="1" ht="16.5" customHeight="1">
      <c r="B469" s="2164"/>
      <c r="C469" s="4608" t="s">
        <v>3706</v>
      </c>
      <c r="D469" s="4608" t="s">
        <v>3286</v>
      </c>
      <c r="E469" s="4609" t="s">
        <v>4951</v>
      </c>
      <c r="F469" s="4610" t="s">
        <v>4956</v>
      </c>
      <c r="G469" s="4611" t="s">
        <v>155</v>
      </c>
      <c r="H469" s="4612">
        <v>2</v>
      </c>
      <c r="I469" s="4613"/>
      <c r="J469" s="4613">
        <f>ROUND(I469*H469,2)</f>
        <v>0</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f>IF(N469="snížená",J469,0)</f>
        <v>0</v>
      </c>
      <c r="BG469" s="2194">
        <f>IF(N469="zákl. přenesená",J469,0)</f>
        <v>0</v>
      </c>
      <c r="BH469" s="2194">
        <f>IF(N469="sníž. přenesená",J469,0)</f>
        <v>0</v>
      </c>
      <c r="BI469" s="2194">
        <f>IF(N469="nulová",J469,0)</f>
        <v>0</v>
      </c>
      <c r="BJ469" s="2056" t="s">
        <v>134</v>
      </c>
      <c r="BK469" s="2194">
        <f>ROUND(I469*H469,2)</f>
        <v>0</v>
      </c>
      <c r="BL469" s="2056" t="s">
        <v>2894</v>
      </c>
      <c r="BM469" s="2193" t="s">
        <v>4957</v>
      </c>
    </row>
    <row r="470" spans="2:65" s="2195" customFormat="1">
      <c r="B470" s="2196"/>
      <c r="D470" s="2197" t="s">
        <v>3303</v>
      </c>
      <c r="E470" s="2198" t="s">
        <v>3146</v>
      </c>
      <c r="F470" s="2199" t="s">
        <v>4958</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D471" s="2197" t="s">
        <v>3303</v>
      </c>
      <c r="E471" s="2211" t="s">
        <v>3146</v>
      </c>
      <c r="F471" s="2212" t="s">
        <v>4804</v>
      </c>
      <c r="H471" s="2213">
        <v>2</v>
      </c>
      <c r="L471" s="2210"/>
      <c r="M471" s="2214"/>
      <c r="T471" s="2215"/>
      <c r="AT471" s="2211" t="s">
        <v>3303</v>
      </c>
      <c r="AU471" s="2211" t="s">
        <v>134</v>
      </c>
      <c r="AV471" s="2209" t="s">
        <v>134</v>
      </c>
      <c r="AW471" s="2209" t="s">
        <v>3171</v>
      </c>
      <c r="AX471" s="2209" t="s">
        <v>133</v>
      </c>
      <c r="AY471" s="2211" t="s">
        <v>3285</v>
      </c>
    </row>
    <row r="472" spans="2:65" s="2070" customFormat="1" ht="16.5" customHeight="1">
      <c r="B472" s="2164"/>
      <c r="C472" s="4608" t="s">
        <v>3713</v>
      </c>
      <c r="D472" s="4608" t="s">
        <v>3286</v>
      </c>
      <c r="E472" s="4609" t="s">
        <v>4955</v>
      </c>
      <c r="F472" s="4610" t="s">
        <v>4960</v>
      </c>
      <c r="G472" s="4611" t="s">
        <v>155</v>
      </c>
      <c r="H472" s="4612">
        <v>2</v>
      </c>
      <c r="I472" s="4613"/>
      <c r="J472" s="4613">
        <f>ROUND(I472*H472,2)</f>
        <v>0</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f>IF(N472="snížená",J472,0)</f>
        <v>0</v>
      </c>
      <c r="BG472" s="2194">
        <f>IF(N472="zákl. přenesená",J472,0)</f>
        <v>0</v>
      </c>
      <c r="BH472" s="2194">
        <f>IF(N472="sníž. přenesená",J472,0)</f>
        <v>0</v>
      </c>
      <c r="BI472" s="2194">
        <f>IF(N472="nulová",J472,0)</f>
        <v>0</v>
      </c>
      <c r="BJ472" s="2056" t="s">
        <v>134</v>
      </c>
      <c r="BK472" s="2194">
        <f>ROUND(I472*H472,2)</f>
        <v>0</v>
      </c>
      <c r="BL472" s="2056" t="s">
        <v>2894</v>
      </c>
      <c r="BM472" s="2193" t="s">
        <v>4961</v>
      </c>
    </row>
    <row r="473" spans="2:65" s="2195" customFormat="1">
      <c r="B473" s="2196"/>
      <c r="D473" s="2197" t="s">
        <v>3303</v>
      </c>
      <c r="E473" s="2198" t="s">
        <v>3146</v>
      </c>
      <c r="F473" s="2199" t="s">
        <v>4962</v>
      </c>
      <c r="H473" s="2198" t="s">
        <v>3146</v>
      </c>
      <c r="L473" s="2196"/>
      <c r="M473" s="2200"/>
      <c r="T473" s="2201"/>
      <c r="AT473" s="2198" t="s">
        <v>3303</v>
      </c>
      <c r="AU473" s="2198" t="s">
        <v>134</v>
      </c>
      <c r="AV473" s="2195" t="s">
        <v>133</v>
      </c>
      <c r="AW473" s="2195" t="s">
        <v>3171</v>
      </c>
      <c r="AX473" s="2195" t="s">
        <v>3213</v>
      </c>
      <c r="AY473" s="2198" t="s">
        <v>3285</v>
      </c>
    </row>
    <row r="474" spans="2:65" s="2209" customFormat="1">
      <c r="B474" s="2210"/>
      <c r="D474" s="2197" t="s">
        <v>3303</v>
      </c>
      <c r="E474" s="2211" t="s">
        <v>3146</v>
      </c>
      <c r="F474" s="2212" t="s">
        <v>4804</v>
      </c>
      <c r="H474" s="2213">
        <v>2</v>
      </c>
      <c r="L474" s="2210"/>
      <c r="M474" s="2214"/>
      <c r="T474" s="2215"/>
      <c r="AT474" s="2211" t="s">
        <v>3303</v>
      </c>
      <c r="AU474" s="2211" t="s">
        <v>134</v>
      </c>
      <c r="AV474" s="2209" t="s">
        <v>134</v>
      </c>
      <c r="AW474" s="2209" t="s">
        <v>3171</v>
      </c>
      <c r="AX474" s="2209" t="s">
        <v>133</v>
      </c>
      <c r="AY474" s="2211" t="s">
        <v>3285</v>
      </c>
    </row>
    <row r="475" spans="2:65" s="2070" customFormat="1" ht="16.5" customHeight="1">
      <c r="B475" s="2164"/>
      <c r="C475" s="4608" t="s">
        <v>3718</v>
      </c>
      <c r="D475" s="4608" t="s">
        <v>3286</v>
      </c>
      <c r="E475" s="4609" t="s">
        <v>4959</v>
      </c>
      <c r="F475" s="4610" t="s">
        <v>4963</v>
      </c>
      <c r="G475" s="4611" t="s">
        <v>155</v>
      </c>
      <c r="H475" s="4612">
        <v>2</v>
      </c>
      <c r="I475" s="4613"/>
      <c r="J475" s="4613">
        <f>ROUND(I475*H475,2)</f>
        <v>0</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f>IF(N475="snížená",J475,0)</f>
        <v>0</v>
      </c>
      <c r="BG475" s="2194">
        <f>IF(N475="zákl. přenesená",J475,0)</f>
        <v>0</v>
      </c>
      <c r="BH475" s="2194">
        <f>IF(N475="sníž. přenesená",J475,0)</f>
        <v>0</v>
      </c>
      <c r="BI475" s="2194">
        <f>IF(N475="nulová",J475,0)</f>
        <v>0</v>
      </c>
      <c r="BJ475" s="2056" t="s">
        <v>134</v>
      </c>
      <c r="BK475" s="2194">
        <f>ROUND(I475*H475,2)</f>
        <v>0</v>
      </c>
      <c r="BL475" s="2056" t="s">
        <v>2894</v>
      </c>
      <c r="BM475" s="2193" t="s">
        <v>4964</v>
      </c>
    </row>
    <row r="476" spans="2:65" s="2195" customFormat="1">
      <c r="B476" s="2196"/>
      <c r="D476" s="2197" t="s">
        <v>3303</v>
      </c>
      <c r="E476" s="2198" t="s">
        <v>3146</v>
      </c>
      <c r="F476" s="2199" t="s">
        <v>4965</v>
      </c>
      <c r="H476" s="2198" t="s">
        <v>3146</v>
      </c>
      <c r="L476" s="2196"/>
      <c r="M476" s="2200"/>
      <c r="T476" s="2201"/>
      <c r="AT476" s="2198" t="s">
        <v>3303</v>
      </c>
      <c r="AU476" s="2198" t="s">
        <v>134</v>
      </c>
      <c r="AV476" s="2195" t="s">
        <v>133</v>
      </c>
      <c r="AW476" s="2195" t="s">
        <v>3171</v>
      </c>
      <c r="AX476" s="2195" t="s">
        <v>3213</v>
      </c>
      <c r="AY476" s="2198" t="s">
        <v>3285</v>
      </c>
    </row>
    <row r="477" spans="2:65" s="2209" customFormat="1">
      <c r="B477" s="2210"/>
      <c r="D477" s="2197" t="s">
        <v>3303</v>
      </c>
      <c r="E477" s="2211" t="s">
        <v>3146</v>
      </c>
      <c r="F477" s="2212" t="s">
        <v>4804</v>
      </c>
      <c r="H477" s="2213">
        <v>2</v>
      </c>
      <c r="L477" s="2210"/>
      <c r="M477" s="2214"/>
      <c r="T477" s="2215"/>
      <c r="AT477" s="2211" t="s">
        <v>3303</v>
      </c>
      <c r="AU477" s="2211" t="s">
        <v>134</v>
      </c>
      <c r="AV477" s="2209" t="s">
        <v>134</v>
      </c>
      <c r="AW477" s="2209" t="s">
        <v>3171</v>
      </c>
      <c r="AX477" s="2209" t="s">
        <v>133</v>
      </c>
      <c r="AY477" s="2211" t="s">
        <v>3285</v>
      </c>
    </row>
    <row r="478" spans="2:65" s="2178" customFormat="1" ht="22.9" customHeight="1">
      <c r="B478" s="2179"/>
      <c r="D478" s="2180" t="s">
        <v>3212</v>
      </c>
      <c r="E478" s="2188" t="s">
        <v>4966</v>
      </c>
      <c r="F478" s="2188" t="s">
        <v>4967</v>
      </c>
      <c r="J478" s="2189">
        <f>BK478</f>
        <v>0</v>
      </c>
      <c r="L478" s="2179"/>
      <c r="M478" s="2183"/>
      <c r="P478" s="2184">
        <f>SUM(P479:P486)</f>
        <v>0</v>
      </c>
      <c r="R478" s="2184">
        <f>SUM(R479:R486)</f>
        <v>0</v>
      </c>
      <c r="T478" s="2185">
        <f>SUM(T479:T486)</f>
        <v>0</v>
      </c>
      <c r="AR478" s="2180" t="s">
        <v>856</v>
      </c>
      <c r="AT478" s="2186" t="s">
        <v>3212</v>
      </c>
      <c r="AU478" s="2186" t="s">
        <v>133</v>
      </c>
      <c r="AY478" s="2180" t="s">
        <v>3285</v>
      </c>
      <c r="BK478" s="2187">
        <f>SUM(BK479:BK486)</f>
        <v>0</v>
      </c>
    </row>
    <row r="479" spans="2:65" s="2070" customFormat="1" ht="33" customHeight="1">
      <c r="B479" s="2164"/>
      <c r="C479" s="4608" t="s">
        <v>3726</v>
      </c>
      <c r="D479" s="4608" t="s">
        <v>3286</v>
      </c>
      <c r="E479" s="4609" t="s">
        <v>4968</v>
      </c>
      <c r="F479" s="4610" t="s">
        <v>4969</v>
      </c>
      <c r="G479" s="4611" t="s">
        <v>155</v>
      </c>
      <c r="H479" s="4612">
        <v>2</v>
      </c>
      <c r="I479" s="4613"/>
      <c r="J479" s="4613">
        <f t="shared" ref="J479:J486" si="0">ROUND(I479*H479,2)</f>
        <v>0</v>
      </c>
      <c r="K479" s="4610" t="s">
        <v>3146</v>
      </c>
      <c r="L479" s="2071"/>
      <c r="M479" s="2190" t="s">
        <v>3146</v>
      </c>
      <c r="N479" s="2163" t="s">
        <v>3181</v>
      </c>
      <c r="O479" s="2191">
        <v>0</v>
      </c>
      <c r="P479" s="2191">
        <f t="shared" ref="P479:P486" si="1">O479*H479</f>
        <v>0</v>
      </c>
      <c r="Q479" s="2191">
        <v>0</v>
      </c>
      <c r="R479" s="2191">
        <f t="shared" ref="R479:R486" si="2">Q479*H479</f>
        <v>0</v>
      </c>
      <c r="S479" s="2191">
        <v>0</v>
      </c>
      <c r="T479" s="2192">
        <f t="shared" ref="T479:T486" si="3">S479*H479</f>
        <v>0</v>
      </c>
      <c r="AR479" s="2193" t="s">
        <v>4970</v>
      </c>
      <c r="AT479" s="2193" t="s">
        <v>3286</v>
      </c>
      <c r="AU479" s="2193" t="s">
        <v>134</v>
      </c>
      <c r="AY479" s="2056" t="s">
        <v>3285</v>
      </c>
      <c r="BE479" s="2194">
        <f t="shared" ref="BE479:BE486" si="4">IF(N479="základní",J479,0)</f>
        <v>0</v>
      </c>
      <c r="BF479" s="2194">
        <f t="shared" ref="BF479:BF486" si="5">IF(N479="snížená",J479,0)</f>
        <v>0</v>
      </c>
      <c r="BG479" s="2194">
        <f t="shared" ref="BG479:BG486" si="6">IF(N479="zákl. přenesená",J479,0)</f>
        <v>0</v>
      </c>
      <c r="BH479" s="2194">
        <f t="shared" ref="BH479:BH486" si="7">IF(N479="sníž. přenesená",J479,0)</f>
        <v>0</v>
      </c>
      <c r="BI479" s="2194">
        <f t="shared" ref="BI479:BI486" si="8">IF(N479="nulová",J479,0)</f>
        <v>0</v>
      </c>
      <c r="BJ479" s="2056" t="s">
        <v>134</v>
      </c>
      <c r="BK479" s="2194">
        <f t="shared" ref="BK479:BK486" si="9">ROUND(I479*H479,2)</f>
        <v>0</v>
      </c>
      <c r="BL479" s="2056" t="s">
        <v>4970</v>
      </c>
      <c r="BM479" s="2193" t="s">
        <v>4971</v>
      </c>
    </row>
    <row r="480" spans="2:65" s="2070" customFormat="1" ht="16.5" customHeight="1">
      <c r="B480" s="2164"/>
      <c r="C480" s="4608" t="s">
        <v>3731</v>
      </c>
      <c r="D480" s="4608" t="s">
        <v>3286</v>
      </c>
      <c r="E480" s="4609" t="s">
        <v>4972</v>
      </c>
      <c r="F480" s="4610" t="s">
        <v>4973</v>
      </c>
      <c r="G480" s="4611" t="s">
        <v>155</v>
      </c>
      <c r="H480" s="4612">
        <v>1</v>
      </c>
      <c r="I480" s="4613"/>
      <c r="J480" s="4613">
        <f t="shared" si="0"/>
        <v>0</v>
      </c>
      <c r="K480" s="4610" t="s">
        <v>3146</v>
      </c>
      <c r="L480" s="2071"/>
      <c r="M480" s="2190" t="s">
        <v>3146</v>
      </c>
      <c r="N480" s="2163" t="s">
        <v>3181</v>
      </c>
      <c r="O480" s="2191">
        <v>0</v>
      </c>
      <c r="P480" s="2191">
        <f t="shared" si="1"/>
        <v>0</v>
      </c>
      <c r="Q480" s="2191">
        <v>0</v>
      </c>
      <c r="R480" s="2191">
        <f t="shared" si="2"/>
        <v>0</v>
      </c>
      <c r="S480" s="2191">
        <v>0</v>
      </c>
      <c r="T480" s="2192">
        <f t="shared" si="3"/>
        <v>0</v>
      </c>
      <c r="AR480" s="2193" t="s">
        <v>4970</v>
      </c>
      <c r="AT480" s="2193" t="s">
        <v>3286</v>
      </c>
      <c r="AU480" s="2193" t="s">
        <v>134</v>
      </c>
      <c r="AY480" s="2056" t="s">
        <v>3285</v>
      </c>
      <c r="BE480" s="2194">
        <f t="shared" si="4"/>
        <v>0</v>
      </c>
      <c r="BF480" s="2194">
        <f t="shared" si="5"/>
        <v>0</v>
      </c>
      <c r="BG480" s="2194">
        <f t="shared" si="6"/>
        <v>0</v>
      </c>
      <c r="BH480" s="2194">
        <f t="shared" si="7"/>
        <v>0</v>
      </c>
      <c r="BI480" s="2194">
        <f t="shared" si="8"/>
        <v>0</v>
      </c>
      <c r="BJ480" s="2056" t="s">
        <v>134</v>
      </c>
      <c r="BK480" s="2194">
        <f t="shared" si="9"/>
        <v>0</v>
      </c>
      <c r="BL480" s="2056" t="s">
        <v>4970</v>
      </c>
      <c r="BM480" s="2193" t="s">
        <v>4974</v>
      </c>
    </row>
    <row r="481" spans="2:65" s="2070" customFormat="1" ht="16.5" customHeight="1">
      <c r="B481" s="2164"/>
      <c r="C481" s="4608" t="s">
        <v>3735</v>
      </c>
      <c r="D481" s="4608" t="s">
        <v>3286</v>
      </c>
      <c r="E481" s="4609" t="s">
        <v>4975</v>
      </c>
      <c r="F481" s="4610" t="s">
        <v>4976</v>
      </c>
      <c r="G481" s="4611" t="s">
        <v>155</v>
      </c>
      <c r="H481" s="4612">
        <v>1</v>
      </c>
      <c r="I481" s="4613"/>
      <c r="J481" s="4613">
        <f t="shared" si="0"/>
        <v>0</v>
      </c>
      <c r="K481" s="4610" t="s">
        <v>3146</v>
      </c>
      <c r="L481" s="2071"/>
      <c r="M481" s="2190" t="s">
        <v>3146</v>
      </c>
      <c r="N481" s="2163" t="s">
        <v>3181</v>
      </c>
      <c r="O481" s="2191">
        <v>0</v>
      </c>
      <c r="P481" s="2191">
        <f t="shared" si="1"/>
        <v>0</v>
      </c>
      <c r="Q481" s="2191">
        <v>0</v>
      </c>
      <c r="R481" s="2191">
        <f t="shared" si="2"/>
        <v>0</v>
      </c>
      <c r="S481" s="2191">
        <v>0</v>
      </c>
      <c r="T481" s="2192">
        <f t="shared" si="3"/>
        <v>0</v>
      </c>
      <c r="AR481" s="2193" t="s">
        <v>4970</v>
      </c>
      <c r="AT481" s="2193" t="s">
        <v>3286</v>
      </c>
      <c r="AU481" s="2193" t="s">
        <v>134</v>
      </c>
      <c r="AY481" s="2056" t="s">
        <v>3285</v>
      </c>
      <c r="BE481" s="2194">
        <f t="shared" si="4"/>
        <v>0</v>
      </c>
      <c r="BF481" s="2194">
        <f t="shared" si="5"/>
        <v>0</v>
      </c>
      <c r="BG481" s="2194">
        <f t="shared" si="6"/>
        <v>0</v>
      </c>
      <c r="BH481" s="2194">
        <f t="shared" si="7"/>
        <v>0</v>
      </c>
      <c r="BI481" s="2194">
        <f t="shared" si="8"/>
        <v>0</v>
      </c>
      <c r="BJ481" s="2056" t="s">
        <v>134</v>
      </c>
      <c r="BK481" s="2194">
        <f t="shared" si="9"/>
        <v>0</v>
      </c>
      <c r="BL481" s="2056" t="s">
        <v>4970</v>
      </c>
      <c r="BM481" s="2193" t="s">
        <v>4977</v>
      </c>
    </row>
    <row r="482" spans="2:65" s="2070" customFormat="1" ht="16.5" customHeight="1">
      <c r="B482" s="2164"/>
      <c r="C482" s="4608" t="s">
        <v>3740</v>
      </c>
      <c r="D482" s="4608" t="s">
        <v>3286</v>
      </c>
      <c r="E482" s="4609" t="s">
        <v>4978</v>
      </c>
      <c r="F482" s="4610" t="s">
        <v>4979</v>
      </c>
      <c r="G482" s="4611" t="s">
        <v>155</v>
      </c>
      <c r="H482" s="4612">
        <v>1</v>
      </c>
      <c r="I482" s="4613"/>
      <c r="J482" s="4613">
        <f t="shared" si="0"/>
        <v>0</v>
      </c>
      <c r="K482" s="4610" t="s">
        <v>3146</v>
      </c>
      <c r="L482" s="2071"/>
      <c r="M482" s="2190" t="s">
        <v>3146</v>
      </c>
      <c r="N482" s="2163" t="s">
        <v>3181</v>
      </c>
      <c r="O482" s="2191">
        <v>0</v>
      </c>
      <c r="P482" s="2191">
        <f t="shared" si="1"/>
        <v>0</v>
      </c>
      <c r="Q482" s="2191">
        <v>0</v>
      </c>
      <c r="R482" s="2191">
        <f t="shared" si="2"/>
        <v>0</v>
      </c>
      <c r="S482" s="2191">
        <v>0</v>
      </c>
      <c r="T482" s="2192">
        <f t="shared" si="3"/>
        <v>0</v>
      </c>
      <c r="AR482" s="2193" t="s">
        <v>4970</v>
      </c>
      <c r="AT482" s="2193" t="s">
        <v>3286</v>
      </c>
      <c r="AU482" s="2193" t="s">
        <v>134</v>
      </c>
      <c r="AY482" s="2056" t="s">
        <v>3285</v>
      </c>
      <c r="BE482" s="2194">
        <f t="shared" si="4"/>
        <v>0</v>
      </c>
      <c r="BF482" s="2194">
        <f t="shared" si="5"/>
        <v>0</v>
      </c>
      <c r="BG482" s="2194">
        <f t="shared" si="6"/>
        <v>0</v>
      </c>
      <c r="BH482" s="2194">
        <f t="shared" si="7"/>
        <v>0</v>
      </c>
      <c r="BI482" s="2194">
        <f t="shared" si="8"/>
        <v>0</v>
      </c>
      <c r="BJ482" s="2056" t="s">
        <v>134</v>
      </c>
      <c r="BK482" s="2194">
        <f t="shared" si="9"/>
        <v>0</v>
      </c>
      <c r="BL482" s="2056" t="s">
        <v>4970</v>
      </c>
      <c r="BM482" s="2193" t="s">
        <v>4980</v>
      </c>
    </row>
    <row r="483" spans="2:65" s="2070" customFormat="1" ht="21.75" customHeight="1">
      <c r="B483" s="2164"/>
      <c r="C483" s="4608" t="s">
        <v>3743</v>
      </c>
      <c r="D483" s="4608" t="s">
        <v>3286</v>
      </c>
      <c r="E483" s="4609" t="s">
        <v>4981</v>
      </c>
      <c r="F483" s="4610" t="s">
        <v>4982</v>
      </c>
      <c r="G483" s="4611" t="s">
        <v>155</v>
      </c>
      <c r="H483" s="4612">
        <v>3</v>
      </c>
      <c r="I483" s="4613"/>
      <c r="J483" s="4613">
        <f t="shared" si="0"/>
        <v>0</v>
      </c>
      <c r="K483" s="4610" t="s">
        <v>3146</v>
      </c>
      <c r="L483" s="2071"/>
      <c r="M483" s="2190" t="s">
        <v>3146</v>
      </c>
      <c r="N483" s="2163" t="s">
        <v>3181</v>
      </c>
      <c r="O483" s="2191">
        <v>0</v>
      </c>
      <c r="P483" s="2191">
        <f t="shared" si="1"/>
        <v>0</v>
      </c>
      <c r="Q483" s="2191">
        <v>0</v>
      </c>
      <c r="R483" s="2191">
        <f t="shared" si="2"/>
        <v>0</v>
      </c>
      <c r="S483" s="2191">
        <v>0</v>
      </c>
      <c r="T483" s="2192">
        <f t="shared" si="3"/>
        <v>0</v>
      </c>
      <c r="AR483" s="2193" t="s">
        <v>4970</v>
      </c>
      <c r="AT483" s="2193" t="s">
        <v>3286</v>
      </c>
      <c r="AU483" s="2193" t="s">
        <v>134</v>
      </c>
      <c r="AY483" s="2056" t="s">
        <v>3285</v>
      </c>
      <c r="BE483" s="2194">
        <f t="shared" si="4"/>
        <v>0</v>
      </c>
      <c r="BF483" s="2194">
        <f t="shared" si="5"/>
        <v>0</v>
      </c>
      <c r="BG483" s="2194">
        <f t="shared" si="6"/>
        <v>0</v>
      </c>
      <c r="BH483" s="2194">
        <f t="shared" si="7"/>
        <v>0</v>
      </c>
      <c r="BI483" s="2194">
        <f t="shared" si="8"/>
        <v>0</v>
      </c>
      <c r="BJ483" s="2056" t="s">
        <v>134</v>
      </c>
      <c r="BK483" s="2194">
        <f t="shared" si="9"/>
        <v>0</v>
      </c>
      <c r="BL483" s="2056" t="s">
        <v>4970</v>
      </c>
      <c r="BM483" s="2193" t="s">
        <v>4983</v>
      </c>
    </row>
    <row r="484" spans="2:65" s="2070" customFormat="1" ht="16.5" customHeight="1">
      <c r="B484" s="2164"/>
      <c r="C484" s="4608" t="s">
        <v>3749</v>
      </c>
      <c r="D484" s="4608" t="s">
        <v>3286</v>
      </c>
      <c r="E484" s="4609" t="s">
        <v>4984</v>
      </c>
      <c r="F484" s="4610" t="s">
        <v>4985</v>
      </c>
      <c r="G484" s="4611" t="s">
        <v>155</v>
      </c>
      <c r="H484" s="4612">
        <v>1</v>
      </c>
      <c r="I484" s="4613"/>
      <c r="J484" s="4613">
        <f t="shared" si="0"/>
        <v>0</v>
      </c>
      <c r="K484" s="4610" t="s">
        <v>3146</v>
      </c>
      <c r="L484" s="2071"/>
      <c r="M484" s="2190" t="s">
        <v>3146</v>
      </c>
      <c r="N484" s="2163" t="s">
        <v>3181</v>
      </c>
      <c r="O484" s="2191">
        <v>0</v>
      </c>
      <c r="P484" s="2191">
        <f t="shared" si="1"/>
        <v>0</v>
      </c>
      <c r="Q484" s="2191">
        <v>0</v>
      </c>
      <c r="R484" s="2191">
        <f t="shared" si="2"/>
        <v>0</v>
      </c>
      <c r="S484" s="2191">
        <v>0</v>
      </c>
      <c r="T484" s="2192">
        <f t="shared" si="3"/>
        <v>0</v>
      </c>
      <c r="AR484" s="2193" t="s">
        <v>4970</v>
      </c>
      <c r="AT484" s="2193" t="s">
        <v>3286</v>
      </c>
      <c r="AU484" s="2193" t="s">
        <v>134</v>
      </c>
      <c r="AY484" s="2056" t="s">
        <v>3285</v>
      </c>
      <c r="BE484" s="2194">
        <f t="shared" si="4"/>
        <v>0</v>
      </c>
      <c r="BF484" s="2194">
        <f t="shared" si="5"/>
        <v>0</v>
      </c>
      <c r="BG484" s="2194">
        <f t="shared" si="6"/>
        <v>0</v>
      </c>
      <c r="BH484" s="2194">
        <f t="shared" si="7"/>
        <v>0</v>
      </c>
      <c r="BI484" s="2194">
        <f t="shared" si="8"/>
        <v>0</v>
      </c>
      <c r="BJ484" s="2056" t="s">
        <v>134</v>
      </c>
      <c r="BK484" s="2194">
        <f t="shared" si="9"/>
        <v>0</v>
      </c>
      <c r="BL484" s="2056" t="s">
        <v>4970</v>
      </c>
      <c r="BM484" s="2193" t="s">
        <v>4986</v>
      </c>
    </row>
    <row r="485" spans="2:65" s="2070" customFormat="1" ht="16.5" customHeight="1">
      <c r="B485" s="2164"/>
      <c r="C485" s="4608" t="s">
        <v>3754</v>
      </c>
      <c r="D485" s="4608" t="s">
        <v>3286</v>
      </c>
      <c r="E485" s="4609" t="s">
        <v>4987</v>
      </c>
      <c r="F485" s="4610" t="s">
        <v>4988</v>
      </c>
      <c r="G485" s="4611" t="s">
        <v>155</v>
      </c>
      <c r="H485" s="4612">
        <v>20</v>
      </c>
      <c r="I485" s="4613"/>
      <c r="J485" s="4613">
        <f t="shared" si="0"/>
        <v>0</v>
      </c>
      <c r="K485" s="4610" t="s">
        <v>3146</v>
      </c>
      <c r="L485" s="2071"/>
      <c r="M485" s="2190" t="s">
        <v>3146</v>
      </c>
      <c r="N485" s="2163" t="s">
        <v>3181</v>
      </c>
      <c r="O485" s="2191">
        <v>0</v>
      </c>
      <c r="P485" s="2191">
        <f t="shared" si="1"/>
        <v>0</v>
      </c>
      <c r="Q485" s="2191">
        <v>0</v>
      </c>
      <c r="R485" s="2191">
        <f t="shared" si="2"/>
        <v>0</v>
      </c>
      <c r="S485" s="2191">
        <v>0</v>
      </c>
      <c r="T485" s="2192">
        <f t="shared" si="3"/>
        <v>0</v>
      </c>
      <c r="AR485" s="2193" t="s">
        <v>4970</v>
      </c>
      <c r="AT485" s="2193" t="s">
        <v>3286</v>
      </c>
      <c r="AU485" s="2193" t="s">
        <v>134</v>
      </c>
      <c r="AY485" s="2056" t="s">
        <v>3285</v>
      </c>
      <c r="BE485" s="2194">
        <f t="shared" si="4"/>
        <v>0</v>
      </c>
      <c r="BF485" s="2194">
        <f t="shared" si="5"/>
        <v>0</v>
      </c>
      <c r="BG485" s="2194">
        <f t="shared" si="6"/>
        <v>0</v>
      </c>
      <c r="BH485" s="2194">
        <f t="shared" si="7"/>
        <v>0</v>
      </c>
      <c r="BI485" s="2194">
        <f t="shared" si="8"/>
        <v>0</v>
      </c>
      <c r="BJ485" s="2056" t="s">
        <v>134</v>
      </c>
      <c r="BK485" s="2194">
        <f t="shared" si="9"/>
        <v>0</v>
      </c>
      <c r="BL485" s="2056" t="s">
        <v>4970</v>
      </c>
      <c r="BM485" s="2193" t="s">
        <v>4989</v>
      </c>
    </row>
    <row r="486" spans="2:65" s="2070" customFormat="1" ht="33" customHeight="1">
      <c r="B486" s="2164"/>
      <c r="C486" s="4608" t="s">
        <v>3759</v>
      </c>
      <c r="D486" s="4608" t="s">
        <v>3286</v>
      </c>
      <c r="E486" s="4609" t="s">
        <v>4990</v>
      </c>
      <c r="F486" s="4610" t="s">
        <v>4991</v>
      </c>
      <c r="G486" s="4611" t="s">
        <v>3795</v>
      </c>
      <c r="H486" s="4612">
        <v>2</v>
      </c>
      <c r="I486" s="4613"/>
      <c r="J486" s="4613">
        <f t="shared" si="0"/>
        <v>0</v>
      </c>
      <c r="K486" s="4610" t="s">
        <v>3146</v>
      </c>
      <c r="L486" s="2071"/>
      <c r="M486" s="2190" t="s">
        <v>3146</v>
      </c>
      <c r="N486" s="2163" t="s">
        <v>3181</v>
      </c>
      <c r="O486" s="2191">
        <v>0</v>
      </c>
      <c r="P486" s="2191">
        <f t="shared" si="1"/>
        <v>0</v>
      </c>
      <c r="Q486" s="2191">
        <v>0</v>
      </c>
      <c r="R486" s="2191">
        <f t="shared" si="2"/>
        <v>0</v>
      </c>
      <c r="S486" s="2191">
        <v>0</v>
      </c>
      <c r="T486" s="2192">
        <f t="shared" si="3"/>
        <v>0</v>
      </c>
      <c r="AR486" s="2193" t="s">
        <v>4970</v>
      </c>
      <c r="AT486" s="2193" t="s">
        <v>3286</v>
      </c>
      <c r="AU486" s="2193" t="s">
        <v>134</v>
      </c>
      <c r="AY486" s="2056" t="s">
        <v>3285</v>
      </c>
      <c r="BE486" s="2194">
        <f t="shared" si="4"/>
        <v>0</v>
      </c>
      <c r="BF486" s="2194">
        <f t="shared" si="5"/>
        <v>0</v>
      </c>
      <c r="BG486" s="2194">
        <f t="shared" si="6"/>
        <v>0</v>
      </c>
      <c r="BH486" s="2194">
        <f t="shared" si="7"/>
        <v>0</v>
      </c>
      <c r="BI486" s="2194">
        <f t="shared" si="8"/>
        <v>0</v>
      </c>
      <c r="BJ486" s="2056" t="s">
        <v>134</v>
      </c>
      <c r="BK486" s="2194">
        <f t="shared" si="9"/>
        <v>0</v>
      </c>
      <c r="BL486" s="2056" t="s">
        <v>4970</v>
      </c>
      <c r="BM486" s="2193" t="s">
        <v>4992</v>
      </c>
    </row>
    <row r="487" spans="2:65" s="2178" customFormat="1" ht="22.9" customHeight="1">
      <c r="B487" s="2179"/>
      <c r="D487" s="2180" t="s">
        <v>3212</v>
      </c>
      <c r="E487" s="2188" t="s">
        <v>4993</v>
      </c>
      <c r="F487" s="2188" t="s">
        <v>4994</v>
      </c>
      <c r="J487" s="2189">
        <f>BK487</f>
        <v>0</v>
      </c>
      <c r="L487" s="2179"/>
      <c r="M487" s="2183"/>
      <c r="P487" s="2184">
        <f>SUM(P488:P498)</f>
        <v>44.199999999999996</v>
      </c>
      <c r="R487" s="2184">
        <f>SUM(R488:R498)</f>
        <v>1.1999999999999999E-3</v>
      </c>
      <c r="T487" s="2185">
        <f>SUM(T488:T498)</f>
        <v>0</v>
      </c>
      <c r="AR487" s="2180" t="s">
        <v>134</v>
      </c>
      <c r="AT487" s="2186" t="s">
        <v>3212</v>
      </c>
      <c r="AU487" s="2186" t="s">
        <v>133</v>
      </c>
      <c r="AY487" s="2180" t="s">
        <v>3285</v>
      </c>
      <c r="BK487" s="2187">
        <f>SUM(BK488:BK498)</f>
        <v>0</v>
      </c>
    </row>
    <row r="488" spans="2:65" s="2070" customFormat="1" ht="24.2" customHeight="1">
      <c r="B488" s="2164"/>
      <c r="C488" s="4608" t="s">
        <v>3763</v>
      </c>
      <c r="D488" s="4608" t="s">
        <v>3286</v>
      </c>
      <c r="E488" s="4609" t="s">
        <v>4995</v>
      </c>
      <c r="F488" s="4610" t="s">
        <v>4996</v>
      </c>
      <c r="G488" s="4611" t="s">
        <v>155</v>
      </c>
      <c r="H488" s="4612">
        <v>13</v>
      </c>
      <c r="I488" s="4613"/>
      <c r="J488" s="4613">
        <f>ROUND(I488*H488,2)</f>
        <v>0</v>
      </c>
      <c r="K488" s="4610" t="s">
        <v>142</v>
      </c>
      <c r="L488" s="2071"/>
      <c r="M488" s="2190" t="s">
        <v>3146</v>
      </c>
      <c r="N488" s="2163" t="s">
        <v>3181</v>
      </c>
      <c r="O488" s="2191">
        <v>3.4</v>
      </c>
      <c r="P488" s="2191">
        <f>O488*H488</f>
        <v>44.199999999999996</v>
      </c>
      <c r="Q488" s="2191">
        <v>0</v>
      </c>
      <c r="R488" s="2191">
        <f>Q488*H488</f>
        <v>0</v>
      </c>
      <c r="S488" s="2191">
        <v>0</v>
      </c>
      <c r="T488" s="2192">
        <f>S488*H488</f>
        <v>0</v>
      </c>
      <c r="AR488" s="2193" t="s">
        <v>2894</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2894</v>
      </c>
      <c r="BM488" s="2193" t="s">
        <v>4997</v>
      </c>
    </row>
    <row r="489" spans="2:65" s="2209" customFormat="1">
      <c r="B489" s="2210"/>
      <c r="D489" s="2197" t="s">
        <v>3303</v>
      </c>
      <c r="E489" s="2211" t="s">
        <v>3146</v>
      </c>
      <c r="F489" s="2212" t="s">
        <v>4998</v>
      </c>
      <c r="H489" s="2213">
        <v>6</v>
      </c>
      <c r="L489" s="2210"/>
      <c r="M489" s="2214"/>
      <c r="T489" s="2215"/>
      <c r="AT489" s="2211" t="s">
        <v>3303</v>
      </c>
      <c r="AU489" s="2211" t="s">
        <v>134</v>
      </c>
      <c r="AV489" s="2209" t="s">
        <v>134</v>
      </c>
      <c r="AW489" s="2209" t="s">
        <v>3171</v>
      </c>
      <c r="AX489" s="2209" t="s">
        <v>3213</v>
      </c>
      <c r="AY489" s="2211" t="s">
        <v>3285</v>
      </c>
    </row>
    <row r="490" spans="2:65" s="2209" customFormat="1">
      <c r="B490" s="2210"/>
      <c r="D490" s="2197" t="s">
        <v>3303</v>
      </c>
      <c r="E490" s="2211" t="s">
        <v>3146</v>
      </c>
      <c r="F490" s="2212" t="s">
        <v>4804</v>
      </c>
      <c r="H490" s="2213">
        <v>2</v>
      </c>
      <c r="L490" s="2210"/>
      <c r="M490" s="2214"/>
      <c r="T490" s="2215"/>
      <c r="AT490" s="2211" t="s">
        <v>3303</v>
      </c>
      <c r="AU490" s="2211" t="s">
        <v>134</v>
      </c>
      <c r="AV490" s="2209" t="s">
        <v>134</v>
      </c>
      <c r="AW490" s="2209" t="s">
        <v>3171</v>
      </c>
      <c r="AX490" s="2209" t="s">
        <v>3213</v>
      </c>
      <c r="AY490" s="2211" t="s">
        <v>3285</v>
      </c>
    </row>
    <row r="491" spans="2:65" s="2209" customFormat="1">
      <c r="B491" s="2210"/>
      <c r="D491" s="2197" t="s">
        <v>3303</v>
      </c>
      <c r="E491" s="2211" t="s">
        <v>3146</v>
      </c>
      <c r="F491" s="2212" t="s">
        <v>4999</v>
      </c>
      <c r="H491" s="2213">
        <v>5</v>
      </c>
      <c r="L491" s="2210"/>
      <c r="M491" s="2214"/>
      <c r="T491" s="2215"/>
      <c r="AT491" s="2211" t="s">
        <v>3303</v>
      </c>
      <c r="AU491" s="2211" t="s">
        <v>134</v>
      </c>
      <c r="AV491" s="2209" t="s">
        <v>134</v>
      </c>
      <c r="AW491" s="2209" t="s">
        <v>3171</v>
      </c>
      <c r="AX491" s="2209" t="s">
        <v>3213</v>
      </c>
      <c r="AY491" s="2211" t="s">
        <v>3285</v>
      </c>
    </row>
    <row r="492" spans="2:65" s="2216" customFormat="1">
      <c r="B492" s="2217"/>
      <c r="D492" s="2197" t="s">
        <v>3303</v>
      </c>
      <c r="E492" s="2218" t="s">
        <v>3146</v>
      </c>
      <c r="F492" s="2219" t="s">
        <v>3306</v>
      </c>
      <c r="H492" s="2220">
        <v>13</v>
      </c>
      <c r="L492" s="2217"/>
      <c r="M492" s="2221"/>
      <c r="T492" s="2222"/>
      <c r="AT492" s="2218" t="s">
        <v>3303</v>
      </c>
      <c r="AU492" s="2218" t="s">
        <v>134</v>
      </c>
      <c r="AV492" s="2216" t="s">
        <v>856</v>
      </c>
      <c r="AW492" s="2216" t="s">
        <v>3171</v>
      </c>
      <c r="AX492" s="2216" t="s">
        <v>133</v>
      </c>
      <c r="AY492" s="2218" t="s">
        <v>3285</v>
      </c>
    </row>
    <row r="493" spans="2:65" s="2070" customFormat="1" ht="24.2" customHeight="1">
      <c r="B493" s="2164"/>
      <c r="C493" s="4614" t="s">
        <v>3769</v>
      </c>
      <c r="D493" s="4614" t="s">
        <v>135</v>
      </c>
      <c r="E493" s="4615" t="s">
        <v>5000</v>
      </c>
      <c r="F493" s="4616" t="s">
        <v>5001</v>
      </c>
      <c r="G493" s="4617" t="s">
        <v>155</v>
      </c>
      <c r="H493" s="4618">
        <v>8</v>
      </c>
      <c r="I493" s="4619"/>
      <c r="J493" s="4619">
        <f>ROUND(I493*H493,2)</f>
        <v>0</v>
      </c>
      <c r="K493" s="4616" t="s">
        <v>142</v>
      </c>
      <c r="L493" s="2223"/>
      <c r="M493" s="2224" t="s">
        <v>3146</v>
      </c>
      <c r="N493" s="2225" t="s">
        <v>3181</v>
      </c>
      <c r="O493" s="2191">
        <v>0</v>
      </c>
      <c r="P493" s="2191">
        <f>O493*H493</f>
        <v>0</v>
      </c>
      <c r="Q493" s="2191">
        <v>1.4999999999999999E-4</v>
      </c>
      <c r="R493" s="2191">
        <f>Q493*H493</f>
        <v>1.1999999999999999E-3</v>
      </c>
      <c r="S493" s="2191">
        <v>0</v>
      </c>
      <c r="T493" s="2192">
        <f>S493*H493</f>
        <v>0</v>
      </c>
      <c r="AR493" s="2193" t="s">
        <v>3389</v>
      </c>
      <c r="AT493" s="2193" t="s">
        <v>135</v>
      </c>
      <c r="AU493" s="2193" t="s">
        <v>134</v>
      </c>
      <c r="AY493" s="2056" t="s">
        <v>3285</v>
      </c>
      <c r="BE493" s="2194">
        <f>IF(N493="základní",J493,0)</f>
        <v>0</v>
      </c>
      <c r="BF493" s="2194">
        <f>IF(N493="snížená",J493,0)</f>
        <v>0</v>
      </c>
      <c r="BG493" s="2194">
        <f>IF(N493="zákl. přenesená",J493,0)</f>
        <v>0</v>
      </c>
      <c r="BH493" s="2194">
        <f>IF(N493="sníž. přenesená",J493,0)</f>
        <v>0</v>
      </c>
      <c r="BI493" s="2194">
        <f>IF(N493="nulová",J493,0)</f>
        <v>0</v>
      </c>
      <c r="BJ493" s="2056" t="s">
        <v>134</v>
      </c>
      <c r="BK493" s="2194">
        <f>ROUND(I493*H493,2)</f>
        <v>0</v>
      </c>
      <c r="BL493" s="2056" t="s">
        <v>2894</v>
      </c>
      <c r="BM493" s="2193" t="s">
        <v>5002</v>
      </c>
    </row>
    <row r="494" spans="2:65" s="2070" customFormat="1" ht="24.2" customHeight="1">
      <c r="B494" s="2164"/>
      <c r="C494" s="4614" t="s">
        <v>3773</v>
      </c>
      <c r="D494" s="4614" t="s">
        <v>135</v>
      </c>
      <c r="E494" s="4615" t="s">
        <v>5003</v>
      </c>
      <c r="F494" s="4616" t="s">
        <v>5004</v>
      </c>
      <c r="G494" s="4617" t="s">
        <v>155</v>
      </c>
      <c r="H494" s="4618">
        <v>13</v>
      </c>
      <c r="I494" s="4619"/>
      <c r="J494" s="4619">
        <f>ROUND(I494*H494,2)</f>
        <v>0</v>
      </c>
      <c r="K494" s="4616" t="s">
        <v>3146</v>
      </c>
      <c r="L494" s="2223"/>
      <c r="M494" s="2224" t="s">
        <v>3146</v>
      </c>
      <c r="N494" s="2225" t="s">
        <v>3181</v>
      </c>
      <c r="O494" s="2191">
        <v>0</v>
      </c>
      <c r="P494" s="2191">
        <f>O494*H494</f>
        <v>0</v>
      </c>
      <c r="Q494" s="2191">
        <v>0</v>
      </c>
      <c r="R494" s="2191">
        <f>Q494*H494</f>
        <v>0</v>
      </c>
      <c r="S494" s="2191">
        <v>0</v>
      </c>
      <c r="T494" s="2192">
        <f>S494*H494</f>
        <v>0</v>
      </c>
      <c r="AR494" s="2193" t="s">
        <v>3389</v>
      </c>
      <c r="AT494" s="2193" t="s">
        <v>135</v>
      </c>
      <c r="AU494" s="2193" t="s">
        <v>134</v>
      </c>
      <c r="AY494" s="2056" t="s">
        <v>3285</v>
      </c>
      <c r="BE494" s="2194">
        <f>IF(N494="základní",J494,0)</f>
        <v>0</v>
      </c>
      <c r="BF494" s="2194">
        <f>IF(N494="snížená",J494,0)</f>
        <v>0</v>
      </c>
      <c r="BG494" s="2194">
        <f>IF(N494="zákl. přenesená",J494,0)</f>
        <v>0</v>
      </c>
      <c r="BH494" s="2194">
        <f>IF(N494="sníž. přenesená",J494,0)</f>
        <v>0</v>
      </c>
      <c r="BI494" s="2194">
        <f>IF(N494="nulová",J494,0)</f>
        <v>0</v>
      </c>
      <c r="BJ494" s="2056" t="s">
        <v>134</v>
      </c>
      <c r="BK494" s="2194">
        <f>ROUND(I494*H494,2)</f>
        <v>0</v>
      </c>
      <c r="BL494" s="2056" t="s">
        <v>2894</v>
      </c>
      <c r="BM494" s="2193" t="s">
        <v>5005</v>
      </c>
    </row>
    <row r="495" spans="2:65" s="2209" customFormat="1">
      <c r="B495" s="2210"/>
      <c r="D495" s="2197" t="s">
        <v>3303</v>
      </c>
      <c r="E495" s="2211" t="s">
        <v>3146</v>
      </c>
      <c r="F495" s="2212" t="s">
        <v>4998</v>
      </c>
      <c r="H495" s="2213">
        <v>6</v>
      </c>
      <c r="L495" s="2210"/>
      <c r="M495" s="2214"/>
      <c r="T495" s="2215"/>
      <c r="AT495" s="2211" t="s">
        <v>3303</v>
      </c>
      <c r="AU495" s="2211" t="s">
        <v>134</v>
      </c>
      <c r="AV495" s="2209" t="s">
        <v>134</v>
      </c>
      <c r="AW495" s="2209" t="s">
        <v>3171</v>
      </c>
      <c r="AX495" s="2209" t="s">
        <v>3213</v>
      </c>
      <c r="AY495" s="2211" t="s">
        <v>3285</v>
      </c>
    </row>
    <row r="496" spans="2:65" s="2209" customFormat="1">
      <c r="B496" s="2210"/>
      <c r="D496" s="2197" t="s">
        <v>3303</v>
      </c>
      <c r="E496" s="2211" t="s">
        <v>3146</v>
      </c>
      <c r="F496" s="2212" t="s">
        <v>4804</v>
      </c>
      <c r="H496" s="2213">
        <v>2</v>
      </c>
      <c r="L496" s="2210"/>
      <c r="M496" s="2214"/>
      <c r="T496" s="2215"/>
      <c r="AT496" s="2211" t="s">
        <v>3303</v>
      </c>
      <c r="AU496" s="2211" t="s">
        <v>134</v>
      </c>
      <c r="AV496" s="2209" t="s">
        <v>134</v>
      </c>
      <c r="AW496" s="2209" t="s">
        <v>3171</v>
      </c>
      <c r="AX496" s="2209" t="s">
        <v>3213</v>
      </c>
      <c r="AY496" s="2211" t="s">
        <v>3285</v>
      </c>
    </row>
    <row r="497" spans="2:65" s="2209" customFormat="1">
      <c r="B497" s="2210"/>
      <c r="D497" s="2197" t="s">
        <v>3303</v>
      </c>
      <c r="E497" s="2211" t="s">
        <v>3146</v>
      </c>
      <c r="F497" s="2212" t="s">
        <v>4999</v>
      </c>
      <c r="H497" s="2213">
        <v>5</v>
      </c>
      <c r="L497" s="2210"/>
      <c r="M497" s="2214"/>
      <c r="T497" s="2215"/>
      <c r="AT497" s="2211" t="s">
        <v>3303</v>
      </c>
      <c r="AU497" s="2211" t="s">
        <v>134</v>
      </c>
      <c r="AV497" s="2209" t="s">
        <v>134</v>
      </c>
      <c r="AW497" s="2209" t="s">
        <v>3171</v>
      </c>
      <c r="AX497" s="2209" t="s">
        <v>3213</v>
      </c>
      <c r="AY497" s="2211" t="s">
        <v>3285</v>
      </c>
    </row>
    <row r="498" spans="2:65" s="2216" customFormat="1">
      <c r="B498" s="2217"/>
      <c r="D498" s="2197" t="s">
        <v>3303</v>
      </c>
      <c r="E498" s="2218" t="s">
        <v>3146</v>
      </c>
      <c r="F498" s="2219" t="s">
        <v>3306</v>
      </c>
      <c r="H498" s="2220">
        <v>13</v>
      </c>
      <c r="L498" s="2217"/>
      <c r="M498" s="2221"/>
      <c r="T498" s="2222"/>
      <c r="AT498" s="2218" t="s">
        <v>3303</v>
      </c>
      <c r="AU498" s="2218" t="s">
        <v>134</v>
      </c>
      <c r="AV498" s="2216" t="s">
        <v>856</v>
      </c>
      <c r="AW498" s="2216" t="s">
        <v>3171</v>
      </c>
      <c r="AX498" s="2216" t="s">
        <v>133</v>
      </c>
      <c r="AY498" s="2218" t="s">
        <v>3285</v>
      </c>
    </row>
    <row r="499" spans="2:65" s="2178" customFormat="1" ht="22.9" customHeight="1">
      <c r="B499" s="2179"/>
      <c r="D499" s="2180" t="s">
        <v>3212</v>
      </c>
      <c r="E499" s="2188" t="s">
        <v>5006</v>
      </c>
      <c r="F499" s="2188" t="s">
        <v>5007</v>
      </c>
      <c r="J499" s="2189">
        <f>BK499</f>
        <v>0</v>
      </c>
      <c r="L499" s="2179"/>
      <c r="M499" s="2183"/>
      <c r="P499" s="2184">
        <f>SUM(P500:P508)</f>
        <v>127.36185600000002</v>
      </c>
      <c r="R499" s="2184">
        <f>SUM(R500:R508)</f>
        <v>4.1432481000000001</v>
      </c>
      <c r="T499" s="2185">
        <f>SUM(T500:T508)</f>
        <v>0</v>
      </c>
      <c r="AR499" s="2180" t="s">
        <v>134</v>
      </c>
      <c r="AT499" s="2186" t="s">
        <v>3212</v>
      </c>
      <c r="AU499" s="2186" t="s">
        <v>133</v>
      </c>
      <c r="AY499" s="2180" t="s">
        <v>3285</v>
      </c>
      <c r="BK499" s="2187">
        <f>SUM(BK500:BK508)</f>
        <v>0</v>
      </c>
    </row>
    <row r="500" spans="2:65" s="2070" customFormat="1" ht="33" customHeight="1">
      <c r="B500" s="2164"/>
      <c r="C500" s="4608" t="s">
        <v>3778</v>
      </c>
      <c r="D500" s="4608" t="s">
        <v>3286</v>
      </c>
      <c r="E500" s="4609" t="s">
        <v>5008</v>
      </c>
      <c r="F500" s="4610" t="s">
        <v>5009</v>
      </c>
      <c r="G500" s="4611" t="s">
        <v>611</v>
      </c>
      <c r="H500" s="4612">
        <v>149.14500000000001</v>
      </c>
      <c r="I500" s="4613"/>
      <c r="J500" s="4613">
        <f>ROUND(I500*H500,2)</f>
        <v>0</v>
      </c>
      <c r="K500" s="4610" t="s">
        <v>142</v>
      </c>
      <c r="L500" s="2071"/>
      <c r="M500" s="2190" t="s">
        <v>3146</v>
      </c>
      <c r="N500" s="2163" t="s">
        <v>3181</v>
      </c>
      <c r="O500" s="2191">
        <v>0.75</v>
      </c>
      <c r="P500" s="2191">
        <f>O500*H500</f>
        <v>111.85875000000001</v>
      </c>
      <c r="Q500" s="2191">
        <v>2.7779999999999999E-2</v>
      </c>
      <c r="R500" s="2191">
        <f>Q500*H500</f>
        <v>4.1432481000000001</v>
      </c>
      <c r="S500" s="2191">
        <v>0</v>
      </c>
      <c r="T500" s="2192">
        <f>S500*H500</f>
        <v>0</v>
      </c>
      <c r="AR500" s="2193" t="s">
        <v>2894</v>
      </c>
      <c r="AT500" s="2193" t="s">
        <v>3286</v>
      </c>
      <c r="AU500" s="2193" t="s">
        <v>134</v>
      </c>
      <c r="AY500" s="2056" t="s">
        <v>3285</v>
      </c>
      <c r="BE500" s="2194">
        <f>IF(N500="základní",J500,0)</f>
        <v>0</v>
      </c>
      <c r="BF500" s="2194">
        <f>IF(N500="snížená",J500,0)</f>
        <v>0</v>
      </c>
      <c r="BG500" s="2194">
        <f>IF(N500="zákl. přenesená",J500,0)</f>
        <v>0</v>
      </c>
      <c r="BH500" s="2194">
        <f>IF(N500="sníž. přenesená",J500,0)</f>
        <v>0</v>
      </c>
      <c r="BI500" s="2194">
        <f>IF(N500="nulová",J500,0)</f>
        <v>0</v>
      </c>
      <c r="BJ500" s="2056" t="s">
        <v>134</v>
      </c>
      <c r="BK500" s="2194">
        <f>ROUND(I500*H500,2)</f>
        <v>0</v>
      </c>
      <c r="BL500" s="2056" t="s">
        <v>2894</v>
      </c>
      <c r="BM500" s="2193" t="s">
        <v>5010</v>
      </c>
    </row>
    <row r="501" spans="2:65" s="2209" customFormat="1">
      <c r="B501" s="2210"/>
      <c r="D501" s="2197" t="s">
        <v>3303</v>
      </c>
      <c r="E501" s="2211" t="s">
        <v>3146</v>
      </c>
      <c r="F501" s="2212" t="s">
        <v>4728</v>
      </c>
      <c r="H501" s="2213">
        <v>115.73</v>
      </c>
      <c r="L501" s="2210"/>
      <c r="M501" s="2214"/>
      <c r="T501" s="2215"/>
      <c r="AT501" s="2211" t="s">
        <v>3303</v>
      </c>
      <c r="AU501" s="2211" t="s">
        <v>134</v>
      </c>
      <c r="AV501" s="2209" t="s">
        <v>134</v>
      </c>
      <c r="AW501" s="2209" t="s">
        <v>3171</v>
      </c>
      <c r="AX501" s="2209" t="s">
        <v>3213</v>
      </c>
      <c r="AY501" s="2211" t="s">
        <v>3285</v>
      </c>
    </row>
    <row r="502" spans="2:65" s="2209" customFormat="1">
      <c r="B502" s="2210"/>
      <c r="D502" s="2197" t="s">
        <v>3303</v>
      </c>
      <c r="E502" s="2211" t="s">
        <v>3146</v>
      </c>
      <c r="F502" s="2212" t="s">
        <v>4729</v>
      </c>
      <c r="H502" s="2213">
        <v>4.95</v>
      </c>
      <c r="L502" s="2210"/>
      <c r="M502" s="2214"/>
      <c r="T502" s="2215"/>
      <c r="AT502" s="2211" t="s">
        <v>3303</v>
      </c>
      <c r="AU502" s="2211" t="s">
        <v>134</v>
      </c>
      <c r="AV502" s="2209" t="s">
        <v>134</v>
      </c>
      <c r="AW502" s="2209" t="s">
        <v>3171</v>
      </c>
      <c r="AX502" s="2209" t="s">
        <v>3213</v>
      </c>
      <c r="AY502" s="2211" t="s">
        <v>3285</v>
      </c>
    </row>
    <row r="503" spans="2:65" s="2209" customFormat="1">
      <c r="B503" s="2210"/>
      <c r="D503" s="2197" t="s">
        <v>3303</v>
      </c>
      <c r="E503" s="2211" t="s">
        <v>3146</v>
      </c>
      <c r="F503" s="2212" t="s">
        <v>4730</v>
      </c>
      <c r="H503" s="2213">
        <v>23.625</v>
      </c>
      <c r="L503" s="2210"/>
      <c r="M503" s="2214"/>
      <c r="T503" s="2215"/>
      <c r="AT503" s="2211" t="s">
        <v>3303</v>
      </c>
      <c r="AU503" s="2211" t="s">
        <v>134</v>
      </c>
      <c r="AV503" s="2209" t="s">
        <v>134</v>
      </c>
      <c r="AW503" s="2209" t="s">
        <v>3171</v>
      </c>
      <c r="AX503" s="2209" t="s">
        <v>3213</v>
      </c>
      <c r="AY503" s="2211" t="s">
        <v>3285</v>
      </c>
    </row>
    <row r="504" spans="2:65" s="2209" customFormat="1">
      <c r="B504" s="2210"/>
      <c r="D504" s="2197" t="s">
        <v>3303</v>
      </c>
      <c r="E504" s="2211" t="s">
        <v>3146</v>
      </c>
      <c r="F504" s="2212" t="s">
        <v>4731</v>
      </c>
      <c r="H504" s="2213">
        <v>3.96</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5011</v>
      </c>
      <c r="H505" s="2213">
        <v>0.88</v>
      </c>
      <c r="L505" s="2210"/>
      <c r="M505" s="2214"/>
      <c r="T505" s="2215"/>
      <c r="AT505" s="2211" t="s">
        <v>3303</v>
      </c>
      <c r="AU505" s="2211" t="s">
        <v>134</v>
      </c>
      <c r="AV505" s="2209" t="s">
        <v>134</v>
      </c>
      <c r="AW505" s="2209" t="s">
        <v>3171</v>
      </c>
      <c r="AX505" s="2209" t="s">
        <v>3213</v>
      </c>
      <c r="AY505" s="2211" t="s">
        <v>3285</v>
      </c>
    </row>
    <row r="506" spans="2:65" s="2216" customFormat="1">
      <c r="B506" s="2217"/>
      <c r="D506" s="2197" t="s">
        <v>3303</v>
      </c>
      <c r="E506" s="2218" t="s">
        <v>3146</v>
      </c>
      <c r="F506" s="2219" t="s">
        <v>3306</v>
      </c>
      <c r="H506" s="2220">
        <v>149.14500000000001</v>
      </c>
      <c r="L506" s="2217"/>
      <c r="M506" s="2221"/>
      <c r="T506" s="2222"/>
      <c r="AT506" s="2218" t="s">
        <v>3303</v>
      </c>
      <c r="AU506" s="2218" t="s">
        <v>134</v>
      </c>
      <c r="AV506" s="2216" t="s">
        <v>856</v>
      </c>
      <c r="AW506" s="2216" t="s">
        <v>3171</v>
      </c>
      <c r="AX506" s="2216" t="s">
        <v>133</v>
      </c>
      <c r="AY506" s="2218" t="s">
        <v>3285</v>
      </c>
    </row>
    <row r="507" spans="2:65" s="2070" customFormat="1" ht="24.2" customHeight="1">
      <c r="B507" s="2164"/>
      <c r="C507" s="4608" t="s">
        <v>3779</v>
      </c>
      <c r="D507" s="4608" t="s">
        <v>3286</v>
      </c>
      <c r="E507" s="4609" t="s">
        <v>11125</v>
      </c>
      <c r="F507" s="4610" t="s">
        <v>11126</v>
      </c>
      <c r="G507" s="4611" t="s">
        <v>302</v>
      </c>
      <c r="H507" s="4612">
        <v>4.1429999999999998</v>
      </c>
      <c r="I507" s="4613"/>
      <c r="J507" s="4613">
        <f>ROUND(I507*H507,2)</f>
        <v>0</v>
      </c>
      <c r="K507" s="4610" t="s">
        <v>142</v>
      </c>
      <c r="L507" s="2071"/>
      <c r="M507" s="2190" t="s">
        <v>3146</v>
      </c>
      <c r="N507" s="2163" t="s">
        <v>3181</v>
      </c>
      <c r="O507" s="2191">
        <v>2.1720000000000002</v>
      </c>
      <c r="P507" s="2191">
        <f>O507*H507</f>
        <v>8.9985960000000009</v>
      </c>
      <c r="Q507" s="2191">
        <v>0</v>
      </c>
      <c r="R507" s="2191">
        <f>Q507*H507</f>
        <v>0</v>
      </c>
      <c r="S507" s="2191">
        <v>0</v>
      </c>
      <c r="T507" s="2192">
        <f>S507*H507</f>
        <v>0</v>
      </c>
      <c r="AR507" s="2193" t="s">
        <v>2894</v>
      </c>
      <c r="AT507" s="2193" t="s">
        <v>3286</v>
      </c>
      <c r="AU507" s="2193" t="s">
        <v>134</v>
      </c>
      <c r="AY507" s="2056" t="s">
        <v>3285</v>
      </c>
      <c r="BE507" s="2194">
        <f>IF(N507="základní",J507,0)</f>
        <v>0</v>
      </c>
      <c r="BF507" s="2194">
        <f>IF(N507="snížená",J507,0)</f>
        <v>0</v>
      </c>
      <c r="BG507" s="2194">
        <f>IF(N507="zákl. přenesená",J507,0)</f>
        <v>0</v>
      </c>
      <c r="BH507" s="2194">
        <f>IF(N507="sníž. přenesená",J507,0)</f>
        <v>0</v>
      </c>
      <c r="BI507" s="2194">
        <f>IF(N507="nulová",J507,0)</f>
        <v>0</v>
      </c>
      <c r="BJ507" s="2056" t="s">
        <v>134</v>
      </c>
      <c r="BK507" s="2194">
        <f>ROUND(I507*H507,2)</f>
        <v>0</v>
      </c>
      <c r="BL507" s="2056" t="s">
        <v>2894</v>
      </c>
      <c r="BM507" s="2193" t="s">
        <v>11127</v>
      </c>
    </row>
    <row r="508" spans="2:65" s="2070" customFormat="1" ht="24.2" customHeight="1">
      <c r="B508" s="2164"/>
      <c r="C508" s="4608" t="s">
        <v>3780</v>
      </c>
      <c r="D508" s="4608" t="s">
        <v>3286</v>
      </c>
      <c r="E508" s="4609" t="s">
        <v>11128</v>
      </c>
      <c r="F508" s="4610" t="s">
        <v>11129</v>
      </c>
      <c r="G508" s="4611" t="s">
        <v>302</v>
      </c>
      <c r="H508" s="4612">
        <v>4.1429999999999998</v>
      </c>
      <c r="I508" s="4613"/>
      <c r="J508" s="4613">
        <f>ROUND(I508*H508,2)</f>
        <v>0</v>
      </c>
      <c r="K508" s="4610" t="s">
        <v>142</v>
      </c>
      <c r="L508" s="2071"/>
      <c r="M508" s="2190" t="s">
        <v>3146</v>
      </c>
      <c r="N508" s="2163" t="s">
        <v>3181</v>
      </c>
      <c r="O508" s="2191">
        <v>1.57</v>
      </c>
      <c r="P508" s="2191">
        <f>O508*H508</f>
        <v>6.5045099999999998</v>
      </c>
      <c r="Q508" s="2191">
        <v>0</v>
      </c>
      <c r="R508" s="2191">
        <f>Q508*H508</f>
        <v>0</v>
      </c>
      <c r="S508" s="2191">
        <v>0</v>
      </c>
      <c r="T508" s="2192">
        <f>S508*H508</f>
        <v>0</v>
      </c>
      <c r="AR508" s="2193" t="s">
        <v>2894</v>
      </c>
      <c r="AT508" s="2193" t="s">
        <v>3286</v>
      </c>
      <c r="AU508" s="2193" t="s">
        <v>134</v>
      </c>
      <c r="AY508" s="2056" t="s">
        <v>3285</v>
      </c>
      <c r="BE508" s="2194">
        <f>IF(N508="základní",J508,0)</f>
        <v>0</v>
      </c>
      <c r="BF508" s="2194">
        <f>IF(N508="snížená",J508,0)</f>
        <v>0</v>
      </c>
      <c r="BG508" s="2194">
        <f>IF(N508="zákl. přenesená",J508,0)</f>
        <v>0</v>
      </c>
      <c r="BH508" s="2194">
        <f>IF(N508="sníž. přenesená",J508,0)</f>
        <v>0</v>
      </c>
      <c r="BI508" s="2194">
        <f>IF(N508="nulová",J508,0)</f>
        <v>0</v>
      </c>
      <c r="BJ508" s="2056" t="s">
        <v>134</v>
      </c>
      <c r="BK508" s="2194">
        <f>ROUND(I508*H508,2)</f>
        <v>0</v>
      </c>
      <c r="BL508" s="2056" t="s">
        <v>2894</v>
      </c>
      <c r="BM508" s="2193" t="s">
        <v>11130</v>
      </c>
    </row>
    <row r="509" spans="2:65" s="2178" customFormat="1" ht="22.9" customHeight="1">
      <c r="B509" s="2179"/>
      <c r="D509" s="2180" t="s">
        <v>3212</v>
      </c>
      <c r="E509" s="2188" t="s">
        <v>5012</v>
      </c>
      <c r="F509" s="2188" t="s">
        <v>5013</v>
      </c>
      <c r="J509" s="2189">
        <f>BK509</f>
        <v>0</v>
      </c>
      <c r="L509" s="2179"/>
      <c r="M509" s="2183"/>
      <c r="P509" s="2184">
        <f>SUM(P510:P553)</f>
        <v>587.33004599999992</v>
      </c>
      <c r="R509" s="2184">
        <f>SUM(R510:R553)</f>
        <v>3.6869791700000003</v>
      </c>
      <c r="T509" s="2185">
        <f>SUM(T510:T553)</f>
        <v>0</v>
      </c>
      <c r="AR509" s="2180" t="s">
        <v>134</v>
      </c>
      <c r="AT509" s="2186" t="s">
        <v>3212</v>
      </c>
      <c r="AU509" s="2186" t="s">
        <v>133</v>
      </c>
      <c r="AY509" s="2180" t="s">
        <v>3285</v>
      </c>
      <c r="BK509" s="2187">
        <f>SUM(BK510:BK553)</f>
        <v>0</v>
      </c>
    </row>
    <row r="510" spans="2:65" s="2070" customFormat="1" ht="24.2" customHeight="1">
      <c r="B510" s="2164"/>
      <c r="C510" s="4608" t="s">
        <v>3784</v>
      </c>
      <c r="D510" s="4608" t="s">
        <v>3286</v>
      </c>
      <c r="E510" s="4609" t="s">
        <v>5014</v>
      </c>
      <c r="F510" s="4610" t="s">
        <v>5015</v>
      </c>
      <c r="G510" s="4611" t="s">
        <v>141</v>
      </c>
      <c r="H510" s="4612">
        <v>170</v>
      </c>
      <c r="I510" s="4613"/>
      <c r="J510" s="4613">
        <f>ROUND(I510*H510,2)</f>
        <v>0</v>
      </c>
      <c r="K510" s="4610" t="s">
        <v>142</v>
      </c>
      <c r="L510" s="2071"/>
      <c r="M510" s="2190" t="s">
        <v>3146</v>
      </c>
      <c r="N510" s="2163" t="s">
        <v>3181</v>
      </c>
      <c r="O510" s="2191">
        <v>0.28499999999999998</v>
      </c>
      <c r="P510" s="2191">
        <f>O510*H510</f>
        <v>48.449999999999996</v>
      </c>
      <c r="Q510" s="2191">
        <v>1.06E-3</v>
      </c>
      <c r="R510" s="2191">
        <f>Q510*H510</f>
        <v>0.1802</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5016</v>
      </c>
    </row>
    <row r="511" spans="2:65" s="2195" customFormat="1">
      <c r="B511" s="2196"/>
      <c r="D511" s="2197" t="s">
        <v>3303</v>
      </c>
      <c r="E511" s="2198" t="s">
        <v>3146</v>
      </c>
      <c r="F511" s="2199" t="s">
        <v>5017</v>
      </c>
      <c r="H511" s="2198" t="s">
        <v>3146</v>
      </c>
      <c r="L511" s="2196"/>
      <c r="M511" s="2200"/>
      <c r="T511" s="2201"/>
      <c r="AT511" s="2198" t="s">
        <v>3303</v>
      </c>
      <c r="AU511" s="2198" t="s">
        <v>134</v>
      </c>
      <c r="AV511" s="2195" t="s">
        <v>133</v>
      </c>
      <c r="AW511" s="2195" t="s">
        <v>3171</v>
      </c>
      <c r="AX511" s="2195" t="s">
        <v>3213</v>
      </c>
      <c r="AY511" s="2198" t="s">
        <v>3285</v>
      </c>
    </row>
    <row r="512" spans="2:65" s="2209" customFormat="1">
      <c r="B512" s="2210"/>
      <c r="D512" s="2197" t="s">
        <v>3303</v>
      </c>
      <c r="E512" s="2211" t="s">
        <v>3146</v>
      </c>
      <c r="F512" s="2212" t="s">
        <v>3966</v>
      </c>
      <c r="H512" s="2213">
        <v>170</v>
      </c>
      <c r="L512" s="2210"/>
      <c r="M512" s="2214"/>
      <c r="T512" s="2215"/>
      <c r="AT512" s="2211" t="s">
        <v>3303</v>
      </c>
      <c r="AU512" s="2211" t="s">
        <v>134</v>
      </c>
      <c r="AV512" s="2209" t="s">
        <v>134</v>
      </c>
      <c r="AW512" s="2209" t="s">
        <v>3171</v>
      </c>
      <c r="AX512" s="2209" t="s">
        <v>3213</v>
      </c>
      <c r="AY512" s="2211" t="s">
        <v>3285</v>
      </c>
    </row>
    <row r="513" spans="2:65" s="2216" customFormat="1">
      <c r="B513" s="2217"/>
      <c r="D513" s="2197" t="s">
        <v>3303</v>
      </c>
      <c r="E513" s="2218" t="s">
        <v>3146</v>
      </c>
      <c r="F513" s="2219" t="s">
        <v>3306</v>
      </c>
      <c r="H513" s="2220">
        <v>170</v>
      </c>
      <c r="L513" s="2217"/>
      <c r="M513" s="2221"/>
      <c r="T513" s="2222"/>
      <c r="AT513" s="2218" t="s">
        <v>3303</v>
      </c>
      <c r="AU513" s="2218" t="s">
        <v>134</v>
      </c>
      <c r="AV513" s="2216" t="s">
        <v>856</v>
      </c>
      <c r="AW513" s="2216" t="s">
        <v>3171</v>
      </c>
      <c r="AX513" s="2216" t="s">
        <v>133</v>
      </c>
      <c r="AY513" s="2218" t="s">
        <v>3285</v>
      </c>
    </row>
    <row r="514" spans="2:65" s="2070" customFormat="1" ht="33" customHeight="1">
      <c r="B514" s="2164"/>
      <c r="C514" s="4608" t="s">
        <v>3788</v>
      </c>
      <c r="D514" s="4608" t="s">
        <v>3286</v>
      </c>
      <c r="E514" s="4609" t="s">
        <v>5018</v>
      </c>
      <c r="F514" s="4610" t="s">
        <v>5019</v>
      </c>
      <c r="G514" s="4611" t="s">
        <v>611</v>
      </c>
      <c r="H514" s="4612">
        <v>168.46799999999999</v>
      </c>
      <c r="I514" s="4613"/>
      <c r="J514" s="4613">
        <f>ROUND(I514*H514,2)</f>
        <v>0</v>
      </c>
      <c r="K514" s="4610" t="s">
        <v>142</v>
      </c>
      <c r="L514" s="2071"/>
      <c r="M514" s="2190" t="s">
        <v>3146</v>
      </c>
      <c r="N514" s="2163" t="s">
        <v>3181</v>
      </c>
      <c r="O514" s="2191">
        <v>0.95899999999999996</v>
      </c>
      <c r="P514" s="2191">
        <f>O514*H514</f>
        <v>161.56081199999997</v>
      </c>
      <c r="Q514" s="2191">
        <v>6.6100000000000004E-3</v>
      </c>
      <c r="R514" s="2191">
        <f>Q514*H514</f>
        <v>1.1135734799999999</v>
      </c>
      <c r="S514" s="2191">
        <v>0</v>
      </c>
      <c r="T514" s="2192">
        <f>S514*H514</f>
        <v>0</v>
      </c>
      <c r="AR514" s="2193" t="s">
        <v>2894</v>
      </c>
      <c r="AT514" s="2193" t="s">
        <v>3286</v>
      </c>
      <c r="AU514" s="2193" t="s">
        <v>134</v>
      </c>
      <c r="AY514" s="2056" t="s">
        <v>3285</v>
      </c>
      <c r="BE514" s="2194">
        <f>IF(N514="základní",J514,0)</f>
        <v>0</v>
      </c>
      <c r="BF514" s="2194">
        <f>IF(N514="snížená",J514,0)</f>
        <v>0</v>
      </c>
      <c r="BG514" s="2194">
        <f>IF(N514="zákl. přenesená",J514,0)</f>
        <v>0</v>
      </c>
      <c r="BH514" s="2194">
        <f>IF(N514="sníž. přenesená",J514,0)</f>
        <v>0</v>
      </c>
      <c r="BI514" s="2194">
        <f>IF(N514="nulová",J514,0)</f>
        <v>0</v>
      </c>
      <c r="BJ514" s="2056" t="s">
        <v>134</v>
      </c>
      <c r="BK514" s="2194">
        <f>ROUND(I514*H514,2)</f>
        <v>0</v>
      </c>
      <c r="BL514" s="2056" t="s">
        <v>2894</v>
      </c>
      <c r="BM514" s="2193" t="s">
        <v>5020</v>
      </c>
    </row>
    <row r="515" spans="2:65" s="2195" customFormat="1">
      <c r="B515" s="2196"/>
      <c r="D515" s="2197" t="s">
        <v>3303</v>
      </c>
      <c r="E515" s="2198" t="s">
        <v>3146</v>
      </c>
      <c r="F515" s="2199" t="s">
        <v>4702</v>
      </c>
      <c r="H515" s="2198" t="s">
        <v>3146</v>
      </c>
      <c r="L515" s="2196"/>
      <c r="M515" s="2200"/>
      <c r="T515" s="2201"/>
      <c r="AT515" s="2198" t="s">
        <v>3303</v>
      </c>
      <c r="AU515" s="2198" t="s">
        <v>134</v>
      </c>
      <c r="AV515" s="2195" t="s">
        <v>133</v>
      </c>
      <c r="AW515" s="2195" t="s">
        <v>3171</v>
      </c>
      <c r="AX515" s="2195" t="s">
        <v>3213</v>
      </c>
      <c r="AY515" s="2198" t="s">
        <v>3285</v>
      </c>
    </row>
    <row r="516" spans="2:65" s="2209" customFormat="1">
      <c r="B516" s="2210"/>
      <c r="D516" s="2197" t="s">
        <v>3303</v>
      </c>
      <c r="E516" s="2211" t="s">
        <v>3146</v>
      </c>
      <c r="F516" s="2212" t="s">
        <v>4703</v>
      </c>
      <c r="H516" s="2213">
        <v>45.12</v>
      </c>
      <c r="L516" s="2210"/>
      <c r="M516" s="2214"/>
      <c r="T516" s="2215"/>
      <c r="AT516" s="2211" t="s">
        <v>3303</v>
      </c>
      <c r="AU516" s="2211" t="s">
        <v>134</v>
      </c>
      <c r="AV516" s="2209" t="s">
        <v>134</v>
      </c>
      <c r="AW516" s="2209" t="s">
        <v>3171</v>
      </c>
      <c r="AX516" s="2209" t="s">
        <v>3213</v>
      </c>
      <c r="AY516" s="2211" t="s">
        <v>3285</v>
      </c>
    </row>
    <row r="517" spans="2:65" s="2195" customFormat="1">
      <c r="B517" s="2196"/>
      <c r="D517" s="2197" t="s">
        <v>3303</v>
      </c>
      <c r="E517" s="2198" t="s">
        <v>3146</v>
      </c>
      <c r="F517" s="2199" t="s">
        <v>4704</v>
      </c>
      <c r="H517" s="2198" t="s">
        <v>3146</v>
      </c>
      <c r="L517" s="2196"/>
      <c r="M517" s="2200"/>
      <c r="T517" s="2201"/>
      <c r="AT517" s="2198" t="s">
        <v>3303</v>
      </c>
      <c r="AU517" s="2198" t="s">
        <v>134</v>
      </c>
      <c r="AV517" s="2195" t="s">
        <v>133</v>
      </c>
      <c r="AW517" s="2195" t="s">
        <v>3171</v>
      </c>
      <c r="AX517" s="2195" t="s">
        <v>3213</v>
      </c>
      <c r="AY517" s="2198" t="s">
        <v>3285</v>
      </c>
    </row>
    <row r="518" spans="2:65" s="2209" customFormat="1">
      <c r="B518" s="2210"/>
      <c r="D518" s="2197" t="s">
        <v>3303</v>
      </c>
      <c r="E518" s="2211" t="s">
        <v>3146</v>
      </c>
      <c r="F518" s="2212" t="s">
        <v>4705</v>
      </c>
      <c r="H518" s="2213">
        <v>100.548</v>
      </c>
      <c r="L518" s="2210"/>
      <c r="M518" s="2214"/>
      <c r="T518" s="2215"/>
      <c r="AT518" s="2211" t="s">
        <v>3303</v>
      </c>
      <c r="AU518" s="2211" t="s">
        <v>134</v>
      </c>
      <c r="AV518" s="2209" t="s">
        <v>134</v>
      </c>
      <c r="AW518" s="2209" t="s">
        <v>3171</v>
      </c>
      <c r="AX518" s="2209" t="s">
        <v>3213</v>
      </c>
      <c r="AY518" s="2211" t="s">
        <v>3285</v>
      </c>
    </row>
    <row r="519" spans="2:65" s="2195" customFormat="1">
      <c r="B519" s="2196"/>
      <c r="D519" s="2197" t="s">
        <v>3303</v>
      </c>
      <c r="E519" s="2198" t="s">
        <v>3146</v>
      </c>
      <c r="F519" s="2199" t="s">
        <v>4706</v>
      </c>
      <c r="H519" s="2198" t="s">
        <v>3146</v>
      </c>
      <c r="L519" s="2196"/>
      <c r="M519" s="2200"/>
      <c r="T519" s="2201"/>
      <c r="AT519" s="2198" t="s">
        <v>3303</v>
      </c>
      <c r="AU519" s="2198" t="s">
        <v>134</v>
      </c>
      <c r="AV519" s="2195" t="s">
        <v>133</v>
      </c>
      <c r="AW519" s="2195" t="s">
        <v>3171</v>
      </c>
      <c r="AX519" s="2195" t="s">
        <v>3213</v>
      </c>
      <c r="AY519" s="2198" t="s">
        <v>3285</v>
      </c>
    </row>
    <row r="520" spans="2:65" s="2209" customFormat="1">
      <c r="B520" s="2210"/>
      <c r="D520" s="2197" t="s">
        <v>3303</v>
      </c>
      <c r="E520" s="2211" t="s">
        <v>3146</v>
      </c>
      <c r="F520" s="2212" t="s">
        <v>4707</v>
      </c>
      <c r="H520" s="2213">
        <v>22.8</v>
      </c>
      <c r="L520" s="2210"/>
      <c r="M520" s="2214"/>
      <c r="T520" s="2215"/>
      <c r="AT520" s="2211" t="s">
        <v>3303</v>
      </c>
      <c r="AU520" s="2211" t="s">
        <v>134</v>
      </c>
      <c r="AV520" s="2209" t="s">
        <v>134</v>
      </c>
      <c r="AW520" s="2209" t="s">
        <v>3171</v>
      </c>
      <c r="AX520" s="2209" t="s">
        <v>3213</v>
      </c>
      <c r="AY520" s="2211" t="s">
        <v>3285</v>
      </c>
    </row>
    <row r="521" spans="2:65" s="2216" customFormat="1">
      <c r="B521" s="2217"/>
      <c r="D521" s="2197" t="s">
        <v>3303</v>
      </c>
      <c r="E521" s="2218" t="s">
        <v>3146</v>
      </c>
      <c r="F521" s="2219" t="s">
        <v>3306</v>
      </c>
      <c r="H521" s="2220">
        <v>168.46799999999999</v>
      </c>
      <c r="L521" s="2217"/>
      <c r="M521" s="2221"/>
      <c r="T521" s="2222"/>
      <c r="AT521" s="2218" t="s">
        <v>3303</v>
      </c>
      <c r="AU521" s="2218" t="s">
        <v>134</v>
      </c>
      <c r="AV521" s="2216" t="s">
        <v>856</v>
      </c>
      <c r="AW521" s="2216" t="s">
        <v>3171</v>
      </c>
      <c r="AX521" s="2216" t="s">
        <v>133</v>
      </c>
      <c r="AY521" s="2218" t="s">
        <v>3285</v>
      </c>
    </row>
    <row r="522" spans="2:65" s="2070" customFormat="1" ht="24.2" customHeight="1">
      <c r="B522" s="2164"/>
      <c r="C522" s="4608" t="s">
        <v>3792</v>
      </c>
      <c r="D522" s="4608" t="s">
        <v>3286</v>
      </c>
      <c r="E522" s="4609" t="s">
        <v>5021</v>
      </c>
      <c r="F522" s="4610" t="s">
        <v>5022</v>
      </c>
      <c r="G522" s="4611" t="s">
        <v>141</v>
      </c>
      <c r="H522" s="4612">
        <v>12</v>
      </c>
      <c r="I522" s="4613"/>
      <c r="J522" s="4613">
        <f>ROUND(I522*H522,2)</f>
        <v>0</v>
      </c>
      <c r="K522" s="4610" t="s">
        <v>142</v>
      </c>
      <c r="L522" s="2071"/>
      <c r="M522" s="2190" t="s">
        <v>3146</v>
      </c>
      <c r="N522" s="2163" t="s">
        <v>3181</v>
      </c>
      <c r="O522" s="2191">
        <v>0.28100000000000003</v>
      </c>
      <c r="P522" s="2191">
        <f>O522*H522</f>
        <v>3.3720000000000003</v>
      </c>
      <c r="Q522" s="2191">
        <v>1.97E-3</v>
      </c>
      <c r="R522" s="2191">
        <f>Q522*H522</f>
        <v>2.3640000000000001E-2</v>
      </c>
      <c r="S522" s="2191">
        <v>0</v>
      </c>
      <c r="T522" s="2192">
        <f>S522*H522</f>
        <v>0</v>
      </c>
      <c r="AR522" s="2193" t="s">
        <v>2894</v>
      </c>
      <c r="AT522" s="2193" t="s">
        <v>3286</v>
      </c>
      <c r="AU522" s="2193" t="s">
        <v>134</v>
      </c>
      <c r="AY522" s="2056" t="s">
        <v>3285</v>
      </c>
      <c r="BE522" s="2194">
        <f>IF(N522="základní",J522,0)</f>
        <v>0</v>
      </c>
      <c r="BF522" s="2194">
        <f>IF(N522="snížená",J522,0)</f>
        <v>0</v>
      </c>
      <c r="BG522" s="2194">
        <f>IF(N522="zákl. přenesená",J522,0)</f>
        <v>0</v>
      </c>
      <c r="BH522" s="2194">
        <f>IF(N522="sníž. přenesená",J522,0)</f>
        <v>0</v>
      </c>
      <c r="BI522" s="2194">
        <f>IF(N522="nulová",J522,0)</f>
        <v>0</v>
      </c>
      <c r="BJ522" s="2056" t="s">
        <v>134</v>
      </c>
      <c r="BK522" s="2194">
        <f>ROUND(I522*H522,2)</f>
        <v>0</v>
      </c>
      <c r="BL522" s="2056" t="s">
        <v>2894</v>
      </c>
      <c r="BM522" s="2193" t="s">
        <v>5023</v>
      </c>
    </row>
    <row r="523" spans="2:65" s="2195" customFormat="1">
      <c r="B523" s="2196"/>
      <c r="D523" s="2197" t="s">
        <v>3303</v>
      </c>
      <c r="E523" s="2198" t="s">
        <v>3146</v>
      </c>
      <c r="F523" s="2199" t="s">
        <v>5024</v>
      </c>
      <c r="H523" s="2198" t="s">
        <v>3146</v>
      </c>
      <c r="L523" s="2196"/>
      <c r="M523" s="2200"/>
      <c r="T523" s="2201"/>
      <c r="AT523" s="2198" t="s">
        <v>3303</v>
      </c>
      <c r="AU523" s="2198" t="s">
        <v>134</v>
      </c>
      <c r="AV523" s="2195" t="s">
        <v>133</v>
      </c>
      <c r="AW523" s="2195" t="s">
        <v>3171</v>
      </c>
      <c r="AX523" s="2195" t="s">
        <v>3213</v>
      </c>
      <c r="AY523" s="2198" t="s">
        <v>3285</v>
      </c>
    </row>
    <row r="524" spans="2:65" s="2209" customFormat="1">
      <c r="B524" s="2210"/>
      <c r="D524" s="2197" t="s">
        <v>3303</v>
      </c>
      <c r="E524" s="2211" t="s">
        <v>3146</v>
      </c>
      <c r="F524" s="2212" t="s">
        <v>5025</v>
      </c>
      <c r="H524" s="2213">
        <v>12</v>
      </c>
      <c r="L524" s="2210"/>
      <c r="M524" s="2214"/>
      <c r="T524" s="2215"/>
      <c r="AT524" s="2211" t="s">
        <v>3303</v>
      </c>
      <c r="AU524" s="2211" t="s">
        <v>134</v>
      </c>
      <c r="AV524" s="2209" t="s">
        <v>134</v>
      </c>
      <c r="AW524" s="2209" t="s">
        <v>3171</v>
      </c>
      <c r="AX524" s="2209" t="s">
        <v>3213</v>
      </c>
      <c r="AY524" s="2211" t="s">
        <v>3285</v>
      </c>
    </row>
    <row r="525" spans="2:65" s="2216" customFormat="1">
      <c r="B525" s="2217"/>
      <c r="D525" s="2197" t="s">
        <v>3303</v>
      </c>
      <c r="E525" s="2218" t="s">
        <v>3146</v>
      </c>
      <c r="F525" s="2219" t="s">
        <v>3306</v>
      </c>
      <c r="H525" s="2220">
        <v>12</v>
      </c>
      <c r="L525" s="2217"/>
      <c r="M525" s="2221"/>
      <c r="T525" s="2222"/>
      <c r="AT525" s="2218" t="s">
        <v>3303</v>
      </c>
      <c r="AU525" s="2218" t="s">
        <v>134</v>
      </c>
      <c r="AV525" s="2216" t="s">
        <v>856</v>
      </c>
      <c r="AW525" s="2216" t="s">
        <v>3171</v>
      </c>
      <c r="AX525" s="2216" t="s">
        <v>133</v>
      </c>
      <c r="AY525" s="2218" t="s">
        <v>3285</v>
      </c>
    </row>
    <row r="526" spans="2:65" s="2070" customFormat="1" ht="24.2" customHeight="1">
      <c r="B526" s="2164"/>
      <c r="C526" s="4608" t="s">
        <v>3797</v>
      </c>
      <c r="D526" s="4608" t="s">
        <v>3286</v>
      </c>
      <c r="E526" s="4609" t="s">
        <v>5026</v>
      </c>
      <c r="F526" s="4610" t="s">
        <v>5027</v>
      </c>
      <c r="G526" s="4611" t="s">
        <v>141</v>
      </c>
      <c r="H526" s="4612">
        <v>37</v>
      </c>
      <c r="I526" s="4613"/>
      <c r="J526" s="4613">
        <f>ROUND(I526*H526,2)</f>
        <v>0</v>
      </c>
      <c r="K526" s="4610" t="s">
        <v>142</v>
      </c>
      <c r="L526" s="2071"/>
      <c r="M526" s="2190" t="s">
        <v>3146</v>
      </c>
      <c r="N526" s="2163" t="s">
        <v>3181</v>
      </c>
      <c r="O526" s="2191">
        <v>0.30499999999999999</v>
      </c>
      <c r="P526" s="2191">
        <f>O526*H526</f>
        <v>11.285</v>
      </c>
      <c r="Q526" s="2191">
        <v>2.8700000000000002E-3</v>
      </c>
      <c r="R526" s="2191">
        <f>Q526*H526</f>
        <v>0.10619000000000001</v>
      </c>
      <c r="S526" s="2191">
        <v>0</v>
      </c>
      <c r="T526" s="2192">
        <f>S526*H526</f>
        <v>0</v>
      </c>
      <c r="AR526" s="2193" t="s">
        <v>2894</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2894</v>
      </c>
      <c r="BM526" s="2193" t="s">
        <v>5028</v>
      </c>
    </row>
    <row r="527" spans="2:65" s="2195" customFormat="1">
      <c r="B527" s="2196"/>
      <c r="D527" s="2197" t="s">
        <v>3303</v>
      </c>
      <c r="E527" s="2198" t="s">
        <v>3146</v>
      </c>
      <c r="F527" s="2199" t="s">
        <v>5029</v>
      </c>
      <c r="H527" s="2198" t="s">
        <v>3146</v>
      </c>
      <c r="L527" s="2196"/>
      <c r="M527" s="2200"/>
      <c r="T527" s="2201"/>
      <c r="AT527" s="2198" t="s">
        <v>3303</v>
      </c>
      <c r="AU527" s="2198" t="s">
        <v>134</v>
      </c>
      <c r="AV527" s="2195" t="s">
        <v>133</v>
      </c>
      <c r="AW527" s="2195" t="s">
        <v>3171</v>
      </c>
      <c r="AX527" s="2195" t="s">
        <v>3213</v>
      </c>
      <c r="AY527" s="2198" t="s">
        <v>3285</v>
      </c>
    </row>
    <row r="528" spans="2:65" s="2209" customFormat="1">
      <c r="B528" s="2210"/>
      <c r="D528" s="2197" t="s">
        <v>3303</v>
      </c>
      <c r="E528" s="2211" t="s">
        <v>3146</v>
      </c>
      <c r="F528" s="2212" t="s">
        <v>5030</v>
      </c>
      <c r="H528" s="2213">
        <v>37</v>
      </c>
      <c r="L528" s="2210"/>
      <c r="M528" s="2214"/>
      <c r="T528" s="2215"/>
      <c r="AT528" s="2211" t="s">
        <v>3303</v>
      </c>
      <c r="AU528" s="2211" t="s">
        <v>134</v>
      </c>
      <c r="AV528" s="2209" t="s">
        <v>134</v>
      </c>
      <c r="AW528" s="2209" t="s">
        <v>3171</v>
      </c>
      <c r="AX528" s="2209" t="s">
        <v>133</v>
      </c>
      <c r="AY528" s="2211" t="s">
        <v>3285</v>
      </c>
    </row>
    <row r="529" spans="2:65" s="2070" customFormat="1" ht="33" customHeight="1">
      <c r="B529" s="2164"/>
      <c r="C529" s="4608" t="s">
        <v>3798</v>
      </c>
      <c r="D529" s="4608" t="s">
        <v>3286</v>
      </c>
      <c r="E529" s="4609" t="s">
        <v>5031</v>
      </c>
      <c r="F529" s="4610" t="s">
        <v>5032</v>
      </c>
      <c r="G529" s="4611" t="s">
        <v>141</v>
      </c>
      <c r="H529" s="4612">
        <v>11</v>
      </c>
      <c r="I529" s="4613"/>
      <c r="J529" s="4613">
        <f>ROUND(I529*H529,2)</f>
        <v>0</v>
      </c>
      <c r="K529" s="4610" t="s">
        <v>142</v>
      </c>
      <c r="L529" s="2071"/>
      <c r="M529" s="2190" t="s">
        <v>3146</v>
      </c>
      <c r="N529" s="2163" t="s">
        <v>3181</v>
      </c>
      <c r="O529" s="2191">
        <v>0.84499999999999997</v>
      </c>
      <c r="P529" s="2191">
        <f>O529*H529</f>
        <v>9.2949999999999999</v>
      </c>
      <c r="Q529" s="2191">
        <v>5.8399999999999997E-3</v>
      </c>
      <c r="R529" s="2191">
        <f>Q529*H529</f>
        <v>6.4239999999999992E-2</v>
      </c>
      <c r="S529" s="2191">
        <v>0</v>
      </c>
      <c r="T529" s="2192">
        <f>S529*H529</f>
        <v>0</v>
      </c>
      <c r="AR529" s="2193" t="s">
        <v>2894</v>
      </c>
      <c r="AT529" s="2193" t="s">
        <v>3286</v>
      </c>
      <c r="AU529" s="2193" t="s">
        <v>134</v>
      </c>
      <c r="AY529" s="2056" t="s">
        <v>3285</v>
      </c>
      <c r="BE529" s="2194">
        <f>IF(N529="základní",J529,0)</f>
        <v>0</v>
      </c>
      <c r="BF529" s="2194">
        <f>IF(N529="snížená",J529,0)</f>
        <v>0</v>
      </c>
      <c r="BG529" s="2194">
        <f>IF(N529="zákl. přenesená",J529,0)</f>
        <v>0</v>
      </c>
      <c r="BH529" s="2194">
        <f>IF(N529="sníž. přenesená",J529,0)</f>
        <v>0</v>
      </c>
      <c r="BI529" s="2194">
        <f>IF(N529="nulová",J529,0)</f>
        <v>0</v>
      </c>
      <c r="BJ529" s="2056" t="s">
        <v>134</v>
      </c>
      <c r="BK529" s="2194">
        <f>ROUND(I529*H529,2)</f>
        <v>0</v>
      </c>
      <c r="BL529" s="2056" t="s">
        <v>2894</v>
      </c>
      <c r="BM529" s="2193" t="s">
        <v>5033</v>
      </c>
    </row>
    <row r="530" spans="2:65" s="2195" customFormat="1">
      <c r="B530" s="2196"/>
      <c r="D530" s="2197" t="s">
        <v>3303</v>
      </c>
      <c r="E530" s="2198" t="s">
        <v>3146</v>
      </c>
      <c r="F530" s="2199" t="s">
        <v>5034</v>
      </c>
      <c r="H530" s="2198" t="s">
        <v>3146</v>
      </c>
      <c r="L530" s="2196"/>
      <c r="M530" s="2200"/>
      <c r="T530" s="2201"/>
      <c r="AT530" s="2198" t="s">
        <v>3303</v>
      </c>
      <c r="AU530" s="2198" t="s">
        <v>134</v>
      </c>
      <c r="AV530" s="2195" t="s">
        <v>133</v>
      </c>
      <c r="AW530" s="2195" t="s">
        <v>3171</v>
      </c>
      <c r="AX530" s="2195" t="s">
        <v>3213</v>
      </c>
      <c r="AY530" s="2198" t="s">
        <v>3285</v>
      </c>
    </row>
    <row r="531" spans="2:65" s="2209" customFormat="1">
      <c r="B531" s="2210"/>
      <c r="D531" s="2197" t="s">
        <v>3303</v>
      </c>
      <c r="E531" s="2211" t="s">
        <v>3146</v>
      </c>
      <c r="F531" s="2212" t="s">
        <v>2071</v>
      </c>
      <c r="H531" s="2213">
        <v>9</v>
      </c>
      <c r="L531" s="2210"/>
      <c r="M531" s="2214"/>
      <c r="T531" s="2215"/>
      <c r="AT531" s="2211" t="s">
        <v>3303</v>
      </c>
      <c r="AU531" s="2211" t="s">
        <v>134</v>
      </c>
      <c r="AV531" s="2209" t="s">
        <v>134</v>
      </c>
      <c r="AW531" s="2209" t="s">
        <v>3171</v>
      </c>
      <c r="AX531" s="2209" t="s">
        <v>3213</v>
      </c>
      <c r="AY531" s="2211" t="s">
        <v>3285</v>
      </c>
    </row>
    <row r="532" spans="2:65" s="2195" customFormat="1">
      <c r="B532" s="2196"/>
      <c r="D532" s="2197" t="s">
        <v>3303</v>
      </c>
      <c r="E532" s="2198" t="s">
        <v>3146</v>
      </c>
      <c r="F532" s="2199" t="s">
        <v>5035</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134</v>
      </c>
      <c r="H533" s="2213">
        <v>2</v>
      </c>
      <c r="L533" s="2210"/>
      <c r="M533" s="2214"/>
      <c r="T533" s="2215"/>
      <c r="AT533" s="2211" t="s">
        <v>3303</v>
      </c>
      <c r="AU533" s="2211" t="s">
        <v>134</v>
      </c>
      <c r="AV533" s="2209" t="s">
        <v>134</v>
      </c>
      <c r="AW533" s="2209" t="s">
        <v>3171</v>
      </c>
      <c r="AX533" s="2209" t="s">
        <v>3213</v>
      </c>
      <c r="AY533" s="2211" t="s">
        <v>3285</v>
      </c>
    </row>
    <row r="534" spans="2:65" s="2216" customFormat="1">
      <c r="B534" s="2217"/>
      <c r="D534" s="2197" t="s">
        <v>3303</v>
      </c>
      <c r="E534" s="2218" t="s">
        <v>3146</v>
      </c>
      <c r="F534" s="2219" t="s">
        <v>3306</v>
      </c>
      <c r="H534" s="2220">
        <v>11</v>
      </c>
      <c r="L534" s="2217"/>
      <c r="M534" s="2221"/>
      <c r="T534" s="2222"/>
      <c r="AT534" s="2218" t="s">
        <v>3303</v>
      </c>
      <c r="AU534" s="2218" t="s">
        <v>134</v>
      </c>
      <c r="AV534" s="2216" t="s">
        <v>856</v>
      </c>
      <c r="AW534" s="2216" t="s">
        <v>3171</v>
      </c>
      <c r="AX534" s="2216" t="s">
        <v>133</v>
      </c>
      <c r="AY534" s="2218" t="s">
        <v>3285</v>
      </c>
    </row>
    <row r="535" spans="2:65" s="2070" customFormat="1" ht="33" customHeight="1">
      <c r="B535" s="2164"/>
      <c r="C535" s="4608" t="s">
        <v>3808</v>
      </c>
      <c r="D535" s="4608" t="s">
        <v>3286</v>
      </c>
      <c r="E535" s="4609" t="s">
        <v>5036</v>
      </c>
      <c r="F535" s="4610" t="s">
        <v>5037</v>
      </c>
      <c r="G535" s="4611" t="s">
        <v>611</v>
      </c>
      <c r="H535" s="4612">
        <v>231.82300000000001</v>
      </c>
      <c r="I535" s="4613"/>
      <c r="J535" s="4613">
        <f>ROUND(I535*H535,2)</f>
        <v>0</v>
      </c>
      <c r="K535" s="4610" t="s">
        <v>142</v>
      </c>
      <c r="L535" s="2071"/>
      <c r="M535" s="2190" t="s">
        <v>3146</v>
      </c>
      <c r="N535" s="2163" t="s">
        <v>3181</v>
      </c>
      <c r="O535" s="2191">
        <v>1.125</v>
      </c>
      <c r="P535" s="2191">
        <f>O535*H535</f>
        <v>260.80087500000002</v>
      </c>
      <c r="Q535" s="2191">
        <v>7.8300000000000002E-3</v>
      </c>
      <c r="R535" s="2191">
        <f>Q535*H535</f>
        <v>1.8151740900000002</v>
      </c>
      <c r="S535" s="2191">
        <v>0</v>
      </c>
      <c r="T535" s="2192">
        <f>S535*H535</f>
        <v>0</v>
      </c>
      <c r="AR535" s="2193" t="s">
        <v>2894</v>
      </c>
      <c r="AT535" s="2193" t="s">
        <v>3286</v>
      </c>
      <c r="AU535" s="2193" t="s">
        <v>134</v>
      </c>
      <c r="AY535" s="2056" t="s">
        <v>3285</v>
      </c>
      <c r="BE535" s="2194">
        <f>IF(N535="základní",J535,0)</f>
        <v>0</v>
      </c>
      <c r="BF535" s="2194">
        <f>IF(N535="snížená",J535,0)</f>
        <v>0</v>
      </c>
      <c r="BG535" s="2194">
        <f>IF(N535="zákl. přenesená",J535,0)</f>
        <v>0</v>
      </c>
      <c r="BH535" s="2194">
        <f>IF(N535="sníž. přenesená",J535,0)</f>
        <v>0</v>
      </c>
      <c r="BI535" s="2194">
        <f>IF(N535="nulová",J535,0)</f>
        <v>0</v>
      </c>
      <c r="BJ535" s="2056" t="s">
        <v>134</v>
      </c>
      <c r="BK535" s="2194">
        <f>ROUND(I535*H535,2)</f>
        <v>0</v>
      </c>
      <c r="BL535" s="2056" t="s">
        <v>2894</v>
      </c>
      <c r="BM535" s="2193" t="s">
        <v>5038</v>
      </c>
    </row>
    <row r="536" spans="2:65" s="2195" customFormat="1">
      <c r="B536" s="2196"/>
      <c r="D536" s="2197" t="s">
        <v>3303</v>
      </c>
      <c r="E536" s="2198" t="s">
        <v>3146</v>
      </c>
      <c r="F536" s="2199" t="s">
        <v>5039</v>
      </c>
      <c r="H536" s="2198" t="s">
        <v>3146</v>
      </c>
      <c r="L536" s="2196"/>
      <c r="M536" s="2200"/>
      <c r="T536" s="2201"/>
      <c r="AT536" s="2198" t="s">
        <v>3303</v>
      </c>
      <c r="AU536" s="2198" t="s">
        <v>134</v>
      </c>
      <c r="AV536" s="2195" t="s">
        <v>133</v>
      </c>
      <c r="AW536" s="2195" t="s">
        <v>3171</v>
      </c>
      <c r="AX536" s="2195" t="s">
        <v>3213</v>
      </c>
      <c r="AY536" s="2198" t="s">
        <v>3285</v>
      </c>
    </row>
    <row r="537" spans="2:65" s="2209" customFormat="1">
      <c r="B537" s="2210"/>
      <c r="D537" s="2197" t="s">
        <v>3303</v>
      </c>
      <c r="E537" s="2211" t="s">
        <v>3146</v>
      </c>
      <c r="F537" s="2212" t="s">
        <v>5040</v>
      </c>
      <c r="H537" s="2213">
        <v>174.32900000000001</v>
      </c>
      <c r="L537" s="2210"/>
      <c r="M537" s="2214"/>
      <c r="T537" s="2215"/>
      <c r="AT537" s="2211" t="s">
        <v>3303</v>
      </c>
      <c r="AU537" s="2211" t="s">
        <v>134</v>
      </c>
      <c r="AV537" s="2209" t="s">
        <v>134</v>
      </c>
      <c r="AW537" s="2209" t="s">
        <v>3171</v>
      </c>
      <c r="AX537" s="2209" t="s">
        <v>3213</v>
      </c>
      <c r="AY537" s="2211" t="s">
        <v>3285</v>
      </c>
    </row>
    <row r="538" spans="2:65" s="2209" customFormat="1">
      <c r="B538" s="2210"/>
      <c r="D538" s="2197" t="s">
        <v>3303</v>
      </c>
      <c r="E538" s="2211" t="s">
        <v>3146</v>
      </c>
      <c r="F538" s="2212" t="s">
        <v>5041</v>
      </c>
      <c r="H538" s="2213">
        <v>13.247999999999999</v>
      </c>
      <c r="L538" s="2210"/>
      <c r="M538" s="2214"/>
      <c r="T538" s="2215"/>
      <c r="AT538" s="2211" t="s">
        <v>3303</v>
      </c>
      <c r="AU538" s="2211" t="s">
        <v>134</v>
      </c>
      <c r="AV538" s="2209" t="s">
        <v>134</v>
      </c>
      <c r="AW538" s="2209" t="s">
        <v>3171</v>
      </c>
      <c r="AX538" s="2209" t="s">
        <v>3213</v>
      </c>
      <c r="AY538" s="2211" t="s">
        <v>3285</v>
      </c>
    </row>
    <row r="539" spans="2:65" s="2195" customFormat="1">
      <c r="B539" s="2196"/>
      <c r="D539" s="2197" t="s">
        <v>3303</v>
      </c>
      <c r="E539" s="2198" t="s">
        <v>3146</v>
      </c>
      <c r="F539" s="2199" t="s">
        <v>5042</v>
      </c>
      <c r="H539" s="2198" t="s">
        <v>3146</v>
      </c>
      <c r="L539" s="2196"/>
      <c r="M539" s="2200"/>
      <c r="T539" s="2201"/>
      <c r="AT539" s="2198" t="s">
        <v>3303</v>
      </c>
      <c r="AU539" s="2198" t="s">
        <v>134</v>
      </c>
      <c r="AV539" s="2195" t="s">
        <v>133</v>
      </c>
      <c r="AW539" s="2195" t="s">
        <v>3171</v>
      </c>
      <c r="AX539" s="2195" t="s">
        <v>3213</v>
      </c>
      <c r="AY539" s="2198" t="s">
        <v>3285</v>
      </c>
    </row>
    <row r="540" spans="2:65" s="2209" customFormat="1">
      <c r="B540" s="2210"/>
      <c r="D540" s="2197" t="s">
        <v>3303</v>
      </c>
      <c r="E540" s="2211" t="s">
        <v>3146</v>
      </c>
      <c r="F540" s="2212" t="s">
        <v>5043</v>
      </c>
      <c r="H540" s="2213">
        <v>7.59</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5044</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5045</v>
      </c>
      <c r="H542" s="2213">
        <v>36.655999999999999</v>
      </c>
      <c r="L542" s="2210"/>
      <c r="M542" s="2214"/>
      <c r="T542" s="2215"/>
      <c r="AT542" s="2211" t="s">
        <v>3303</v>
      </c>
      <c r="AU542" s="2211" t="s">
        <v>134</v>
      </c>
      <c r="AV542" s="2209" t="s">
        <v>134</v>
      </c>
      <c r="AW542" s="2209" t="s">
        <v>3171</v>
      </c>
      <c r="AX542" s="2209" t="s">
        <v>3213</v>
      </c>
      <c r="AY542" s="2211" t="s">
        <v>3285</v>
      </c>
    </row>
    <row r="543" spans="2:65" s="2216" customFormat="1">
      <c r="B543" s="2217"/>
      <c r="D543" s="2197" t="s">
        <v>3303</v>
      </c>
      <c r="E543" s="2218" t="s">
        <v>3146</v>
      </c>
      <c r="F543" s="2219" t="s">
        <v>3306</v>
      </c>
      <c r="H543" s="2220">
        <v>231.82300000000001</v>
      </c>
      <c r="L543" s="2217"/>
      <c r="M543" s="2221"/>
      <c r="T543" s="2222"/>
      <c r="AT543" s="2218" t="s">
        <v>3303</v>
      </c>
      <c r="AU543" s="2218" t="s">
        <v>134</v>
      </c>
      <c r="AV543" s="2216" t="s">
        <v>856</v>
      </c>
      <c r="AW543" s="2216" t="s">
        <v>3171</v>
      </c>
      <c r="AX543" s="2216" t="s">
        <v>133</v>
      </c>
      <c r="AY543" s="2218" t="s">
        <v>3285</v>
      </c>
    </row>
    <row r="544" spans="2:65" s="2070" customFormat="1" ht="24.2" customHeight="1">
      <c r="B544" s="2164"/>
      <c r="C544" s="4608" t="s">
        <v>3813</v>
      </c>
      <c r="D544" s="4608" t="s">
        <v>3286</v>
      </c>
      <c r="E544" s="4609" t="s">
        <v>5046</v>
      </c>
      <c r="F544" s="4610" t="s">
        <v>5047</v>
      </c>
      <c r="G544" s="4611" t="s">
        <v>141</v>
      </c>
      <c r="H544" s="4612">
        <v>193.92</v>
      </c>
      <c r="I544" s="4613"/>
      <c r="J544" s="4613">
        <f>ROUND(I544*H544,2)</f>
        <v>0</v>
      </c>
      <c r="K544" s="4610" t="s">
        <v>142</v>
      </c>
      <c r="L544" s="2071"/>
      <c r="M544" s="2190" t="s">
        <v>3146</v>
      </c>
      <c r="N544" s="2163" t="s">
        <v>3181</v>
      </c>
      <c r="O544" s="2191">
        <v>0.33100000000000002</v>
      </c>
      <c r="P544" s="2191">
        <f>O544*H544</f>
        <v>64.187519999999992</v>
      </c>
      <c r="Q544" s="2191">
        <v>1.98E-3</v>
      </c>
      <c r="R544" s="2191">
        <f>Q544*H544</f>
        <v>0.38396159999999996</v>
      </c>
      <c r="S544" s="2191">
        <v>0</v>
      </c>
      <c r="T544" s="2192">
        <f>S544*H544</f>
        <v>0</v>
      </c>
      <c r="AR544" s="2193" t="s">
        <v>2894</v>
      </c>
      <c r="AT544" s="2193" t="s">
        <v>3286</v>
      </c>
      <c r="AU544" s="2193" t="s">
        <v>134</v>
      </c>
      <c r="AY544" s="2056" t="s">
        <v>3285</v>
      </c>
      <c r="BE544" s="2194">
        <f>IF(N544="základní",J544,0)</f>
        <v>0</v>
      </c>
      <c r="BF544" s="2194">
        <f>IF(N544="snížená",J544,0)</f>
        <v>0</v>
      </c>
      <c r="BG544" s="2194">
        <f>IF(N544="zákl. přenesená",J544,0)</f>
        <v>0</v>
      </c>
      <c r="BH544" s="2194">
        <f>IF(N544="sníž. přenesená",J544,0)</f>
        <v>0</v>
      </c>
      <c r="BI544" s="2194">
        <f>IF(N544="nulová",J544,0)</f>
        <v>0</v>
      </c>
      <c r="BJ544" s="2056" t="s">
        <v>134</v>
      </c>
      <c r="BK544" s="2194">
        <f>ROUND(I544*H544,2)</f>
        <v>0</v>
      </c>
      <c r="BL544" s="2056" t="s">
        <v>2894</v>
      </c>
      <c r="BM544" s="2193" t="s">
        <v>5048</v>
      </c>
    </row>
    <row r="545" spans="2:65" s="2195" customFormat="1">
      <c r="B545" s="2196"/>
      <c r="D545" s="2197" t="s">
        <v>3303</v>
      </c>
      <c r="E545" s="2198" t="s">
        <v>3146</v>
      </c>
      <c r="F545" s="2199" t="s">
        <v>5049</v>
      </c>
      <c r="H545" s="2198" t="s">
        <v>3146</v>
      </c>
      <c r="L545" s="2196"/>
      <c r="M545" s="2200"/>
      <c r="T545" s="2201"/>
      <c r="AT545" s="2198" t="s">
        <v>3303</v>
      </c>
      <c r="AU545" s="2198" t="s">
        <v>134</v>
      </c>
      <c r="AV545" s="2195" t="s">
        <v>133</v>
      </c>
      <c r="AW545" s="2195" t="s">
        <v>3171</v>
      </c>
      <c r="AX545" s="2195" t="s">
        <v>3213</v>
      </c>
      <c r="AY545" s="2198" t="s">
        <v>3285</v>
      </c>
    </row>
    <row r="546" spans="2:65" s="2209" customFormat="1">
      <c r="B546" s="2210"/>
      <c r="D546" s="2197" t="s">
        <v>3303</v>
      </c>
      <c r="E546" s="2211" t="s">
        <v>3146</v>
      </c>
      <c r="F546" s="2212" t="s">
        <v>5050</v>
      </c>
      <c r="H546" s="2213">
        <v>6</v>
      </c>
      <c r="L546" s="2210"/>
      <c r="M546" s="2214"/>
      <c r="T546" s="2215"/>
      <c r="AT546" s="2211" t="s">
        <v>3303</v>
      </c>
      <c r="AU546" s="2211" t="s">
        <v>134</v>
      </c>
      <c r="AV546" s="2209" t="s">
        <v>134</v>
      </c>
      <c r="AW546" s="2209" t="s">
        <v>3171</v>
      </c>
      <c r="AX546" s="2209" t="s">
        <v>3213</v>
      </c>
      <c r="AY546" s="2211" t="s">
        <v>3285</v>
      </c>
    </row>
    <row r="547" spans="2:65" s="2195" customFormat="1">
      <c r="B547" s="2196"/>
      <c r="D547" s="2197" t="s">
        <v>3303</v>
      </c>
      <c r="E547" s="2198" t="s">
        <v>3146</v>
      </c>
      <c r="F547" s="2199" t="s">
        <v>5051</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5052</v>
      </c>
      <c r="H548" s="2213">
        <v>4.8</v>
      </c>
      <c r="L548" s="2210"/>
      <c r="M548" s="2214"/>
      <c r="T548" s="2215"/>
      <c r="AT548" s="2211" t="s">
        <v>3303</v>
      </c>
      <c r="AU548" s="2211" t="s">
        <v>134</v>
      </c>
      <c r="AV548" s="2209" t="s">
        <v>134</v>
      </c>
      <c r="AW548" s="2209" t="s">
        <v>3171</v>
      </c>
      <c r="AX548" s="2209" t="s">
        <v>3213</v>
      </c>
      <c r="AY548" s="2211" t="s">
        <v>3285</v>
      </c>
    </row>
    <row r="549" spans="2:65" s="2195" customFormat="1">
      <c r="B549" s="2196"/>
      <c r="D549" s="2197" t="s">
        <v>3303</v>
      </c>
      <c r="E549" s="2198" t="s">
        <v>3146</v>
      </c>
      <c r="F549" s="2199" t="s">
        <v>5053</v>
      </c>
      <c r="H549" s="2198" t="s">
        <v>3146</v>
      </c>
      <c r="L549" s="2196"/>
      <c r="M549" s="2200"/>
      <c r="T549" s="2201"/>
      <c r="AT549" s="2198" t="s">
        <v>3303</v>
      </c>
      <c r="AU549" s="2198" t="s">
        <v>134</v>
      </c>
      <c r="AV549" s="2195" t="s">
        <v>133</v>
      </c>
      <c r="AW549" s="2195" t="s">
        <v>3171</v>
      </c>
      <c r="AX549" s="2195" t="s">
        <v>3213</v>
      </c>
      <c r="AY549" s="2198" t="s">
        <v>3285</v>
      </c>
    </row>
    <row r="550" spans="2:65" s="2209" customFormat="1" ht="22.5">
      <c r="B550" s="2210"/>
      <c r="D550" s="2197" t="s">
        <v>3303</v>
      </c>
      <c r="E550" s="2211" t="s">
        <v>3146</v>
      </c>
      <c r="F550" s="2212" t="s">
        <v>5054</v>
      </c>
      <c r="H550" s="2213">
        <v>183.12</v>
      </c>
      <c r="L550" s="2210"/>
      <c r="M550" s="2214"/>
      <c r="T550" s="2215"/>
      <c r="AT550" s="2211" t="s">
        <v>3303</v>
      </c>
      <c r="AU550" s="2211" t="s">
        <v>134</v>
      </c>
      <c r="AV550" s="2209" t="s">
        <v>134</v>
      </c>
      <c r="AW550" s="2209" t="s">
        <v>3171</v>
      </c>
      <c r="AX550" s="2209" t="s">
        <v>3213</v>
      </c>
      <c r="AY550" s="2211" t="s">
        <v>3285</v>
      </c>
    </row>
    <row r="551" spans="2:65" s="2216" customFormat="1">
      <c r="B551" s="2217"/>
      <c r="D551" s="2197" t="s">
        <v>3303</v>
      </c>
      <c r="E551" s="2218" t="s">
        <v>3146</v>
      </c>
      <c r="F551" s="2219" t="s">
        <v>3306</v>
      </c>
      <c r="H551" s="2220">
        <v>193.92</v>
      </c>
      <c r="L551" s="2217"/>
      <c r="M551" s="2221"/>
      <c r="T551" s="2222"/>
      <c r="AT551" s="2218" t="s">
        <v>3303</v>
      </c>
      <c r="AU551" s="2218" t="s">
        <v>134</v>
      </c>
      <c r="AV551" s="2216" t="s">
        <v>856</v>
      </c>
      <c r="AW551" s="2216" t="s">
        <v>3171</v>
      </c>
      <c r="AX551" s="2216" t="s">
        <v>133</v>
      </c>
      <c r="AY551" s="2218" t="s">
        <v>3285</v>
      </c>
    </row>
    <row r="552" spans="2:65" s="2070" customFormat="1" ht="24.2" customHeight="1">
      <c r="B552" s="2164"/>
      <c r="C552" s="4608" t="s">
        <v>3819</v>
      </c>
      <c r="D552" s="4608" t="s">
        <v>3286</v>
      </c>
      <c r="E552" s="4609" t="s">
        <v>11131</v>
      </c>
      <c r="F552" s="4610" t="s">
        <v>11132</v>
      </c>
      <c r="G552" s="4611" t="s">
        <v>302</v>
      </c>
      <c r="H552" s="4612">
        <v>3.6869999999999998</v>
      </c>
      <c r="I552" s="4613"/>
      <c r="J552" s="4613">
        <f>ROUND(I552*H552,2)</f>
        <v>0</v>
      </c>
      <c r="K552" s="4610" t="s">
        <v>142</v>
      </c>
      <c r="L552" s="2071"/>
      <c r="M552" s="2190" t="s">
        <v>3146</v>
      </c>
      <c r="N552" s="2163" t="s">
        <v>3181</v>
      </c>
      <c r="O552" s="2191">
        <v>4.9470000000000001</v>
      </c>
      <c r="P552" s="2191">
        <f>O552*H552</f>
        <v>18.239588999999999</v>
      </c>
      <c r="Q552" s="2191">
        <v>0</v>
      </c>
      <c r="R552" s="2191">
        <f>Q552*H552</f>
        <v>0</v>
      </c>
      <c r="S552" s="2191">
        <v>0</v>
      </c>
      <c r="T552" s="2192">
        <f>S552*H552</f>
        <v>0</v>
      </c>
      <c r="AR552" s="2193" t="s">
        <v>2894</v>
      </c>
      <c r="AT552" s="2193" t="s">
        <v>3286</v>
      </c>
      <c r="AU552" s="2193" t="s">
        <v>134</v>
      </c>
      <c r="AY552" s="2056" t="s">
        <v>3285</v>
      </c>
      <c r="BE552" s="2194">
        <f>IF(N552="základní",J552,0)</f>
        <v>0</v>
      </c>
      <c r="BF552" s="2194">
        <f>IF(N552="snížená",J552,0)</f>
        <v>0</v>
      </c>
      <c r="BG552" s="2194">
        <f>IF(N552="zákl. přenesená",J552,0)</f>
        <v>0</v>
      </c>
      <c r="BH552" s="2194">
        <f>IF(N552="sníž. přenesená",J552,0)</f>
        <v>0</v>
      </c>
      <c r="BI552" s="2194">
        <f>IF(N552="nulová",J552,0)</f>
        <v>0</v>
      </c>
      <c r="BJ552" s="2056" t="s">
        <v>134</v>
      </c>
      <c r="BK552" s="2194">
        <f>ROUND(I552*H552,2)</f>
        <v>0</v>
      </c>
      <c r="BL552" s="2056" t="s">
        <v>2894</v>
      </c>
      <c r="BM552" s="2193" t="s">
        <v>11133</v>
      </c>
    </row>
    <row r="553" spans="2:65" s="2070" customFormat="1" ht="24.2" customHeight="1">
      <c r="B553" s="2164"/>
      <c r="C553" s="4608" t="s">
        <v>3823</v>
      </c>
      <c r="D553" s="4608" t="s">
        <v>3286</v>
      </c>
      <c r="E553" s="4609" t="s">
        <v>11134</v>
      </c>
      <c r="F553" s="4610" t="s">
        <v>11135</v>
      </c>
      <c r="G553" s="4611" t="s">
        <v>302</v>
      </c>
      <c r="H553" s="4612">
        <v>3.6869999999999998</v>
      </c>
      <c r="I553" s="4613"/>
      <c r="J553" s="4613">
        <f>ROUND(I553*H553,2)</f>
        <v>0</v>
      </c>
      <c r="K553" s="4610" t="s">
        <v>142</v>
      </c>
      <c r="L553" s="2071"/>
      <c r="M553" s="2190" t="s">
        <v>3146</v>
      </c>
      <c r="N553" s="2163" t="s">
        <v>3181</v>
      </c>
      <c r="O553" s="2191">
        <v>2.75</v>
      </c>
      <c r="P553" s="2191">
        <f>O553*H553</f>
        <v>10.139249999999999</v>
      </c>
      <c r="Q553" s="2191">
        <v>0</v>
      </c>
      <c r="R553" s="2191">
        <f>Q553*H553</f>
        <v>0</v>
      </c>
      <c r="S553" s="2191">
        <v>0</v>
      </c>
      <c r="T553" s="2192">
        <f>S553*H553</f>
        <v>0</v>
      </c>
      <c r="AR553" s="2193" t="s">
        <v>2894</v>
      </c>
      <c r="AT553" s="2193" t="s">
        <v>3286</v>
      </c>
      <c r="AU553" s="2193" t="s">
        <v>134</v>
      </c>
      <c r="AY553" s="2056" t="s">
        <v>3285</v>
      </c>
      <c r="BE553" s="2194">
        <f>IF(N553="základní",J553,0)</f>
        <v>0</v>
      </c>
      <c r="BF553" s="2194">
        <f>IF(N553="snížená",J553,0)</f>
        <v>0</v>
      </c>
      <c r="BG553" s="2194">
        <f>IF(N553="zákl. přenesená",J553,0)</f>
        <v>0</v>
      </c>
      <c r="BH553" s="2194">
        <f>IF(N553="sníž. přenesená",J553,0)</f>
        <v>0</v>
      </c>
      <c r="BI553" s="2194">
        <f>IF(N553="nulová",J553,0)</f>
        <v>0</v>
      </c>
      <c r="BJ553" s="2056" t="s">
        <v>134</v>
      </c>
      <c r="BK553" s="2194">
        <f>ROUND(I553*H553,2)</f>
        <v>0</v>
      </c>
      <c r="BL553" s="2056" t="s">
        <v>2894</v>
      </c>
      <c r="BM553" s="2193" t="s">
        <v>11136</v>
      </c>
    </row>
    <row r="554" spans="2:65" s="2178" customFormat="1" ht="22.9" customHeight="1">
      <c r="B554" s="2179"/>
      <c r="D554" s="2180" t="s">
        <v>3212</v>
      </c>
      <c r="E554" s="2188" t="s">
        <v>4391</v>
      </c>
      <c r="F554" s="2188" t="s">
        <v>4392</v>
      </c>
      <c r="J554" s="2189">
        <f>BK554</f>
        <v>0</v>
      </c>
      <c r="L554" s="2179"/>
      <c r="M554" s="2183"/>
      <c r="P554" s="2184">
        <f>SUM(P555:P576)</f>
        <v>13.124834999999999</v>
      </c>
      <c r="R554" s="2184">
        <f>SUM(R555:R576)</f>
        <v>0.102802</v>
      </c>
      <c r="T554" s="2185">
        <f>SUM(T555:T576)</f>
        <v>0</v>
      </c>
      <c r="AR554" s="2180" t="s">
        <v>134</v>
      </c>
      <c r="AT554" s="2186" t="s">
        <v>3212</v>
      </c>
      <c r="AU554" s="2186" t="s">
        <v>133</v>
      </c>
      <c r="AY554" s="2180" t="s">
        <v>3285</v>
      </c>
      <c r="BK554" s="2187">
        <f>SUM(BK555:BK576)</f>
        <v>0</v>
      </c>
    </row>
    <row r="555" spans="2:65" s="2070" customFormat="1" ht="24.2" customHeight="1">
      <c r="B555" s="2164"/>
      <c r="C555" s="4608" t="s">
        <v>3827</v>
      </c>
      <c r="D555" s="4608" t="s">
        <v>3286</v>
      </c>
      <c r="E555" s="4609" t="s">
        <v>5055</v>
      </c>
      <c r="F555" s="4610" t="s">
        <v>5056</v>
      </c>
      <c r="G555" s="4611" t="s">
        <v>141</v>
      </c>
      <c r="H555" s="4612">
        <v>38.1</v>
      </c>
      <c r="I555" s="4613"/>
      <c r="J555" s="4613">
        <f>ROUND(I555*H555,2)</f>
        <v>0</v>
      </c>
      <c r="K555" s="4610" t="s">
        <v>142</v>
      </c>
      <c r="L555" s="2071"/>
      <c r="M555" s="2190" t="s">
        <v>3146</v>
      </c>
      <c r="N555" s="2163" t="s">
        <v>3181</v>
      </c>
      <c r="O555" s="2191">
        <v>0.17</v>
      </c>
      <c r="P555" s="2191">
        <f>O555*H555</f>
        <v>6.4770000000000003</v>
      </c>
      <c r="Q555" s="2191">
        <v>3.4000000000000002E-4</v>
      </c>
      <c r="R555" s="2191">
        <f>Q555*H555</f>
        <v>1.2954000000000002E-2</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5057</v>
      </c>
    </row>
    <row r="556" spans="2:65" s="2195" customFormat="1">
      <c r="B556" s="2196"/>
      <c r="D556" s="2197" t="s">
        <v>3303</v>
      </c>
      <c r="E556" s="2198" t="s">
        <v>3146</v>
      </c>
      <c r="F556" s="2199" t="s">
        <v>5058</v>
      </c>
      <c r="H556" s="2198" t="s">
        <v>3146</v>
      </c>
      <c r="L556" s="2196"/>
      <c r="M556" s="2200"/>
      <c r="T556" s="2201"/>
      <c r="AT556" s="2198" t="s">
        <v>3303</v>
      </c>
      <c r="AU556" s="2198" t="s">
        <v>134</v>
      </c>
      <c r="AV556" s="2195" t="s">
        <v>133</v>
      </c>
      <c r="AW556" s="2195" t="s">
        <v>3171</v>
      </c>
      <c r="AX556" s="2195" t="s">
        <v>3213</v>
      </c>
      <c r="AY556" s="2198" t="s">
        <v>3285</v>
      </c>
    </row>
    <row r="557" spans="2:65" s="2209" customFormat="1">
      <c r="B557" s="2210"/>
      <c r="D557" s="2197" t="s">
        <v>3303</v>
      </c>
      <c r="E557" s="2211" t="s">
        <v>3146</v>
      </c>
      <c r="F557" s="2212" t="s">
        <v>5059</v>
      </c>
      <c r="H557" s="2213">
        <v>36.9</v>
      </c>
      <c r="L557" s="2210"/>
      <c r="M557" s="2214"/>
      <c r="T557" s="2215"/>
      <c r="AT557" s="2211" t="s">
        <v>3303</v>
      </c>
      <c r="AU557" s="2211" t="s">
        <v>134</v>
      </c>
      <c r="AV557" s="2209" t="s">
        <v>134</v>
      </c>
      <c r="AW557" s="2209" t="s">
        <v>3171</v>
      </c>
      <c r="AX557" s="2209" t="s">
        <v>3213</v>
      </c>
      <c r="AY557" s="2211" t="s">
        <v>3285</v>
      </c>
    </row>
    <row r="558" spans="2:65" s="2195" customFormat="1">
      <c r="B558" s="2196"/>
      <c r="D558" s="2197" t="s">
        <v>3303</v>
      </c>
      <c r="E558" s="2198" t="s">
        <v>3146</v>
      </c>
      <c r="F558" s="2199" t="s">
        <v>5060</v>
      </c>
      <c r="H558" s="2198" t="s">
        <v>3146</v>
      </c>
      <c r="L558" s="2196"/>
      <c r="M558" s="2200"/>
      <c r="T558" s="2201"/>
      <c r="AT558" s="2198" t="s">
        <v>3303</v>
      </c>
      <c r="AU558" s="2198" t="s">
        <v>134</v>
      </c>
      <c r="AV558" s="2195" t="s">
        <v>133</v>
      </c>
      <c r="AW558" s="2195" t="s">
        <v>3171</v>
      </c>
      <c r="AX558" s="2195" t="s">
        <v>3213</v>
      </c>
      <c r="AY558" s="2198" t="s">
        <v>3285</v>
      </c>
    </row>
    <row r="559" spans="2:65" s="2209" customFormat="1">
      <c r="B559" s="2210"/>
      <c r="D559" s="2197" t="s">
        <v>3303</v>
      </c>
      <c r="E559" s="2211" t="s">
        <v>3146</v>
      </c>
      <c r="F559" s="2212" t="s">
        <v>5061</v>
      </c>
      <c r="H559" s="2213">
        <v>1.2</v>
      </c>
      <c r="L559" s="2210"/>
      <c r="M559" s="2214"/>
      <c r="T559" s="2215"/>
      <c r="AT559" s="2211" t="s">
        <v>3303</v>
      </c>
      <c r="AU559" s="2211" t="s">
        <v>134</v>
      </c>
      <c r="AV559" s="2209" t="s">
        <v>134</v>
      </c>
      <c r="AW559" s="2209" t="s">
        <v>3171</v>
      </c>
      <c r="AX559" s="2209" t="s">
        <v>3213</v>
      </c>
      <c r="AY559" s="2211" t="s">
        <v>3285</v>
      </c>
    </row>
    <row r="560" spans="2:65" s="2216" customFormat="1">
      <c r="B560" s="2217"/>
      <c r="D560" s="2197" t="s">
        <v>3303</v>
      </c>
      <c r="E560" s="2218" t="s">
        <v>3146</v>
      </c>
      <c r="F560" s="2219" t="s">
        <v>3306</v>
      </c>
      <c r="H560" s="2220">
        <v>38.1</v>
      </c>
      <c r="L560" s="2217"/>
      <c r="M560" s="2221"/>
      <c r="T560" s="2222"/>
      <c r="AT560" s="2218" t="s">
        <v>3303</v>
      </c>
      <c r="AU560" s="2218" t="s">
        <v>134</v>
      </c>
      <c r="AV560" s="2216" t="s">
        <v>856</v>
      </c>
      <c r="AW560" s="2216" t="s">
        <v>3171</v>
      </c>
      <c r="AX560" s="2216" t="s">
        <v>133</v>
      </c>
      <c r="AY560" s="2218" t="s">
        <v>3285</v>
      </c>
    </row>
    <row r="561" spans="2:65" s="2070" customFormat="1" ht="24.2" customHeight="1">
      <c r="B561" s="2164"/>
      <c r="C561" s="4614" t="s">
        <v>3832</v>
      </c>
      <c r="D561" s="4614" t="s">
        <v>135</v>
      </c>
      <c r="E561" s="4615" t="s">
        <v>5062</v>
      </c>
      <c r="F561" s="4616" t="s">
        <v>5063</v>
      </c>
      <c r="G561" s="4617" t="s">
        <v>141</v>
      </c>
      <c r="H561" s="4618">
        <v>45.72</v>
      </c>
      <c r="I561" s="4619"/>
      <c r="J561" s="4619">
        <f>ROUND(I561*H561,2)</f>
        <v>0</v>
      </c>
      <c r="K561" s="4616" t="s">
        <v>3146</v>
      </c>
      <c r="L561" s="2223"/>
      <c r="M561" s="2224" t="s">
        <v>3146</v>
      </c>
      <c r="N561" s="2225" t="s">
        <v>3181</v>
      </c>
      <c r="O561" s="2191">
        <v>0</v>
      </c>
      <c r="P561" s="2191">
        <f>O561*H561</f>
        <v>0</v>
      </c>
      <c r="Q561" s="2191">
        <v>4.0000000000000002E-4</v>
      </c>
      <c r="R561" s="2191">
        <f>Q561*H561</f>
        <v>1.8287999999999999E-2</v>
      </c>
      <c r="S561" s="2191">
        <v>0</v>
      </c>
      <c r="T561" s="2192">
        <f>S561*H561</f>
        <v>0</v>
      </c>
      <c r="AR561" s="2193" t="s">
        <v>3389</v>
      </c>
      <c r="AT561" s="2193" t="s">
        <v>135</v>
      </c>
      <c r="AU561" s="2193" t="s">
        <v>134</v>
      </c>
      <c r="AY561" s="2056" t="s">
        <v>3285</v>
      </c>
      <c r="BE561" s="2194">
        <f>IF(N561="základní",J561,0)</f>
        <v>0</v>
      </c>
      <c r="BF561" s="2194">
        <f>IF(N561="snížená",J561,0)</f>
        <v>0</v>
      </c>
      <c r="BG561" s="2194">
        <f>IF(N561="zákl. přenesená",J561,0)</f>
        <v>0</v>
      </c>
      <c r="BH561" s="2194">
        <f>IF(N561="sníž. přenesená",J561,0)</f>
        <v>0</v>
      </c>
      <c r="BI561" s="2194">
        <f>IF(N561="nulová",J561,0)</f>
        <v>0</v>
      </c>
      <c r="BJ561" s="2056" t="s">
        <v>134</v>
      </c>
      <c r="BK561" s="2194">
        <f>ROUND(I561*H561,2)</f>
        <v>0</v>
      </c>
      <c r="BL561" s="2056" t="s">
        <v>2894</v>
      </c>
      <c r="BM561" s="2193" t="s">
        <v>5064</v>
      </c>
    </row>
    <row r="562" spans="2:65" s="2195" customFormat="1">
      <c r="B562" s="2196"/>
      <c r="D562" s="2197" t="s">
        <v>3303</v>
      </c>
      <c r="E562" s="2198" t="s">
        <v>3146</v>
      </c>
      <c r="F562" s="2199" t="s">
        <v>5058</v>
      </c>
      <c r="H562" s="2198" t="s">
        <v>3146</v>
      </c>
      <c r="L562" s="2196"/>
      <c r="M562" s="2200"/>
      <c r="T562" s="2201"/>
      <c r="AT562" s="2198" t="s">
        <v>3303</v>
      </c>
      <c r="AU562" s="2198" t="s">
        <v>134</v>
      </c>
      <c r="AV562" s="2195" t="s">
        <v>133</v>
      </c>
      <c r="AW562" s="2195" t="s">
        <v>3171</v>
      </c>
      <c r="AX562" s="2195" t="s">
        <v>3213</v>
      </c>
      <c r="AY562" s="2198" t="s">
        <v>3285</v>
      </c>
    </row>
    <row r="563" spans="2:65" s="2209" customFormat="1">
      <c r="B563" s="2210"/>
      <c r="D563" s="2197" t="s">
        <v>3303</v>
      </c>
      <c r="E563" s="2211" t="s">
        <v>3146</v>
      </c>
      <c r="F563" s="2212" t="s">
        <v>5059</v>
      </c>
      <c r="H563" s="2213">
        <v>36.9</v>
      </c>
      <c r="L563" s="2210"/>
      <c r="M563" s="2214"/>
      <c r="T563" s="2215"/>
      <c r="AT563" s="2211" t="s">
        <v>3303</v>
      </c>
      <c r="AU563" s="2211" t="s">
        <v>134</v>
      </c>
      <c r="AV563" s="2209" t="s">
        <v>134</v>
      </c>
      <c r="AW563" s="2209" t="s">
        <v>3171</v>
      </c>
      <c r="AX563" s="2209" t="s">
        <v>3213</v>
      </c>
      <c r="AY563" s="2211" t="s">
        <v>3285</v>
      </c>
    </row>
    <row r="564" spans="2:65" s="2195" customFormat="1">
      <c r="B564" s="2196"/>
      <c r="D564" s="2197" t="s">
        <v>3303</v>
      </c>
      <c r="E564" s="2198" t="s">
        <v>3146</v>
      </c>
      <c r="F564" s="2199" t="s">
        <v>5060</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5061</v>
      </c>
      <c r="H565" s="2213">
        <v>1.2</v>
      </c>
      <c r="L565" s="2210"/>
      <c r="M565" s="2214"/>
      <c r="T565" s="2215"/>
      <c r="AT565" s="2211" t="s">
        <v>3303</v>
      </c>
      <c r="AU565" s="2211" t="s">
        <v>134</v>
      </c>
      <c r="AV565" s="2209" t="s">
        <v>134</v>
      </c>
      <c r="AW565" s="2209" t="s">
        <v>3171</v>
      </c>
      <c r="AX565" s="2209" t="s">
        <v>3213</v>
      </c>
      <c r="AY565" s="2211" t="s">
        <v>3285</v>
      </c>
    </row>
    <row r="566" spans="2:65" s="2216" customFormat="1">
      <c r="B566" s="2217"/>
      <c r="D566" s="2197" t="s">
        <v>3303</v>
      </c>
      <c r="E566" s="2218" t="s">
        <v>3146</v>
      </c>
      <c r="F566" s="2219" t="s">
        <v>3306</v>
      </c>
      <c r="H566" s="2220">
        <v>38.1</v>
      </c>
      <c r="L566" s="2217"/>
      <c r="M566" s="2221"/>
      <c r="T566" s="2222"/>
      <c r="AT566" s="2218" t="s">
        <v>3303</v>
      </c>
      <c r="AU566" s="2218" t="s">
        <v>134</v>
      </c>
      <c r="AV566" s="2216" t="s">
        <v>856</v>
      </c>
      <c r="AW566" s="2216" t="s">
        <v>3171</v>
      </c>
      <c r="AX566" s="2216" t="s">
        <v>133</v>
      </c>
      <c r="AY566" s="2218" t="s">
        <v>3285</v>
      </c>
    </row>
    <row r="567" spans="2:65" s="2209" customFormat="1">
      <c r="B567" s="2210"/>
      <c r="D567" s="2197" t="s">
        <v>3303</v>
      </c>
      <c r="F567" s="2212" t="s">
        <v>5065</v>
      </c>
      <c r="H567" s="2213">
        <v>45.72</v>
      </c>
      <c r="L567" s="2210"/>
      <c r="M567" s="2214"/>
      <c r="T567" s="2215"/>
      <c r="AT567" s="2211" t="s">
        <v>3303</v>
      </c>
      <c r="AU567" s="2211" t="s">
        <v>134</v>
      </c>
      <c r="AV567" s="2209" t="s">
        <v>134</v>
      </c>
      <c r="AW567" s="2209" t="s">
        <v>3148</v>
      </c>
      <c r="AX567" s="2209" t="s">
        <v>133</v>
      </c>
      <c r="AY567" s="2211" t="s">
        <v>3285</v>
      </c>
    </row>
    <row r="568" spans="2:65" s="2070" customFormat="1" ht="24.2" customHeight="1">
      <c r="B568" s="2164"/>
      <c r="C568" s="4608" t="s">
        <v>3837</v>
      </c>
      <c r="D568" s="4608" t="s">
        <v>3286</v>
      </c>
      <c r="E568" s="4609" t="s">
        <v>5066</v>
      </c>
      <c r="F568" s="4610" t="s">
        <v>5067</v>
      </c>
      <c r="G568" s="4611" t="s">
        <v>141</v>
      </c>
      <c r="H568" s="4612">
        <v>26</v>
      </c>
      <c r="I568" s="4613"/>
      <c r="J568" s="4613">
        <f>ROUND(I568*H568,2)</f>
        <v>0</v>
      </c>
      <c r="K568" s="4610" t="s">
        <v>142</v>
      </c>
      <c r="L568" s="2071"/>
      <c r="M568" s="2190" t="s">
        <v>3146</v>
      </c>
      <c r="N568" s="2163" t="s">
        <v>3181</v>
      </c>
      <c r="O568" s="2191">
        <v>0.216</v>
      </c>
      <c r="P568" s="2191">
        <f>O568*H568</f>
        <v>5.6159999999999997</v>
      </c>
      <c r="Q568" s="2191">
        <v>1.8799999999999999E-3</v>
      </c>
      <c r="R568" s="2191">
        <f>Q568*H568</f>
        <v>4.888E-2</v>
      </c>
      <c r="S568" s="2191">
        <v>0</v>
      </c>
      <c r="T568" s="2192">
        <f>S568*H568</f>
        <v>0</v>
      </c>
      <c r="AR568" s="2193" t="s">
        <v>2894</v>
      </c>
      <c r="AT568" s="2193" t="s">
        <v>3286</v>
      </c>
      <c r="AU568" s="2193" t="s">
        <v>134</v>
      </c>
      <c r="AY568" s="2056" t="s">
        <v>3285</v>
      </c>
      <c r="BE568" s="2194">
        <f>IF(N568="základní",J568,0)</f>
        <v>0</v>
      </c>
      <c r="BF568" s="2194">
        <f>IF(N568="snížená",J568,0)</f>
        <v>0</v>
      </c>
      <c r="BG568" s="2194">
        <f>IF(N568="zákl. přenesená",J568,0)</f>
        <v>0</v>
      </c>
      <c r="BH568" s="2194">
        <f>IF(N568="sníž. přenesená",J568,0)</f>
        <v>0</v>
      </c>
      <c r="BI568" s="2194">
        <f>IF(N568="nulová",J568,0)</f>
        <v>0</v>
      </c>
      <c r="BJ568" s="2056" t="s">
        <v>134</v>
      </c>
      <c r="BK568" s="2194">
        <f>ROUND(I568*H568,2)</f>
        <v>0</v>
      </c>
      <c r="BL568" s="2056" t="s">
        <v>2894</v>
      </c>
      <c r="BM568" s="2193" t="s">
        <v>5068</v>
      </c>
    </row>
    <row r="569" spans="2:65" s="2195" customFormat="1">
      <c r="B569" s="2196"/>
      <c r="D569" s="2197" t="s">
        <v>3303</v>
      </c>
      <c r="E569" s="2198" t="s">
        <v>3146</v>
      </c>
      <c r="F569" s="2199" t="s">
        <v>5069</v>
      </c>
      <c r="H569" s="2198" t="s">
        <v>3146</v>
      </c>
      <c r="L569" s="2196"/>
      <c r="M569" s="2200"/>
      <c r="T569" s="2201"/>
      <c r="AT569" s="2198" t="s">
        <v>3303</v>
      </c>
      <c r="AU569" s="2198" t="s">
        <v>134</v>
      </c>
      <c r="AV569" s="2195" t="s">
        <v>133</v>
      </c>
      <c r="AW569" s="2195" t="s">
        <v>3171</v>
      </c>
      <c r="AX569" s="2195" t="s">
        <v>3213</v>
      </c>
      <c r="AY569" s="2198" t="s">
        <v>3285</v>
      </c>
    </row>
    <row r="570" spans="2:65" s="2209" customFormat="1">
      <c r="B570" s="2210"/>
      <c r="D570" s="2197" t="s">
        <v>3303</v>
      </c>
      <c r="E570" s="2211" t="s">
        <v>3146</v>
      </c>
      <c r="F570" s="2212" t="s">
        <v>5070</v>
      </c>
      <c r="H570" s="2213">
        <v>26</v>
      </c>
      <c r="L570" s="2210"/>
      <c r="M570" s="2214"/>
      <c r="T570" s="2215"/>
      <c r="AT570" s="2211" t="s">
        <v>3303</v>
      </c>
      <c r="AU570" s="2211" t="s">
        <v>134</v>
      </c>
      <c r="AV570" s="2209" t="s">
        <v>134</v>
      </c>
      <c r="AW570" s="2209" t="s">
        <v>3171</v>
      </c>
      <c r="AX570" s="2209" t="s">
        <v>3213</v>
      </c>
      <c r="AY570" s="2211" t="s">
        <v>3285</v>
      </c>
    </row>
    <row r="571" spans="2:65" s="2216" customFormat="1">
      <c r="B571" s="2217"/>
      <c r="D571" s="2197" t="s">
        <v>3303</v>
      </c>
      <c r="E571" s="2218" t="s">
        <v>3146</v>
      </c>
      <c r="F571" s="2219" t="s">
        <v>3306</v>
      </c>
      <c r="H571" s="2220">
        <v>26</v>
      </c>
      <c r="L571" s="2217"/>
      <c r="M571" s="2221"/>
      <c r="T571" s="2222"/>
      <c r="AT571" s="2218" t="s">
        <v>3303</v>
      </c>
      <c r="AU571" s="2218" t="s">
        <v>134</v>
      </c>
      <c r="AV571" s="2216" t="s">
        <v>856</v>
      </c>
      <c r="AW571" s="2216" t="s">
        <v>3171</v>
      </c>
      <c r="AX571" s="2216" t="s">
        <v>133</v>
      </c>
      <c r="AY571" s="2218" t="s">
        <v>3285</v>
      </c>
    </row>
    <row r="572" spans="2:65" s="2070" customFormat="1" ht="16.5" customHeight="1">
      <c r="B572" s="2164"/>
      <c r="C572" s="4614" t="s">
        <v>3841</v>
      </c>
      <c r="D572" s="4614" t="s">
        <v>135</v>
      </c>
      <c r="E572" s="4615" t="s">
        <v>5071</v>
      </c>
      <c r="F572" s="4616" t="s">
        <v>5072</v>
      </c>
      <c r="G572" s="4617" t="s">
        <v>141</v>
      </c>
      <c r="H572" s="4618">
        <v>31.2</v>
      </c>
      <c r="I572" s="4619"/>
      <c r="J572" s="4619">
        <f>ROUND(I572*H572,2)</f>
        <v>0</v>
      </c>
      <c r="K572" s="4616" t="s">
        <v>3146</v>
      </c>
      <c r="L572" s="2223"/>
      <c r="M572" s="2224" t="s">
        <v>3146</v>
      </c>
      <c r="N572" s="2225" t="s">
        <v>3181</v>
      </c>
      <c r="O572" s="2191">
        <v>0</v>
      </c>
      <c r="P572" s="2191">
        <f>O572*H572</f>
        <v>0</v>
      </c>
      <c r="Q572" s="2191">
        <v>5.9999999999999995E-4</v>
      </c>
      <c r="R572" s="2191">
        <f>Q572*H572</f>
        <v>1.8719999999999997E-2</v>
      </c>
      <c r="S572" s="2191">
        <v>0</v>
      </c>
      <c r="T572" s="2192">
        <f>S572*H572</f>
        <v>0</v>
      </c>
      <c r="AR572" s="2193" t="s">
        <v>3389</v>
      </c>
      <c r="AT572" s="2193" t="s">
        <v>135</v>
      </c>
      <c r="AU572" s="2193" t="s">
        <v>134</v>
      </c>
      <c r="AY572" s="2056" t="s">
        <v>3285</v>
      </c>
      <c r="BE572" s="2194">
        <f>IF(N572="základní",J572,0)</f>
        <v>0</v>
      </c>
      <c r="BF572" s="2194">
        <f>IF(N572="snížená",J572,0)</f>
        <v>0</v>
      </c>
      <c r="BG572" s="2194">
        <f>IF(N572="zákl. přenesená",J572,0)</f>
        <v>0</v>
      </c>
      <c r="BH572" s="2194">
        <f>IF(N572="sníž. přenesená",J572,0)</f>
        <v>0</v>
      </c>
      <c r="BI572" s="2194">
        <f>IF(N572="nulová",J572,0)</f>
        <v>0</v>
      </c>
      <c r="BJ572" s="2056" t="s">
        <v>134</v>
      </c>
      <c r="BK572" s="2194">
        <f>ROUND(I572*H572,2)</f>
        <v>0</v>
      </c>
      <c r="BL572" s="2056" t="s">
        <v>2894</v>
      </c>
      <c r="BM572" s="2193" t="s">
        <v>5073</v>
      </c>
    </row>
    <row r="573" spans="2:65" s="2209" customFormat="1">
      <c r="B573" s="2210"/>
      <c r="D573" s="2197" t="s">
        <v>3303</v>
      </c>
      <c r="F573" s="2212" t="s">
        <v>5074</v>
      </c>
      <c r="H573" s="2213">
        <v>31.2</v>
      </c>
      <c r="L573" s="2210"/>
      <c r="M573" s="2214"/>
      <c r="T573" s="2215"/>
      <c r="AT573" s="2211" t="s">
        <v>3303</v>
      </c>
      <c r="AU573" s="2211" t="s">
        <v>134</v>
      </c>
      <c r="AV573" s="2209" t="s">
        <v>134</v>
      </c>
      <c r="AW573" s="2209" t="s">
        <v>3148</v>
      </c>
      <c r="AX573" s="2209" t="s">
        <v>133</v>
      </c>
      <c r="AY573" s="2211" t="s">
        <v>3285</v>
      </c>
    </row>
    <row r="574" spans="2:65" s="2070" customFormat="1" ht="24.2" customHeight="1">
      <c r="B574" s="2164"/>
      <c r="C574" s="4608" t="s">
        <v>3845</v>
      </c>
      <c r="D574" s="4608" t="s">
        <v>3286</v>
      </c>
      <c r="E574" s="4609" t="s">
        <v>5075</v>
      </c>
      <c r="F574" s="4610" t="s">
        <v>5076</v>
      </c>
      <c r="G574" s="4611" t="s">
        <v>141</v>
      </c>
      <c r="H574" s="4612">
        <v>12</v>
      </c>
      <c r="I574" s="4613"/>
      <c r="J574" s="4613">
        <f>ROUND(I574*H574,2)</f>
        <v>0</v>
      </c>
      <c r="K574" s="4610" t="s">
        <v>142</v>
      </c>
      <c r="L574" s="2071"/>
      <c r="M574" s="2190" t="s">
        <v>3146</v>
      </c>
      <c r="N574" s="2163" t="s">
        <v>3181</v>
      </c>
      <c r="O574" s="2191">
        <v>6.5000000000000002E-2</v>
      </c>
      <c r="P574" s="2191">
        <f>O574*H574</f>
        <v>0.78</v>
      </c>
      <c r="Q574" s="2191">
        <v>3.3E-4</v>
      </c>
      <c r="R574" s="2191">
        <f>Q574*H574</f>
        <v>3.96E-3</v>
      </c>
      <c r="S574" s="2191">
        <v>0</v>
      </c>
      <c r="T574" s="2192">
        <f>S574*H574</f>
        <v>0</v>
      </c>
      <c r="AR574" s="2193" t="s">
        <v>2894</v>
      </c>
      <c r="AT574" s="2193" t="s">
        <v>3286</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5077</v>
      </c>
    </row>
    <row r="575" spans="2:65" s="2070" customFormat="1" ht="24.2" customHeight="1">
      <c r="B575" s="2164"/>
      <c r="C575" s="4608" t="s">
        <v>3849</v>
      </c>
      <c r="D575" s="4608" t="s">
        <v>3286</v>
      </c>
      <c r="E575" s="4609" t="s">
        <v>4438</v>
      </c>
      <c r="F575" s="4610" t="s">
        <v>4439</v>
      </c>
      <c r="G575" s="4611" t="s">
        <v>302</v>
      </c>
      <c r="H575" s="4612">
        <v>0.10299999999999999</v>
      </c>
      <c r="I575" s="4613"/>
      <c r="J575" s="4613">
        <f>ROUND(I575*H575,2)</f>
        <v>0</v>
      </c>
      <c r="K575" s="4610" t="s">
        <v>142</v>
      </c>
      <c r="L575" s="2071"/>
      <c r="M575" s="2190" t="s">
        <v>3146</v>
      </c>
      <c r="N575" s="2163" t="s">
        <v>3181</v>
      </c>
      <c r="O575" s="2191">
        <v>1.3049999999999999</v>
      </c>
      <c r="P575" s="2191">
        <f>O575*H575</f>
        <v>0.13441499999999998</v>
      </c>
      <c r="Q575" s="2191">
        <v>0</v>
      </c>
      <c r="R575" s="2191">
        <f>Q575*H575</f>
        <v>0</v>
      </c>
      <c r="S575" s="2191">
        <v>0</v>
      </c>
      <c r="T575" s="2192">
        <f>S575*H575</f>
        <v>0</v>
      </c>
      <c r="AR575" s="2193" t="s">
        <v>2894</v>
      </c>
      <c r="AT575" s="2193" t="s">
        <v>3286</v>
      </c>
      <c r="AU575" s="2193" t="s">
        <v>134</v>
      </c>
      <c r="AY575" s="2056" t="s">
        <v>3285</v>
      </c>
      <c r="BE575" s="2194">
        <f>IF(N575="základní",J575,0)</f>
        <v>0</v>
      </c>
      <c r="BF575" s="2194">
        <f>IF(N575="snížená",J575,0)</f>
        <v>0</v>
      </c>
      <c r="BG575" s="2194">
        <f>IF(N575="zákl. přenesená",J575,0)</f>
        <v>0</v>
      </c>
      <c r="BH575" s="2194">
        <f>IF(N575="sníž. přenesená",J575,0)</f>
        <v>0</v>
      </c>
      <c r="BI575" s="2194">
        <f>IF(N575="nulová",J575,0)</f>
        <v>0</v>
      </c>
      <c r="BJ575" s="2056" t="s">
        <v>134</v>
      </c>
      <c r="BK575" s="2194">
        <f>ROUND(I575*H575,2)</f>
        <v>0</v>
      </c>
      <c r="BL575" s="2056" t="s">
        <v>2894</v>
      </c>
      <c r="BM575" s="2193" t="s">
        <v>11137</v>
      </c>
    </row>
    <row r="576" spans="2:65" s="2070" customFormat="1" ht="24.2" customHeight="1">
      <c r="B576" s="2164"/>
      <c r="C576" s="4608" t="s">
        <v>3853</v>
      </c>
      <c r="D576" s="4608" t="s">
        <v>3286</v>
      </c>
      <c r="E576" s="4609" t="s">
        <v>4441</v>
      </c>
      <c r="F576" s="4610" t="s">
        <v>4442</v>
      </c>
      <c r="G576" s="4611" t="s">
        <v>302</v>
      </c>
      <c r="H576" s="4612">
        <v>0.10299999999999999</v>
      </c>
      <c r="I576" s="4613"/>
      <c r="J576" s="4613">
        <f>ROUND(I576*H576,2)</f>
        <v>0</v>
      </c>
      <c r="K576" s="4610" t="s">
        <v>142</v>
      </c>
      <c r="L576" s="2071"/>
      <c r="M576" s="2190" t="s">
        <v>3146</v>
      </c>
      <c r="N576" s="2163" t="s">
        <v>3181</v>
      </c>
      <c r="O576" s="2191">
        <v>1.1399999999999999</v>
      </c>
      <c r="P576" s="2191">
        <f>O576*H576</f>
        <v>0.11741999999999998</v>
      </c>
      <c r="Q576" s="2191">
        <v>0</v>
      </c>
      <c r="R576" s="2191">
        <f>Q576*H576</f>
        <v>0</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11138</v>
      </c>
    </row>
    <row r="577" spans="2:65" s="2178" customFormat="1" ht="22.9" customHeight="1">
      <c r="B577" s="2179"/>
      <c r="D577" s="2180" t="s">
        <v>3212</v>
      </c>
      <c r="E577" s="2188" t="s">
        <v>4038</v>
      </c>
      <c r="F577" s="2188" t="s">
        <v>4039</v>
      </c>
      <c r="J577" s="2189">
        <f>BK577</f>
        <v>0</v>
      </c>
      <c r="L577" s="2179"/>
      <c r="M577" s="2183"/>
      <c r="P577" s="2184">
        <f>SUM(P578:P737)</f>
        <v>8329.9111889999986</v>
      </c>
      <c r="R577" s="2184">
        <f>SUM(R578:R737)</f>
        <v>201.61484181</v>
      </c>
      <c r="T577" s="2185">
        <f>SUM(T578:T737)</f>
        <v>0</v>
      </c>
      <c r="AR577" s="2180" t="s">
        <v>134</v>
      </c>
      <c r="AT577" s="2186" t="s">
        <v>3212</v>
      </c>
      <c r="AU577" s="2186" t="s">
        <v>133</v>
      </c>
      <c r="AY577" s="2180" t="s">
        <v>3285</v>
      </c>
      <c r="BK577" s="2187">
        <f>SUM(BK578:BK737)</f>
        <v>0</v>
      </c>
    </row>
    <row r="578" spans="2:65" s="2070" customFormat="1" ht="24.2" customHeight="1">
      <c r="B578" s="2164"/>
      <c r="C578" s="4608" t="s">
        <v>3857</v>
      </c>
      <c r="D578" s="4608" t="s">
        <v>3286</v>
      </c>
      <c r="E578" s="4609" t="s">
        <v>11139</v>
      </c>
      <c r="F578" s="4610" t="s">
        <v>11140</v>
      </c>
      <c r="G578" s="4611" t="s">
        <v>611</v>
      </c>
      <c r="H578" s="4612">
        <v>20.704999999999998</v>
      </c>
      <c r="I578" s="4613"/>
      <c r="J578" s="4613">
        <f>ROUND(I578*H578,2)</f>
        <v>0</v>
      </c>
      <c r="K578" s="4610" t="s">
        <v>142</v>
      </c>
      <c r="L578" s="2071"/>
      <c r="M578" s="2190" t="s">
        <v>3146</v>
      </c>
      <c r="N578" s="2163" t="s">
        <v>3181</v>
      </c>
      <c r="O578" s="2191">
        <v>1.3089999999999999</v>
      </c>
      <c r="P578" s="2191">
        <f>O578*H578</f>
        <v>27.102844999999995</v>
      </c>
      <c r="Q578" s="2191">
        <v>3.236E-2</v>
      </c>
      <c r="R578" s="2191">
        <f>Q578*H578</f>
        <v>0.67001379999999999</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11141</v>
      </c>
    </row>
    <row r="579" spans="2:65" s="2195" customFormat="1">
      <c r="B579" s="2196"/>
      <c r="D579" s="2197" t="s">
        <v>3303</v>
      </c>
      <c r="E579" s="2198" t="s">
        <v>3146</v>
      </c>
      <c r="F579" s="2199" t="s">
        <v>3517</v>
      </c>
      <c r="H579" s="2198" t="s">
        <v>3146</v>
      </c>
      <c r="L579" s="2196"/>
      <c r="M579" s="2200"/>
      <c r="T579" s="2201"/>
      <c r="AT579" s="2198" t="s">
        <v>3303</v>
      </c>
      <c r="AU579" s="2198" t="s">
        <v>134</v>
      </c>
      <c r="AV579" s="2195" t="s">
        <v>133</v>
      </c>
      <c r="AW579" s="2195" t="s">
        <v>3171</v>
      </c>
      <c r="AX579" s="2195" t="s">
        <v>3213</v>
      </c>
      <c r="AY579" s="2198" t="s">
        <v>3285</v>
      </c>
    </row>
    <row r="580" spans="2:65" s="2209" customFormat="1">
      <c r="B580" s="2210"/>
      <c r="D580" s="2197" t="s">
        <v>3303</v>
      </c>
      <c r="E580" s="2211" t="s">
        <v>3146</v>
      </c>
      <c r="F580" s="2212" t="s">
        <v>11142</v>
      </c>
      <c r="H580" s="2213">
        <v>10.83</v>
      </c>
      <c r="L580" s="2210"/>
      <c r="M580" s="2214"/>
      <c r="T580" s="2215"/>
      <c r="AT580" s="2211" t="s">
        <v>3303</v>
      </c>
      <c r="AU580" s="2211" t="s">
        <v>134</v>
      </c>
      <c r="AV580" s="2209" t="s">
        <v>134</v>
      </c>
      <c r="AW580" s="2209" t="s">
        <v>3171</v>
      </c>
      <c r="AX580" s="2209" t="s">
        <v>3213</v>
      </c>
      <c r="AY580" s="2211" t="s">
        <v>3285</v>
      </c>
    </row>
    <row r="581" spans="2:65" s="2195" customFormat="1">
      <c r="B581" s="2196"/>
      <c r="D581" s="2197" t="s">
        <v>3303</v>
      </c>
      <c r="E581" s="2198" t="s">
        <v>3146</v>
      </c>
      <c r="F581" s="2199" t="s">
        <v>3661</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11143</v>
      </c>
      <c r="H582" s="2213">
        <v>9.875</v>
      </c>
      <c r="L582" s="2210"/>
      <c r="M582" s="2214"/>
      <c r="T582" s="2215"/>
      <c r="AT582" s="2211" t="s">
        <v>3303</v>
      </c>
      <c r="AU582" s="2211" t="s">
        <v>134</v>
      </c>
      <c r="AV582" s="2209" t="s">
        <v>134</v>
      </c>
      <c r="AW582" s="2209" t="s">
        <v>3171</v>
      </c>
      <c r="AX582" s="2209" t="s">
        <v>3213</v>
      </c>
      <c r="AY582" s="2211" t="s">
        <v>3285</v>
      </c>
    </row>
    <row r="583" spans="2:65" s="2216" customFormat="1">
      <c r="B583" s="2217"/>
      <c r="D583" s="2197" t="s">
        <v>3303</v>
      </c>
      <c r="E583" s="2218" t="s">
        <v>3146</v>
      </c>
      <c r="F583" s="2219" t="s">
        <v>3306</v>
      </c>
      <c r="H583" s="2220">
        <v>20.704999999999998</v>
      </c>
      <c r="L583" s="2217"/>
      <c r="M583" s="2221"/>
      <c r="T583" s="2222"/>
      <c r="AT583" s="2218" t="s">
        <v>3303</v>
      </c>
      <c r="AU583" s="2218" t="s">
        <v>134</v>
      </c>
      <c r="AV583" s="2216" t="s">
        <v>856</v>
      </c>
      <c r="AW583" s="2216" t="s">
        <v>3171</v>
      </c>
      <c r="AX583" s="2216" t="s">
        <v>133</v>
      </c>
      <c r="AY583" s="2218" t="s">
        <v>3285</v>
      </c>
    </row>
    <row r="584" spans="2:65" s="2070" customFormat="1" ht="33" customHeight="1">
      <c r="B584" s="2164"/>
      <c r="C584" s="4608" t="s">
        <v>3861</v>
      </c>
      <c r="D584" s="4608" t="s">
        <v>3286</v>
      </c>
      <c r="E584" s="4609" t="s">
        <v>11144</v>
      </c>
      <c r="F584" s="4610" t="s">
        <v>11145</v>
      </c>
      <c r="G584" s="4611" t="s">
        <v>611</v>
      </c>
      <c r="H584" s="4612">
        <v>2.2749999999999999</v>
      </c>
      <c r="I584" s="4613"/>
      <c r="J584" s="4613">
        <f>ROUND(I584*H584,2)</f>
        <v>0</v>
      </c>
      <c r="K584" s="4610" t="s">
        <v>142</v>
      </c>
      <c r="L584" s="2071"/>
      <c r="M584" s="2190" t="s">
        <v>3146</v>
      </c>
      <c r="N584" s="2163" t="s">
        <v>3181</v>
      </c>
      <c r="O584" s="2191">
        <v>1.3089999999999999</v>
      </c>
      <c r="P584" s="2191">
        <f>O584*H584</f>
        <v>2.9779749999999998</v>
      </c>
      <c r="Q584" s="2191">
        <v>3.4169999999999999E-2</v>
      </c>
      <c r="R584" s="2191">
        <f>Q584*H584</f>
        <v>7.7736749999999993E-2</v>
      </c>
      <c r="S584" s="2191">
        <v>0</v>
      </c>
      <c r="T584" s="2192">
        <f>S584*H584</f>
        <v>0</v>
      </c>
      <c r="AR584" s="2193" t="s">
        <v>2894</v>
      </c>
      <c r="AT584" s="2193" t="s">
        <v>3286</v>
      </c>
      <c r="AU584" s="2193" t="s">
        <v>134</v>
      </c>
      <c r="AY584" s="2056" t="s">
        <v>3285</v>
      </c>
      <c r="BE584" s="2194">
        <f>IF(N584="základní",J584,0)</f>
        <v>0</v>
      </c>
      <c r="BF584" s="2194">
        <f>IF(N584="snížená",J584,0)</f>
        <v>0</v>
      </c>
      <c r="BG584" s="2194">
        <f>IF(N584="zákl. přenesená",J584,0)</f>
        <v>0</v>
      </c>
      <c r="BH584" s="2194">
        <f>IF(N584="sníž. přenesená",J584,0)</f>
        <v>0</v>
      </c>
      <c r="BI584" s="2194">
        <f>IF(N584="nulová",J584,0)</f>
        <v>0</v>
      </c>
      <c r="BJ584" s="2056" t="s">
        <v>134</v>
      </c>
      <c r="BK584" s="2194">
        <f>ROUND(I584*H584,2)</f>
        <v>0</v>
      </c>
      <c r="BL584" s="2056" t="s">
        <v>2894</v>
      </c>
      <c r="BM584" s="2193" t="s">
        <v>11146</v>
      </c>
    </row>
    <row r="585" spans="2:65" s="2195" customFormat="1">
      <c r="B585" s="2196"/>
      <c r="D585" s="2197" t="s">
        <v>3303</v>
      </c>
      <c r="E585" s="2198" t="s">
        <v>3146</v>
      </c>
      <c r="F585" s="2199" t="s">
        <v>3661</v>
      </c>
      <c r="H585" s="2198" t="s">
        <v>3146</v>
      </c>
      <c r="L585" s="2196"/>
      <c r="M585" s="2200"/>
      <c r="T585" s="2201"/>
      <c r="AT585" s="2198" t="s">
        <v>3303</v>
      </c>
      <c r="AU585" s="2198" t="s">
        <v>134</v>
      </c>
      <c r="AV585" s="2195" t="s">
        <v>133</v>
      </c>
      <c r="AW585" s="2195" t="s">
        <v>3171</v>
      </c>
      <c r="AX585" s="2195" t="s">
        <v>3213</v>
      </c>
      <c r="AY585" s="2198" t="s">
        <v>3285</v>
      </c>
    </row>
    <row r="586" spans="2:65" s="2209" customFormat="1">
      <c r="B586" s="2210"/>
      <c r="D586" s="2197" t="s">
        <v>3303</v>
      </c>
      <c r="E586" s="2211" t="s">
        <v>3146</v>
      </c>
      <c r="F586" s="2212" t="s">
        <v>11147</v>
      </c>
      <c r="H586" s="2213">
        <v>2.2749999999999999</v>
      </c>
      <c r="L586" s="2210"/>
      <c r="M586" s="2214"/>
      <c r="T586" s="2215"/>
      <c r="AT586" s="2211" t="s">
        <v>3303</v>
      </c>
      <c r="AU586" s="2211" t="s">
        <v>134</v>
      </c>
      <c r="AV586" s="2209" t="s">
        <v>134</v>
      </c>
      <c r="AW586" s="2209" t="s">
        <v>3171</v>
      </c>
      <c r="AX586" s="2209" t="s">
        <v>3213</v>
      </c>
      <c r="AY586" s="2211" t="s">
        <v>3285</v>
      </c>
    </row>
    <row r="587" spans="2:65" s="2216" customFormat="1">
      <c r="B587" s="2217"/>
      <c r="D587" s="2197" t="s">
        <v>3303</v>
      </c>
      <c r="E587" s="2218" t="s">
        <v>3146</v>
      </c>
      <c r="F587" s="2219" t="s">
        <v>3306</v>
      </c>
      <c r="H587" s="2220">
        <v>2.2749999999999999</v>
      </c>
      <c r="L587" s="2217"/>
      <c r="M587" s="2221"/>
      <c r="T587" s="2222"/>
      <c r="AT587" s="2218" t="s">
        <v>3303</v>
      </c>
      <c r="AU587" s="2218" t="s">
        <v>134</v>
      </c>
      <c r="AV587" s="2216" t="s">
        <v>856</v>
      </c>
      <c r="AW587" s="2216" t="s">
        <v>3171</v>
      </c>
      <c r="AX587" s="2216" t="s">
        <v>133</v>
      </c>
      <c r="AY587" s="2218" t="s">
        <v>3285</v>
      </c>
    </row>
    <row r="588" spans="2:65" s="2070" customFormat="1" ht="24.2" customHeight="1">
      <c r="B588" s="2164"/>
      <c r="C588" s="4608" t="s">
        <v>3865</v>
      </c>
      <c r="D588" s="4608" t="s">
        <v>3286</v>
      </c>
      <c r="E588" s="4609" t="s">
        <v>11148</v>
      </c>
      <c r="F588" s="4610" t="s">
        <v>11149</v>
      </c>
      <c r="G588" s="4611" t="s">
        <v>611</v>
      </c>
      <c r="H588" s="4612">
        <v>27.088000000000001</v>
      </c>
      <c r="I588" s="4613"/>
      <c r="J588" s="4613">
        <f>ROUND(I588*H588,2)</f>
        <v>0</v>
      </c>
      <c r="K588" s="4610" t="s">
        <v>142</v>
      </c>
      <c r="L588" s="2071"/>
      <c r="M588" s="2190" t="s">
        <v>3146</v>
      </c>
      <c r="N588" s="2163" t="s">
        <v>3181</v>
      </c>
      <c r="O588" s="2191">
        <v>1.296</v>
      </c>
      <c r="P588" s="2191">
        <f>O588*H588</f>
        <v>35.106048000000001</v>
      </c>
      <c r="Q588" s="2191">
        <v>4.428E-2</v>
      </c>
      <c r="R588" s="2191">
        <f>Q588*H588</f>
        <v>1.19945664</v>
      </c>
      <c r="S588" s="2191">
        <v>0</v>
      </c>
      <c r="T588" s="2192">
        <f>S588*H588</f>
        <v>0</v>
      </c>
      <c r="AR588" s="2193" t="s">
        <v>2894</v>
      </c>
      <c r="AT588" s="2193" t="s">
        <v>3286</v>
      </c>
      <c r="AU588" s="2193" t="s">
        <v>134</v>
      </c>
      <c r="AY588" s="2056" t="s">
        <v>3285</v>
      </c>
      <c r="BE588" s="2194">
        <f>IF(N588="základní",J588,0)</f>
        <v>0</v>
      </c>
      <c r="BF588" s="2194">
        <f>IF(N588="snížená",J588,0)</f>
        <v>0</v>
      </c>
      <c r="BG588" s="2194">
        <f>IF(N588="zákl. přenesená",J588,0)</f>
        <v>0</v>
      </c>
      <c r="BH588" s="2194">
        <f>IF(N588="sníž. přenesená",J588,0)</f>
        <v>0</v>
      </c>
      <c r="BI588" s="2194">
        <f>IF(N588="nulová",J588,0)</f>
        <v>0</v>
      </c>
      <c r="BJ588" s="2056" t="s">
        <v>134</v>
      </c>
      <c r="BK588" s="2194">
        <f>ROUND(I588*H588,2)</f>
        <v>0</v>
      </c>
      <c r="BL588" s="2056" t="s">
        <v>2894</v>
      </c>
      <c r="BM588" s="2193" t="s">
        <v>11150</v>
      </c>
    </row>
    <row r="589" spans="2:65" s="2195" customFormat="1">
      <c r="B589" s="2196"/>
      <c r="D589" s="2197" t="s">
        <v>3303</v>
      </c>
      <c r="E589" s="2198" t="s">
        <v>3146</v>
      </c>
      <c r="F589" s="2199" t="s">
        <v>11151</v>
      </c>
      <c r="H589" s="2198" t="s">
        <v>3146</v>
      </c>
      <c r="L589" s="2196"/>
      <c r="M589" s="2200"/>
      <c r="T589" s="2201"/>
      <c r="AT589" s="2198" t="s">
        <v>3303</v>
      </c>
      <c r="AU589" s="2198" t="s">
        <v>134</v>
      </c>
      <c r="AV589" s="2195" t="s">
        <v>133</v>
      </c>
      <c r="AW589" s="2195" t="s">
        <v>3171</v>
      </c>
      <c r="AX589" s="2195" t="s">
        <v>3213</v>
      </c>
      <c r="AY589" s="2198" t="s">
        <v>3285</v>
      </c>
    </row>
    <row r="590" spans="2:65" s="2209" customFormat="1">
      <c r="B590" s="2210"/>
      <c r="D590" s="2197" t="s">
        <v>3303</v>
      </c>
      <c r="E590" s="2211" t="s">
        <v>3146</v>
      </c>
      <c r="F590" s="2212" t="s">
        <v>11152</v>
      </c>
      <c r="H590" s="2213">
        <v>5.9749999999999996</v>
      </c>
      <c r="L590" s="2210"/>
      <c r="M590" s="2214"/>
      <c r="T590" s="2215"/>
      <c r="AT590" s="2211" t="s">
        <v>3303</v>
      </c>
      <c r="AU590" s="2211" t="s">
        <v>134</v>
      </c>
      <c r="AV590" s="2209" t="s">
        <v>134</v>
      </c>
      <c r="AW590" s="2209" t="s">
        <v>3171</v>
      </c>
      <c r="AX590" s="2209" t="s">
        <v>3213</v>
      </c>
      <c r="AY590" s="2211" t="s">
        <v>3285</v>
      </c>
    </row>
    <row r="591" spans="2:65" s="2209" customFormat="1">
      <c r="B591" s="2210"/>
      <c r="D591" s="2197" t="s">
        <v>3303</v>
      </c>
      <c r="E591" s="2211" t="s">
        <v>3146</v>
      </c>
      <c r="F591" s="2212" t="s">
        <v>11153</v>
      </c>
      <c r="H591" s="2213">
        <v>8.8729999999999993</v>
      </c>
      <c r="L591" s="2210"/>
      <c r="M591" s="2214"/>
      <c r="T591" s="2215"/>
      <c r="AT591" s="2211" t="s">
        <v>3303</v>
      </c>
      <c r="AU591" s="2211" t="s">
        <v>134</v>
      </c>
      <c r="AV591" s="2209" t="s">
        <v>134</v>
      </c>
      <c r="AW591" s="2209" t="s">
        <v>3171</v>
      </c>
      <c r="AX591" s="2209" t="s">
        <v>3213</v>
      </c>
      <c r="AY591" s="2211" t="s">
        <v>3285</v>
      </c>
    </row>
    <row r="592" spans="2:65" s="2202" customFormat="1">
      <c r="B592" s="2203"/>
      <c r="D592" s="2197" t="s">
        <v>3303</v>
      </c>
      <c r="E592" s="2204" t="s">
        <v>3146</v>
      </c>
      <c r="F592" s="2205" t="s">
        <v>3305</v>
      </c>
      <c r="H592" s="2206">
        <v>14.848000000000001</v>
      </c>
      <c r="L592" s="2203"/>
      <c r="M592" s="2207"/>
      <c r="T592" s="2208"/>
      <c r="AT592" s="2204" t="s">
        <v>3303</v>
      </c>
      <c r="AU592" s="2204" t="s">
        <v>134</v>
      </c>
      <c r="AV592" s="2202" t="s">
        <v>854</v>
      </c>
      <c r="AW592" s="2202" t="s">
        <v>3171</v>
      </c>
      <c r="AX592" s="2202" t="s">
        <v>3213</v>
      </c>
      <c r="AY592" s="2204" t="s">
        <v>3285</v>
      </c>
    </row>
    <row r="593" spans="2:65" s="2195" customFormat="1">
      <c r="B593" s="2196"/>
      <c r="D593" s="2197" t="s">
        <v>3303</v>
      </c>
      <c r="E593" s="2198" t="s">
        <v>3146</v>
      </c>
      <c r="F593" s="2199" t="s">
        <v>3580</v>
      </c>
      <c r="H593" s="2198" t="s">
        <v>3146</v>
      </c>
      <c r="L593" s="2196"/>
      <c r="M593" s="2200"/>
      <c r="T593" s="2201"/>
      <c r="AT593" s="2198" t="s">
        <v>3303</v>
      </c>
      <c r="AU593" s="2198" t="s">
        <v>134</v>
      </c>
      <c r="AV593" s="2195" t="s">
        <v>133</v>
      </c>
      <c r="AW593" s="2195" t="s">
        <v>3171</v>
      </c>
      <c r="AX593" s="2195" t="s">
        <v>3213</v>
      </c>
      <c r="AY593" s="2198" t="s">
        <v>3285</v>
      </c>
    </row>
    <row r="594" spans="2:65" s="2209" customFormat="1">
      <c r="B594" s="2210"/>
      <c r="D594" s="2197" t="s">
        <v>3303</v>
      </c>
      <c r="E594" s="2211" t="s">
        <v>3146</v>
      </c>
      <c r="F594" s="2212" t="s">
        <v>11154</v>
      </c>
      <c r="H594" s="2213">
        <v>12.24</v>
      </c>
      <c r="L594" s="2210"/>
      <c r="M594" s="2214"/>
      <c r="T594" s="2215"/>
      <c r="AT594" s="2211" t="s">
        <v>3303</v>
      </c>
      <c r="AU594" s="2211" t="s">
        <v>134</v>
      </c>
      <c r="AV594" s="2209" t="s">
        <v>134</v>
      </c>
      <c r="AW594" s="2209" t="s">
        <v>3171</v>
      </c>
      <c r="AX594" s="2209" t="s">
        <v>3213</v>
      </c>
      <c r="AY594" s="2211" t="s">
        <v>3285</v>
      </c>
    </row>
    <row r="595" spans="2:65" s="2202" customFormat="1">
      <c r="B595" s="2203"/>
      <c r="D595" s="2197" t="s">
        <v>3303</v>
      </c>
      <c r="E595" s="2204" t="s">
        <v>3146</v>
      </c>
      <c r="F595" s="2205" t="s">
        <v>3305</v>
      </c>
      <c r="H595" s="2206">
        <v>12.24</v>
      </c>
      <c r="L595" s="2203"/>
      <c r="M595" s="2207"/>
      <c r="T595" s="2208"/>
      <c r="AT595" s="2204" t="s">
        <v>3303</v>
      </c>
      <c r="AU595" s="2204" t="s">
        <v>134</v>
      </c>
      <c r="AV595" s="2202" t="s">
        <v>854</v>
      </c>
      <c r="AW595" s="2202" t="s">
        <v>3171</v>
      </c>
      <c r="AX595" s="2202" t="s">
        <v>3213</v>
      </c>
      <c r="AY595" s="2204" t="s">
        <v>3285</v>
      </c>
    </row>
    <row r="596" spans="2:65" s="2216" customFormat="1">
      <c r="B596" s="2217"/>
      <c r="D596" s="2197" t="s">
        <v>3303</v>
      </c>
      <c r="E596" s="2218" t="s">
        <v>3146</v>
      </c>
      <c r="F596" s="2219" t="s">
        <v>3306</v>
      </c>
      <c r="H596" s="2220">
        <v>27.088000000000001</v>
      </c>
      <c r="L596" s="2217"/>
      <c r="M596" s="2221"/>
      <c r="T596" s="2222"/>
      <c r="AT596" s="2218" t="s">
        <v>3303</v>
      </c>
      <c r="AU596" s="2218" t="s">
        <v>134</v>
      </c>
      <c r="AV596" s="2216" t="s">
        <v>856</v>
      </c>
      <c r="AW596" s="2216" t="s">
        <v>3171</v>
      </c>
      <c r="AX596" s="2216" t="s">
        <v>133</v>
      </c>
      <c r="AY596" s="2218" t="s">
        <v>3285</v>
      </c>
    </row>
    <row r="597" spans="2:65" s="2070" customFormat="1" ht="21.75" customHeight="1">
      <c r="B597" s="2164"/>
      <c r="C597" s="4608" t="s">
        <v>3869</v>
      </c>
      <c r="D597" s="4608" t="s">
        <v>3286</v>
      </c>
      <c r="E597" s="4609" t="s">
        <v>11155</v>
      </c>
      <c r="F597" s="4610" t="s">
        <v>11156</v>
      </c>
      <c r="G597" s="4611" t="s">
        <v>611</v>
      </c>
      <c r="H597" s="4612">
        <v>19.324999999999999</v>
      </c>
      <c r="I597" s="4613"/>
      <c r="J597" s="4613">
        <f>ROUND(I597*H597,2)</f>
        <v>0</v>
      </c>
      <c r="K597" s="4610" t="s">
        <v>142</v>
      </c>
      <c r="L597" s="2071"/>
      <c r="M597" s="2190" t="s">
        <v>3146</v>
      </c>
      <c r="N597" s="2163" t="s">
        <v>3181</v>
      </c>
      <c r="O597" s="2191">
        <v>0.08</v>
      </c>
      <c r="P597" s="2191">
        <f>O597*H597</f>
        <v>1.546</v>
      </c>
      <c r="Q597" s="2191">
        <v>0</v>
      </c>
      <c r="R597" s="2191">
        <f>Q597*H597</f>
        <v>0</v>
      </c>
      <c r="S597" s="2191">
        <v>0</v>
      </c>
      <c r="T597" s="2192">
        <f>S597*H597</f>
        <v>0</v>
      </c>
      <c r="AR597" s="2193" t="s">
        <v>2894</v>
      </c>
      <c r="AT597" s="2193" t="s">
        <v>3286</v>
      </c>
      <c r="AU597" s="2193" t="s">
        <v>134</v>
      </c>
      <c r="AY597" s="2056" t="s">
        <v>3285</v>
      </c>
      <c r="BE597" s="2194">
        <f>IF(N597="základní",J597,0)</f>
        <v>0</v>
      </c>
      <c r="BF597" s="2194">
        <f>IF(N597="snížená",J597,0)</f>
        <v>0</v>
      </c>
      <c r="BG597" s="2194">
        <f>IF(N597="zákl. přenesená",J597,0)</f>
        <v>0</v>
      </c>
      <c r="BH597" s="2194">
        <f>IF(N597="sníž. přenesená",J597,0)</f>
        <v>0</v>
      </c>
      <c r="BI597" s="2194">
        <f>IF(N597="nulová",J597,0)</f>
        <v>0</v>
      </c>
      <c r="BJ597" s="2056" t="s">
        <v>134</v>
      </c>
      <c r="BK597" s="2194">
        <f>ROUND(I597*H597,2)</f>
        <v>0</v>
      </c>
      <c r="BL597" s="2056" t="s">
        <v>2894</v>
      </c>
      <c r="BM597" s="2193" t="s">
        <v>11157</v>
      </c>
    </row>
    <row r="598" spans="2:65" s="2195" customFormat="1">
      <c r="B598" s="2196"/>
      <c r="D598" s="2197" t="s">
        <v>3303</v>
      </c>
      <c r="E598" s="2198" t="s">
        <v>3146</v>
      </c>
      <c r="F598" s="2199" t="s">
        <v>11158</v>
      </c>
      <c r="H598" s="2198" t="s">
        <v>3146</v>
      </c>
      <c r="L598" s="2196"/>
      <c r="M598" s="2200"/>
      <c r="T598" s="2201"/>
      <c r="AT598" s="2198" t="s">
        <v>3303</v>
      </c>
      <c r="AU598" s="2198" t="s">
        <v>134</v>
      </c>
      <c r="AV598" s="2195" t="s">
        <v>133</v>
      </c>
      <c r="AW598" s="2195" t="s">
        <v>3171</v>
      </c>
      <c r="AX598" s="2195" t="s">
        <v>3213</v>
      </c>
      <c r="AY598" s="2198" t="s">
        <v>3285</v>
      </c>
    </row>
    <row r="599" spans="2:65" s="2209" customFormat="1">
      <c r="B599" s="2210"/>
      <c r="D599" s="2197" t="s">
        <v>3303</v>
      </c>
      <c r="E599" s="2211" t="s">
        <v>3146</v>
      </c>
      <c r="F599" s="2212" t="s">
        <v>11159</v>
      </c>
      <c r="H599" s="2213">
        <v>4.1749999999999998</v>
      </c>
      <c r="L599" s="2210"/>
      <c r="M599" s="2214"/>
      <c r="T599" s="2215"/>
      <c r="AT599" s="2211" t="s">
        <v>3303</v>
      </c>
      <c r="AU599" s="2211" t="s">
        <v>134</v>
      </c>
      <c r="AV599" s="2209" t="s">
        <v>134</v>
      </c>
      <c r="AW599" s="2209" t="s">
        <v>3171</v>
      </c>
      <c r="AX599" s="2209" t="s">
        <v>3213</v>
      </c>
      <c r="AY599" s="2211" t="s">
        <v>3285</v>
      </c>
    </row>
    <row r="600" spans="2:65" s="2209" customFormat="1">
      <c r="B600" s="2210"/>
      <c r="D600" s="2197" t="s">
        <v>3303</v>
      </c>
      <c r="E600" s="2211" t="s">
        <v>3146</v>
      </c>
      <c r="F600" s="2212" t="s">
        <v>11160</v>
      </c>
      <c r="H600" s="2213">
        <v>8.9</v>
      </c>
      <c r="L600" s="2210"/>
      <c r="M600" s="2214"/>
      <c r="T600" s="2215"/>
      <c r="AT600" s="2211" t="s">
        <v>3303</v>
      </c>
      <c r="AU600" s="2211" t="s">
        <v>134</v>
      </c>
      <c r="AV600" s="2209" t="s">
        <v>134</v>
      </c>
      <c r="AW600" s="2209" t="s">
        <v>3171</v>
      </c>
      <c r="AX600" s="2209" t="s">
        <v>3213</v>
      </c>
      <c r="AY600" s="2211" t="s">
        <v>3285</v>
      </c>
    </row>
    <row r="601" spans="2:65" s="2209" customFormat="1">
      <c r="B601" s="2210"/>
      <c r="D601" s="2197" t="s">
        <v>3303</v>
      </c>
      <c r="E601" s="2211" t="s">
        <v>3146</v>
      </c>
      <c r="F601" s="2212" t="s">
        <v>11161</v>
      </c>
      <c r="H601" s="2213">
        <v>5</v>
      </c>
      <c r="L601" s="2210"/>
      <c r="M601" s="2214"/>
      <c r="T601" s="2215"/>
      <c r="AT601" s="2211" t="s">
        <v>3303</v>
      </c>
      <c r="AU601" s="2211" t="s">
        <v>134</v>
      </c>
      <c r="AV601" s="2209" t="s">
        <v>134</v>
      </c>
      <c r="AW601" s="2209" t="s">
        <v>3171</v>
      </c>
      <c r="AX601" s="2209" t="s">
        <v>3213</v>
      </c>
      <c r="AY601" s="2211" t="s">
        <v>3285</v>
      </c>
    </row>
    <row r="602" spans="2:65" s="2209" customFormat="1">
      <c r="B602" s="2210"/>
      <c r="D602" s="2197" t="s">
        <v>3303</v>
      </c>
      <c r="E602" s="2211" t="s">
        <v>3146</v>
      </c>
      <c r="F602" s="2212" t="s">
        <v>11162</v>
      </c>
      <c r="H602" s="2213">
        <v>1.25</v>
      </c>
      <c r="L602" s="2210"/>
      <c r="M602" s="2214"/>
      <c r="T602" s="2215"/>
      <c r="AT602" s="2211" t="s">
        <v>3303</v>
      </c>
      <c r="AU602" s="2211" t="s">
        <v>134</v>
      </c>
      <c r="AV602" s="2209" t="s">
        <v>134</v>
      </c>
      <c r="AW602" s="2209" t="s">
        <v>3171</v>
      </c>
      <c r="AX602" s="2209" t="s">
        <v>3213</v>
      </c>
      <c r="AY602" s="2211" t="s">
        <v>3285</v>
      </c>
    </row>
    <row r="603" spans="2:65" s="2216" customFormat="1">
      <c r="B603" s="2217"/>
      <c r="D603" s="2197" t="s">
        <v>3303</v>
      </c>
      <c r="E603" s="2218" t="s">
        <v>3146</v>
      </c>
      <c r="F603" s="2219" t="s">
        <v>3306</v>
      </c>
      <c r="H603" s="2220">
        <v>19.324999999999999</v>
      </c>
      <c r="L603" s="2217"/>
      <c r="M603" s="2221"/>
      <c r="T603" s="2222"/>
      <c r="AT603" s="2218" t="s">
        <v>3303</v>
      </c>
      <c r="AU603" s="2218" t="s">
        <v>134</v>
      </c>
      <c r="AV603" s="2216" t="s">
        <v>856</v>
      </c>
      <c r="AW603" s="2216" t="s">
        <v>3171</v>
      </c>
      <c r="AX603" s="2216" t="s">
        <v>133</v>
      </c>
      <c r="AY603" s="2218" t="s">
        <v>3285</v>
      </c>
    </row>
    <row r="604" spans="2:65" s="2070" customFormat="1" ht="24.2" customHeight="1">
      <c r="B604" s="2164"/>
      <c r="C604" s="4614" t="s">
        <v>3873</v>
      </c>
      <c r="D604" s="4614" t="s">
        <v>135</v>
      </c>
      <c r="E604" s="4615" t="s">
        <v>10996</v>
      </c>
      <c r="F604" s="4616" t="s">
        <v>10997</v>
      </c>
      <c r="G604" s="4617" t="s">
        <v>611</v>
      </c>
      <c r="H604" s="4618">
        <v>20.291</v>
      </c>
      <c r="I604" s="4619"/>
      <c r="J604" s="4619">
        <f>ROUND(I604*H604,2)</f>
        <v>0</v>
      </c>
      <c r="K604" s="4616" t="s">
        <v>142</v>
      </c>
      <c r="L604" s="2223"/>
      <c r="M604" s="2224" t="s">
        <v>3146</v>
      </c>
      <c r="N604" s="2225" t="s">
        <v>3181</v>
      </c>
      <c r="O604" s="2191">
        <v>0</v>
      </c>
      <c r="P604" s="2191">
        <f>O604*H604</f>
        <v>0</v>
      </c>
      <c r="Q604" s="2191">
        <v>3.0000000000000001E-3</v>
      </c>
      <c r="R604" s="2191">
        <f>Q604*H604</f>
        <v>6.0873000000000003E-2</v>
      </c>
      <c r="S604" s="2191">
        <v>0</v>
      </c>
      <c r="T604" s="2192">
        <f>S604*H604</f>
        <v>0</v>
      </c>
      <c r="AR604" s="2193" t="s">
        <v>3389</v>
      </c>
      <c r="AT604" s="2193" t="s">
        <v>135</v>
      </c>
      <c r="AU604" s="2193" t="s">
        <v>134</v>
      </c>
      <c r="AY604" s="2056" t="s">
        <v>3285</v>
      </c>
      <c r="BE604" s="2194">
        <f>IF(N604="základní",J604,0)</f>
        <v>0</v>
      </c>
      <c r="BF604" s="2194">
        <f>IF(N604="snížená",J604,0)</f>
        <v>0</v>
      </c>
      <c r="BG604" s="2194">
        <f>IF(N604="zákl. přenesená",J604,0)</f>
        <v>0</v>
      </c>
      <c r="BH604" s="2194">
        <f>IF(N604="sníž. přenesená",J604,0)</f>
        <v>0</v>
      </c>
      <c r="BI604" s="2194">
        <f>IF(N604="nulová",J604,0)</f>
        <v>0</v>
      </c>
      <c r="BJ604" s="2056" t="s">
        <v>134</v>
      </c>
      <c r="BK604" s="2194">
        <f>ROUND(I604*H604,2)</f>
        <v>0</v>
      </c>
      <c r="BL604" s="2056" t="s">
        <v>2894</v>
      </c>
      <c r="BM604" s="2193" t="s">
        <v>11163</v>
      </c>
    </row>
    <row r="605" spans="2:65" s="2209" customFormat="1">
      <c r="B605" s="2210"/>
      <c r="D605" s="2197" t="s">
        <v>3303</v>
      </c>
      <c r="F605" s="2212" t="s">
        <v>11164</v>
      </c>
      <c r="H605" s="2213">
        <v>20.291</v>
      </c>
      <c r="L605" s="2210"/>
      <c r="M605" s="2214"/>
      <c r="T605" s="2215"/>
      <c r="AT605" s="2211" t="s">
        <v>3303</v>
      </c>
      <c r="AU605" s="2211" t="s">
        <v>134</v>
      </c>
      <c r="AV605" s="2209" t="s">
        <v>134</v>
      </c>
      <c r="AW605" s="2209" t="s">
        <v>3148</v>
      </c>
      <c r="AX605" s="2209" t="s">
        <v>133</v>
      </c>
      <c r="AY605" s="2211" t="s">
        <v>3285</v>
      </c>
    </row>
    <row r="606" spans="2:65" s="2070" customFormat="1" ht="16.5" customHeight="1">
      <c r="B606" s="2164"/>
      <c r="C606" s="4608" t="s">
        <v>3877</v>
      </c>
      <c r="D606" s="4608" t="s">
        <v>3286</v>
      </c>
      <c r="E606" s="4609" t="s">
        <v>11165</v>
      </c>
      <c r="F606" s="4610" t="s">
        <v>11166</v>
      </c>
      <c r="G606" s="4611" t="s">
        <v>611</v>
      </c>
      <c r="H606" s="4612">
        <v>100.8</v>
      </c>
      <c r="I606" s="4613"/>
      <c r="J606" s="4613">
        <f>ROUND(I606*H606,2)</f>
        <v>0</v>
      </c>
      <c r="K606" s="4610" t="s">
        <v>142</v>
      </c>
      <c r="L606" s="2071"/>
      <c r="M606" s="2190" t="s">
        <v>3146</v>
      </c>
      <c r="N606" s="2163" t="s">
        <v>3181</v>
      </c>
      <c r="O606" s="2191">
        <v>0.7</v>
      </c>
      <c r="P606" s="2191">
        <f>O606*H606</f>
        <v>70.559999999999988</v>
      </c>
      <c r="Q606" s="2191">
        <v>3.2000000000000002E-3</v>
      </c>
      <c r="R606" s="2191">
        <f>Q606*H606</f>
        <v>0.32256000000000001</v>
      </c>
      <c r="S606" s="2191">
        <v>0</v>
      </c>
      <c r="T606" s="2192">
        <f>S606*H606</f>
        <v>0</v>
      </c>
      <c r="AR606" s="2193" t="s">
        <v>2894</v>
      </c>
      <c r="AT606" s="2193" t="s">
        <v>3286</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11167</v>
      </c>
    </row>
    <row r="607" spans="2:65" s="2070" customFormat="1" ht="37.9" customHeight="1">
      <c r="B607" s="2164"/>
      <c r="C607" s="4608" t="s">
        <v>3881</v>
      </c>
      <c r="D607" s="4608" t="s">
        <v>3286</v>
      </c>
      <c r="E607" s="4609" t="s">
        <v>11168</v>
      </c>
      <c r="F607" s="4610" t="s">
        <v>11169</v>
      </c>
      <c r="G607" s="4611" t="s">
        <v>611</v>
      </c>
      <c r="H607" s="4612">
        <v>633.66099999999994</v>
      </c>
      <c r="I607" s="4613"/>
      <c r="J607" s="4613">
        <f>ROUND(I607*H607,2)</f>
        <v>0</v>
      </c>
      <c r="K607" s="4610" t="s">
        <v>142</v>
      </c>
      <c r="L607" s="2071"/>
      <c r="M607" s="2190" t="s">
        <v>3146</v>
      </c>
      <c r="N607" s="2163" t="s">
        <v>3181</v>
      </c>
      <c r="O607" s="2191">
        <v>2.1840000000000002</v>
      </c>
      <c r="P607" s="2191">
        <f>O607*H607</f>
        <v>1383.915624</v>
      </c>
      <c r="Q607" s="2191">
        <v>6.1550000000000001E-2</v>
      </c>
      <c r="R607" s="2191">
        <f>Q607*H607</f>
        <v>39.001834549999998</v>
      </c>
      <c r="S607" s="2191">
        <v>0</v>
      </c>
      <c r="T607" s="2192">
        <f>S607*H607</f>
        <v>0</v>
      </c>
      <c r="AR607" s="2193" t="s">
        <v>2894</v>
      </c>
      <c r="AT607" s="2193" t="s">
        <v>3286</v>
      </c>
      <c r="AU607" s="2193" t="s">
        <v>134</v>
      </c>
      <c r="AY607" s="2056" t="s">
        <v>3285</v>
      </c>
      <c r="BE607" s="2194">
        <f>IF(N607="základní",J607,0)</f>
        <v>0</v>
      </c>
      <c r="BF607" s="2194">
        <f>IF(N607="snížená",J607,0)</f>
        <v>0</v>
      </c>
      <c r="BG607" s="2194">
        <f>IF(N607="zákl. přenesená",J607,0)</f>
        <v>0</v>
      </c>
      <c r="BH607" s="2194">
        <f>IF(N607="sníž. přenesená",J607,0)</f>
        <v>0</v>
      </c>
      <c r="BI607" s="2194">
        <f>IF(N607="nulová",J607,0)</f>
        <v>0</v>
      </c>
      <c r="BJ607" s="2056" t="s">
        <v>134</v>
      </c>
      <c r="BK607" s="2194">
        <f>ROUND(I607*H607,2)</f>
        <v>0</v>
      </c>
      <c r="BL607" s="2056" t="s">
        <v>2894</v>
      </c>
      <c r="BM607" s="2193" t="s">
        <v>11170</v>
      </c>
    </row>
    <row r="608" spans="2:65" s="2195" customFormat="1">
      <c r="B608" s="2196"/>
      <c r="D608" s="2197" t="s">
        <v>3303</v>
      </c>
      <c r="E608" s="2198" t="s">
        <v>3146</v>
      </c>
      <c r="F608" s="2199" t="s">
        <v>3578</v>
      </c>
      <c r="H608" s="2198" t="s">
        <v>3146</v>
      </c>
      <c r="L608" s="2196"/>
      <c r="M608" s="2200"/>
      <c r="T608" s="2201"/>
      <c r="AT608" s="2198" t="s">
        <v>3303</v>
      </c>
      <c r="AU608" s="2198" t="s">
        <v>134</v>
      </c>
      <c r="AV608" s="2195" t="s">
        <v>133</v>
      </c>
      <c r="AW608" s="2195" t="s">
        <v>3171</v>
      </c>
      <c r="AX608" s="2195" t="s">
        <v>3213</v>
      </c>
      <c r="AY608" s="2198" t="s">
        <v>3285</v>
      </c>
    </row>
    <row r="609" spans="2:65" s="2209" customFormat="1">
      <c r="B609" s="2210"/>
      <c r="D609" s="2197" t="s">
        <v>3303</v>
      </c>
      <c r="E609" s="2211" t="s">
        <v>3146</v>
      </c>
      <c r="F609" s="2212" t="s">
        <v>11171</v>
      </c>
      <c r="H609" s="2213">
        <v>633.66099999999994</v>
      </c>
      <c r="L609" s="2210"/>
      <c r="M609" s="2214"/>
      <c r="T609" s="2215"/>
      <c r="AT609" s="2211" t="s">
        <v>3303</v>
      </c>
      <c r="AU609" s="2211" t="s">
        <v>134</v>
      </c>
      <c r="AV609" s="2209" t="s">
        <v>134</v>
      </c>
      <c r="AW609" s="2209" t="s">
        <v>3171</v>
      </c>
      <c r="AX609" s="2209" t="s">
        <v>3213</v>
      </c>
      <c r="AY609" s="2211" t="s">
        <v>3285</v>
      </c>
    </row>
    <row r="610" spans="2:65" s="2216" customFormat="1">
      <c r="B610" s="2217"/>
      <c r="D610" s="2197" t="s">
        <v>3303</v>
      </c>
      <c r="E610" s="2218" t="s">
        <v>3146</v>
      </c>
      <c r="F610" s="2219" t="s">
        <v>3306</v>
      </c>
      <c r="H610" s="2220">
        <v>633.66099999999994</v>
      </c>
      <c r="L610" s="2217"/>
      <c r="M610" s="2221"/>
      <c r="T610" s="2222"/>
      <c r="AT610" s="2218" t="s">
        <v>3303</v>
      </c>
      <c r="AU610" s="2218" t="s">
        <v>134</v>
      </c>
      <c r="AV610" s="2216" t="s">
        <v>856</v>
      </c>
      <c r="AW610" s="2216" t="s">
        <v>3171</v>
      </c>
      <c r="AX610" s="2216" t="s">
        <v>133</v>
      </c>
      <c r="AY610" s="2218" t="s">
        <v>3285</v>
      </c>
    </row>
    <row r="611" spans="2:65" s="2070" customFormat="1" ht="44.25" customHeight="1">
      <c r="B611" s="2164"/>
      <c r="C611" s="4608" t="s">
        <v>3885</v>
      </c>
      <c r="D611" s="4608" t="s">
        <v>3286</v>
      </c>
      <c r="E611" s="4609" t="s">
        <v>11172</v>
      </c>
      <c r="F611" s="4610" t="s">
        <v>11173</v>
      </c>
      <c r="G611" s="4611" t="s">
        <v>611</v>
      </c>
      <c r="H611" s="4612">
        <v>210.00800000000001</v>
      </c>
      <c r="I611" s="4613"/>
      <c r="J611" s="4613">
        <f>ROUND(I611*H611,2)</f>
        <v>0</v>
      </c>
      <c r="K611" s="4610" t="s">
        <v>142</v>
      </c>
      <c r="L611" s="2071"/>
      <c r="M611" s="2190" t="s">
        <v>3146</v>
      </c>
      <c r="N611" s="2163" t="s">
        <v>3181</v>
      </c>
      <c r="O611" s="2191">
        <v>2.1840000000000002</v>
      </c>
      <c r="P611" s="2191">
        <f>O611*H611</f>
        <v>458.65747200000004</v>
      </c>
      <c r="Q611" s="2191">
        <v>6.1929999999999999E-2</v>
      </c>
      <c r="R611" s="2191">
        <f>Q611*H611</f>
        <v>13.00579544</v>
      </c>
      <c r="S611" s="2191">
        <v>0</v>
      </c>
      <c r="T611" s="2192">
        <f>S611*H611</f>
        <v>0</v>
      </c>
      <c r="AR611" s="2193" t="s">
        <v>2894</v>
      </c>
      <c r="AT611" s="2193" t="s">
        <v>3286</v>
      </c>
      <c r="AU611" s="2193" t="s">
        <v>134</v>
      </c>
      <c r="AY611" s="2056" t="s">
        <v>3285</v>
      </c>
      <c r="BE611" s="2194">
        <f>IF(N611="základní",J611,0)</f>
        <v>0</v>
      </c>
      <c r="BF611" s="2194">
        <f>IF(N611="snížená",J611,0)</f>
        <v>0</v>
      </c>
      <c r="BG611" s="2194">
        <f>IF(N611="zákl. přenesená",J611,0)</f>
        <v>0</v>
      </c>
      <c r="BH611" s="2194">
        <f>IF(N611="sníž. přenesená",J611,0)</f>
        <v>0</v>
      </c>
      <c r="BI611" s="2194">
        <f>IF(N611="nulová",J611,0)</f>
        <v>0</v>
      </c>
      <c r="BJ611" s="2056" t="s">
        <v>134</v>
      </c>
      <c r="BK611" s="2194">
        <f>ROUND(I611*H611,2)</f>
        <v>0</v>
      </c>
      <c r="BL611" s="2056" t="s">
        <v>2894</v>
      </c>
      <c r="BM611" s="2193" t="s">
        <v>11174</v>
      </c>
    </row>
    <row r="612" spans="2:65" s="2195" customFormat="1">
      <c r="B612" s="2196"/>
      <c r="D612" s="2197" t="s">
        <v>3303</v>
      </c>
      <c r="E612" s="2198" t="s">
        <v>3146</v>
      </c>
      <c r="F612" s="2199" t="s">
        <v>3517</v>
      </c>
      <c r="H612" s="2198" t="s">
        <v>3146</v>
      </c>
      <c r="L612" s="2196"/>
      <c r="M612" s="2200"/>
      <c r="T612" s="2201"/>
      <c r="AT612" s="2198" t="s">
        <v>3303</v>
      </c>
      <c r="AU612" s="2198" t="s">
        <v>134</v>
      </c>
      <c r="AV612" s="2195" t="s">
        <v>133</v>
      </c>
      <c r="AW612" s="2195" t="s">
        <v>3171</v>
      </c>
      <c r="AX612" s="2195" t="s">
        <v>3213</v>
      </c>
      <c r="AY612" s="2198" t="s">
        <v>3285</v>
      </c>
    </row>
    <row r="613" spans="2:65" s="2209" customFormat="1">
      <c r="B613" s="2210"/>
      <c r="D613" s="2197" t="s">
        <v>3303</v>
      </c>
      <c r="E613" s="2211" t="s">
        <v>3146</v>
      </c>
      <c r="F613" s="2212" t="s">
        <v>11175</v>
      </c>
      <c r="H613" s="2213">
        <v>30.97</v>
      </c>
      <c r="L613" s="2210"/>
      <c r="M613" s="2214"/>
      <c r="T613" s="2215"/>
      <c r="AT613" s="2211" t="s">
        <v>3303</v>
      </c>
      <c r="AU613" s="2211" t="s">
        <v>134</v>
      </c>
      <c r="AV613" s="2209" t="s">
        <v>134</v>
      </c>
      <c r="AW613" s="2209" t="s">
        <v>3171</v>
      </c>
      <c r="AX613" s="2209" t="s">
        <v>3213</v>
      </c>
      <c r="AY613" s="2211" t="s">
        <v>3285</v>
      </c>
    </row>
    <row r="614" spans="2:65" s="2195" customFormat="1">
      <c r="B614" s="2196"/>
      <c r="D614" s="2197" t="s">
        <v>3303</v>
      </c>
      <c r="E614" s="2198" t="s">
        <v>3146</v>
      </c>
      <c r="F614" s="2199" t="s">
        <v>3661</v>
      </c>
      <c r="H614" s="2198" t="s">
        <v>3146</v>
      </c>
      <c r="L614" s="2196"/>
      <c r="M614" s="2200"/>
      <c r="T614" s="2201"/>
      <c r="AT614" s="2198" t="s">
        <v>3303</v>
      </c>
      <c r="AU614" s="2198" t="s">
        <v>134</v>
      </c>
      <c r="AV614" s="2195" t="s">
        <v>133</v>
      </c>
      <c r="AW614" s="2195" t="s">
        <v>3171</v>
      </c>
      <c r="AX614" s="2195" t="s">
        <v>3213</v>
      </c>
      <c r="AY614" s="2198" t="s">
        <v>3285</v>
      </c>
    </row>
    <row r="615" spans="2:65" s="2209" customFormat="1">
      <c r="B615" s="2210"/>
      <c r="D615" s="2197" t="s">
        <v>3303</v>
      </c>
      <c r="E615" s="2211" t="s">
        <v>3146</v>
      </c>
      <c r="F615" s="2212" t="s">
        <v>11176</v>
      </c>
      <c r="H615" s="2213">
        <v>45.582000000000001</v>
      </c>
      <c r="L615" s="2210"/>
      <c r="M615" s="2214"/>
      <c r="T615" s="2215"/>
      <c r="AT615" s="2211" t="s">
        <v>3303</v>
      </c>
      <c r="AU615" s="2211" t="s">
        <v>134</v>
      </c>
      <c r="AV615" s="2209" t="s">
        <v>134</v>
      </c>
      <c r="AW615" s="2209" t="s">
        <v>3171</v>
      </c>
      <c r="AX615" s="2209" t="s">
        <v>3213</v>
      </c>
      <c r="AY615" s="2211" t="s">
        <v>3285</v>
      </c>
    </row>
    <row r="616" spans="2:65" s="2209" customFormat="1">
      <c r="B616" s="2210"/>
      <c r="D616" s="2197" t="s">
        <v>3303</v>
      </c>
      <c r="E616" s="2211" t="s">
        <v>3146</v>
      </c>
      <c r="F616" s="2212" t="s">
        <v>11177</v>
      </c>
      <c r="H616" s="2213">
        <v>36.139000000000003</v>
      </c>
      <c r="L616" s="2210"/>
      <c r="M616" s="2214"/>
      <c r="T616" s="2215"/>
      <c r="AT616" s="2211" t="s">
        <v>3303</v>
      </c>
      <c r="AU616" s="2211" t="s">
        <v>134</v>
      </c>
      <c r="AV616" s="2209" t="s">
        <v>134</v>
      </c>
      <c r="AW616" s="2209" t="s">
        <v>3171</v>
      </c>
      <c r="AX616" s="2209" t="s">
        <v>3213</v>
      </c>
      <c r="AY616" s="2211" t="s">
        <v>3285</v>
      </c>
    </row>
    <row r="617" spans="2:65" s="2195" customFormat="1">
      <c r="B617" s="2196"/>
      <c r="D617" s="2197" t="s">
        <v>3303</v>
      </c>
      <c r="E617" s="2198" t="s">
        <v>3146</v>
      </c>
      <c r="F617" s="2199" t="s">
        <v>3580</v>
      </c>
      <c r="H617" s="2198" t="s">
        <v>3146</v>
      </c>
      <c r="L617" s="2196"/>
      <c r="M617" s="2200"/>
      <c r="T617" s="2201"/>
      <c r="AT617" s="2198" t="s">
        <v>3303</v>
      </c>
      <c r="AU617" s="2198" t="s">
        <v>134</v>
      </c>
      <c r="AV617" s="2195" t="s">
        <v>133</v>
      </c>
      <c r="AW617" s="2195" t="s">
        <v>3171</v>
      </c>
      <c r="AX617" s="2195" t="s">
        <v>3213</v>
      </c>
      <c r="AY617" s="2198" t="s">
        <v>3285</v>
      </c>
    </row>
    <row r="618" spans="2:65" s="2209" customFormat="1">
      <c r="B618" s="2210"/>
      <c r="D618" s="2197" t="s">
        <v>3303</v>
      </c>
      <c r="E618" s="2211" t="s">
        <v>3146</v>
      </c>
      <c r="F618" s="2212" t="s">
        <v>11178</v>
      </c>
      <c r="H618" s="2213">
        <v>97.316999999999993</v>
      </c>
      <c r="L618" s="2210"/>
      <c r="M618" s="2214"/>
      <c r="T618" s="2215"/>
      <c r="AT618" s="2211" t="s">
        <v>3303</v>
      </c>
      <c r="AU618" s="2211" t="s">
        <v>134</v>
      </c>
      <c r="AV618" s="2209" t="s">
        <v>134</v>
      </c>
      <c r="AW618" s="2209" t="s">
        <v>3171</v>
      </c>
      <c r="AX618" s="2209" t="s">
        <v>3213</v>
      </c>
      <c r="AY618" s="2211" t="s">
        <v>3285</v>
      </c>
    </row>
    <row r="619" spans="2:65" s="2202" customFormat="1">
      <c r="B619" s="2203"/>
      <c r="D619" s="2197" t="s">
        <v>3303</v>
      </c>
      <c r="E619" s="2204" t="s">
        <v>3146</v>
      </c>
      <c r="F619" s="2205" t="s">
        <v>3305</v>
      </c>
      <c r="H619" s="2206">
        <v>210.00800000000001</v>
      </c>
      <c r="L619" s="2203"/>
      <c r="M619" s="2207"/>
      <c r="T619" s="2208"/>
      <c r="AT619" s="2204" t="s">
        <v>3303</v>
      </c>
      <c r="AU619" s="2204" t="s">
        <v>134</v>
      </c>
      <c r="AV619" s="2202" t="s">
        <v>854</v>
      </c>
      <c r="AW619" s="2202" t="s">
        <v>3171</v>
      </c>
      <c r="AX619" s="2202" t="s">
        <v>133</v>
      </c>
      <c r="AY619" s="2204" t="s">
        <v>3285</v>
      </c>
    </row>
    <row r="620" spans="2:65" s="2070" customFormat="1" ht="49.15" customHeight="1">
      <c r="B620" s="2164"/>
      <c r="C620" s="4608" t="s">
        <v>3889</v>
      </c>
      <c r="D620" s="4608" t="s">
        <v>3286</v>
      </c>
      <c r="E620" s="4609" t="s">
        <v>11179</v>
      </c>
      <c r="F620" s="4610" t="s">
        <v>11180</v>
      </c>
      <c r="G620" s="4611" t="s">
        <v>611</v>
      </c>
      <c r="H620" s="4612">
        <v>64.331000000000003</v>
      </c>
      <c r="I620" s="4613"/>
      <c r="J620" s="4613">
        <f>ROUND(I620*H620,2)</f>
        <v>0</v>
      </c>
      <c r="K620" s="4610" t="s">
        <v>142</v>
      </c>
      <c r="L620" s="2071"/>
      <c r="M620" s="2190" t="s">
        <v>3146</v>
      </c>
      <c r="N620" s="2163" t="s">
        <v>3181</v>
      </c>
      <c r="O620" s="2191">
        <v>2.1840000000000002</v>
      </c>
      <c r="P620" s="2191">
        <f>O620*H620</f>
        <v>140.49890400000001</v>
      </c>
      <c r="Q620" s="2191">
        <v>4.9950000000000001E-2</v>
      </c>
      <c r="R620" s="2191">
        <f>Q620*H620</f>
        <v>3.2133334500000004</v>
      </c>
      <c r="S620" s="2191">
        <v>0</v>
      </c>
      <c r="T620" s="2192">
        <f>S620*H620</f>
        <v>0</v>
      </c>
      <c r="AR620" s="2193" t="s">
        <v>2894</v>
      </c>
      <c r="AT620" s="2193" t="s">
        <v>3286</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2894</v>
      </c>
      <c r="BM620" s="2193" t="s">
        <v>11181</v>
      </c>
    </row>
    <row r="621" spans="2:65" s="2195" customFormat="1">
      <c r="B621" s="2196"/>
      <c r="D621" s="2197" t="s">
        <v>3303</v>
      </c>
      <c r="E621" s="2198" t="s">
        <v>3146</v>
      </c>
      <c r="F621" s="2199" t="s">
        <v>3661</v>
      </c>
      <c r="H621" s="2198" t="s">
        <v>3146</v>
      </c>
      <c r="L621" s="2196"/>
      <c r="M621" s="2200"/>
      <c r="T621" s="2201"/>
      <c r="AT621" s="2198" t="s">
        <v>3303</v>
      </c>
      <c r="AU621" s="2198" t="s">
        <v>134</v>
      </c>
      <c r="AV621" s="2195" t="s">
        <v>133</v>
      </c>
      <c r="AW621" s="2195" t="s">
        <v>3171</v>
      </c>
      <c r="AX621" s="2195" t="s">
        <v>3213</v>
      </c>
      <c r="AY621" s="2198" t="s">
        <v>3285</v>
      </c>
    </row>
    <row r="622" spans="2:65" s="2209" customFormat="1">
      <c r="B622" s="2210"/>
      <c r="D622" s="2197" t="s">
        <v>3303</v>
      </c>
      <c r="E622" s="2211" t="s">
        <v>3146</v>
      </c>
      <c r="F622" s="2212" t="s">
        <v>11182</v>
      </c>
      <c r="H622" s="2213">
        <v>64.331000000000003</v>
      </c>
      <c r="L622" s="2210"/>
      <c r="M622" s="2214"/>
      <c r="T622" s="2215"/>
      <c r="AT622" s="2211" t="s">
        <v>3303</v>
      </c>
      <c r="AU622" s="2211" t="s">
        <v>134</v>
      </c>
      <c r="AV622" s="2209" t="s">
        <v>134</v>
      </c>
      <c r="AW622" s="2209" t="s">
        <v>3171</v>
      </c>
      <c r="AX622" s="2209" t="s">
        <v>3213</v>
      </c>
      <c r="AY622" s="2211" t="s">
        <v>3285</v>
      </c>
    </row>
    <row r="623" spans="2:65" s="2216" customFormat="1">
      <c r="B623" s="2217"/>
      <c r="D623" s="2197" t="s">
        <v>3303</v>
      </c>
      <c r="E623" s="2218" t="s">
        <v>3146</v>
      </c>
      <c r="F623" s="2219" t="s">
        <v>3306</v>
      </c>
      <c r="H623" s="2220">
        <v>64.331000000000003</v>
      </c>
      <c r="L623" s="2217"/>
      <c r="M623" s="2221"/>
      <c r="T623" s="2222"/>
      <c r="AT623" s="2218" t="s">
        <v>3303</v>
      </c>
      <c r="AU623" s="2218" t="s">
        <v>134</v>
      </c>
      <c r="AV623" s="2216" t="s">
        <v>856</v>
      </c>
      <c r="AW623" s="2216" t="s">
        <v>3171</v>
      </c>
      <c r="AX623" s="2216" t="s">
        <v>133</v>
      </c>
      <c r="AY623" s="2218" t="s">
        <v>3285</v>
      </c>
    </row>
    <row r="624" spans="2:65" s="2070" customFormat="1" ht="49.15" customHeight="1">
      <c r="B624" s="2164"/>
      <c r="C624" s="4608" t="s">
        <v>3893</v>
      </c>
      <c r="D624" s="4608" t="s">
        <v>3286</v>
      </c>
      <c r="E624" s="4609" t="s">
        <v>11183</v>
      </c>
      <c r="F624" s="4610" t="s">
        <v>11184</v>
      </c>
      <c r="G624" s="4611" t="s">
        <v>611</v>
      </c>
      <c r="H624" s="4612">
        <v>254.43100000000001</v>
      </c>
      <c r="I624" s="4613"/>
      <c r="J624" s="4613">
        <f>ROUND(I624*H624,2)</f>
        <v>0</v>
      </c>
      <c r="K624" s="4610" t="s">
        <v>142</v>
      </c>
      <c r="L624" s="2071"/>
      <c r="M624" s="2190" t="s">
        <v>3146</v>
      </c>
      <c r="N624" s="2163" t="s">
        <v>3181</v>
      </c>
      <c r="O624" s="2191">
        <v>2.1840000000000002</v>
      </c>
      <c r="P624" s="2191">
        <f>O624*H624</f>
        <v>555.67730400000005</v>
      </c>
      <c r="Q624" s="2191">
        <v>5.5350000000000003E-2</v>
      </c>
      <c r="R624" s="2191">
        <f>Q624*H624</f>
        <v>14.082755850000002</v>
      </c>
      <c r="S624" s="2191">
        <v>0</v>
      </c>
      <c r="T624" s="2192">
        <f>S624*H624</f>
        <v>0</v>
      </c>
      <c r="AR624" s="2193" t="s">
        <v>2894</v>
      </c>
      <c r="AT624" s="2193" t="s">
        <v>3286</v>
      </c>
      <c r="AU624" s="2193" t="s">
        <v>134</v>
      </c>
      <c r="AY624" s="2056" t="s">
        <v>3285</v>
      </c>
      <c r="BE624" s="2194">
        <f>IF(N624="základní",J624,0)</f>
        <v>0</v>
      </c>
      <c r="BF624" s="2194">
        <f>IF(N624="snížená",J624,0)</f>
        <v>0</v>
      </c>
      <c r="BG624" s="2194">
        <f>IF(N624="zákl. přenesená",J624,0)</f>
        <v>0</v>
      </c>
      <c r="BH624" s="2194">
        <f>IF(N624="sníž. přenesená",J624,0)</f>
        <v>0</v>
      </c>
      <c r="BI624" s="2194">
        <f>IF(N624="nulová",J624,0)</f>
        <v>0</v>
      </c>
      <c r="BJ624" s="2056" t="s">
        <v>134</v>
      </c>
      <c r="BK624" s="2194">
        <f>ROUND(I624*H624,2)</f>
        <v>0</v>
      </c>
      <c r="BL624" s="2056" t="s">
        <v>2894</v>
      </c>
      <c r="BM624" s="2193" t="s">
        <v>11185</v>
      </c>
    </row>
    <row r="625" spans="2:65" s="2195" customFormat="1">
      <c r="B625" s="2196"/>
      <c r="D625" s="2197" t="s">
        <v>3303</v>
      </c>
      <c r="E625" s="2198" t="s">
        <v>3146</v>
      </c>
      <c r="F625" s="2199" t="s">
        <v>3578</v>
      </c>
      <c r="H625" s="2198" t="s">
        <v>3146</v>
      </c>
      <c r="L625" s="2196"/>
      <c r="M625" s="2200"/>
      <c r="T625" s="2201"/>
      <c r="AT625" s="2198" t="s">
        <v>3303</v>
      </c>
      <c r="AU625" s="2198" t="s">
        <v>134</v>
      </c>
      <c r="AV625" s="2195" t="s">
        <v>133</v>
      </c>
      <c r="AW625" s="2195" t="s">
        <v>3171</v>
      </c>
      <c r="AX625" s="2195" t="s">
        <v>3213</v>
      </c>
      <c r="AY625" s="2198" t="s">
        <v>3285</v>
      </c>
    </row>
    <row r="626" spans="2:65" s="2209" customFormat="1">
      <c r="B626" s="2210"/>
      <c r="D626" s="2197" t="s">
        <v>3303</v>
      </c>
      <c r="E626" s="2211" t="s">
        <v>3146</v>
      </c>
      <c r="F626" s="2212" t="s">
        <v>11186</v>
      </c>
      <c r="H626" s="2213">
        <v>91.724000000000004</v>
      </c>
      <c r="L626" s="2210"/>
      <c r="M626" s="2214"/>
      <c r="T626" s="2215"/>
      <c r="AT626" s="2211" t="s">
        <v>3303</v>
      </c>
      <c r="AU626" s="2211" t="s">
        <v>134</v>
      </c>
      <c r="AV626" s="2209" t="s">
        <v>134</v>
      </c>
      <c r="AW626" s="2209" t="s">
        <v>3171</v>
      </c>
      <c r="AX626" s="2209" t="s">
        <v>3213</v>
      </c>
      <c r="AY626" s="2211" t="s">
        <v>3285</v>
      </c>
    </row>
    <row r="627" spans="2:65" s="2209" customFormat="1">
      <c r="B627" s="2210"/>
      <c r="D627" s="2197" t="s">
        <v>3303</v>
      </c>
      <c r="E627" s="2211" t="s">
        <v>3146</v>
      </c>
      <c r="F627" s="2212" t="s">
        <v>11187</v>
      </c>
      <c r="H627" s="2213">
        <v>65.39</v>
      </c>
      <c r="L627" s="2210"/>
      <c r="M627" s="2214"/>
      <c r="T627" s="2215"/>
      <c r="AT627" s="2211" t="s">
        <v>3303</v>
      </c>
      <c r="AU627" s="2211" t="s">
        <v>134</v>
      </c>
      <c r="AV627" s="2209" t="s">
        <v>134</v>
      </c>
      <c r="AW627" s="2209" t="s">
        <v>3171</v>
      </c>
      <c r="AX627" s="2209" t="s">
        <v>3213</v>
      </c>
      <c r="AY627" s="2211" t="s">
        <v>3285</v>
      </c>
    </row>
    <row r="628" spans="2:65" s="2195" customFormat="1">
      <c r="B628" s="2196"/>
      <c r="D628" s="2197" t="s">
        <v>3303</v>
      </c>
      <c r="E628" s="2198" t="s">
        <v>3146</v>
      </c>
      <c r="F628" s="2199" t="s">
        <v>3580</v>
      </c>
      <c r="H628" s="2198" t="s">
        <v>3146</v>
      </c>
      <c r="L628" s="2196"/>
      <c r="M628" s="2200"/>
      <c r="T628" s="2201"/>
      <c r="AT628" s="2198" t="s">
        <v>3303</v>
      </c>
      <c r="AU628" s="2198" t="s">
        <v>134</v>
      </c>
      <c r="AV628" s="2195" t="s">
        <v>133</v>
      </c>
      <c r="AW628" s="2195" t="s">
        <v>3171</v>
      </c>
      <c r="AX628" s="2195" t="s">
        <v>3213</v>
      </c>
      <c r="AY628" s="2198" t="s">
        <v>3285</v>
      </c>
    </row>
    <row r="629" spans="2:65" s="2209" customFormat="1">
      <c r="B629" s="2210"/>
      <c r="D629" s="2197" t="s">
        <v>3303</v>
      </c>
      <c r="E629" s="2211" t="s">
        <v>3146</v>
      </c>
      <c r="F629" s="2212" t="s">
        <v>11178</v>
      </c>
      <c r="H629" s="2213">
        <v>97.316999999999993</v>
      </c>
      <c r="L629" s="2210"/>
      <c r="M629" s="2214"/>
      <c r="T629" s="2215"/>
      <c r="AT629" s="2211" t="s">
        <v>3303</v>
      </c>
      <c r="AU629" s="2211" t="s">
        <v>134</v>
      </c>
      <c r="AV629" s="2209" t="s">
        <v>134</v>
      </c>
      <c r="AW629" s="2209" t="s">
        <v>3171</v>
      </c>
      <c r="AX629" s="2209" t="s">
        <v>3213</v>
      </c>
      <c r="AY629" s="2211" t="s">
        <v>3285</v>
      </c>
    </row>
    <row r="630" spans="2:65" s="2202" customFormat="1">
      <c r="B630" s="2203"/>
      <c r="D630" s="2197" t="s">
        <v>3303</v>
      </c>
      <c r="E630" s="2204" t="s">
        <v>3146</v>
      </c>
      <c r="F630" s="2205" t="s">
        <v>3305</v>
      </c>
      <c r="H630" s="2206">
        <v>254.43100000000001</v>
      </c>
      <c r="L630" s="2203"/>
      <c r="M630" s="2207"/>
      <c r="T630" s="2208"/>
      <c r="AT630" s="2204" t="s">
        <v>3303</v>
      </c>
      <c r="AU630" s="2204" t="s">
        <v>134</v>
      </c>
      <c r="AV630" s="2202" t="s">
        <v>854</v>
      </c>
      <c r="AW630" s="2202" t="s">
        <v>3171</v>
      </c>
      <c r="AX630" s="2202" t="s">
        <v>3213</v>
      </c>
      <c r="AY630" s="2204" t="s">
        <v>3285</v>
      </c>
    </row>
    <row r="631" spans="2:65" s="2216" customFormat="1">
      <c r="B631" s="2217"/>
      <c r="D631" s="2197" t="s">
        <v>3303</v>
      </c>
      <c r="E631" s="2218" t="s">
        <v>3146</v>
      </c>
      <c r="F631" s="2219" t="s">
        <v>3306</v>
      </c>
      <c r="H631" s="2220">
        <v>254.43100000000001</v>
      </c>
      <c r="L631" s="2217"/>
      <c r="M631" s="2221"/>
      <c r="T631" s="2222"/>
      <c r="AT631" s="2218" t="s">
        <v>3303</v>
      </c>
      <c r="AU631" s="2218" t="s">
        <v>134</v>
      </c>
      <c r="AV631" s="2216" t="s">
        <v>856</v>
      </c>
      <c r="AW631" s="2216" t="s">
        <v>3171</v>
      </c>
      <c r="AX631" s="2216" t="s">
        <v>133</v>
      </c>
      <c r="AY631" s="2218" t="s">
        <v>3285</v>
      </c>
    </row>
    <row r="632" spans="2:65" s="2070" customFormat="1" ht="37.9" customHeight="1">
      <c r="B632" s="2164"/>
      <c r="C632" s="4608" t="s">
        <v>3897</v>
      </c>
      <c r="D632" s="4608" t="s">
        <v>3286</v>
      </c>
      <c r="E632" s="4609" t="s">
        <v>11188</v>
      </c>
      <c r="F632" s="4610" t="s">
        <v>11189</v>
      </c>
      <c r="G632" s="4611" t="s">
        <v>611</v>
      </c>
      <c r="H632" s="4612">
        <v>201.298</v>
      </c>
      <c r="I632" s="4613"/>
      <c r="J632" s="4613">
        <f>ROUND(I632*H632,2)</f>
        <v>0</v>
      </c>
      <c r="K632" s="4610" t="s">
        <v>142</v>
      </c>
      <c r="L632" s="2071"/>
      <c r="M632" s="2190" t="s">
        <v>3146</v>
      </c>
      <c r="N632" s="2163" t="s">
        <v>3181</v>
      </c>
      <c r="O632" s="2191">
        <v>1.617</v>
      </c>
      <c r="P632" s="2191">
        <f>O632*H632</f>
        <v>325.49886600000002</v>
      </c>
      <c r="Q632" s="2191">
        <v>6.1190000000000001E-2</v>
      </c>
      <c r="R632" s="2191">
        <f>Q632*H632</f>
        <v>12.317424620000001</v>
      </c>
      <c r="S632" s="2191">
        <v>0</v>
      </c>
      <c r="T632" s="2192">
        <f>S632*H632</f>
        <v>0</v>
      </c>
      <c r="AR632" s="2193" t="s">
        <v>2894</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2894</v>
      </c>
      <c r="BM632" s="2193" t="s">
        <v>11190</v>
      </c>
    </row>
    <row r="633" spans="2:65" s="2195" customFormat="1">
      <c r="B633" s="2196"/>
      <c r="D633" s="2197" t="s">
        <v>3303</v>
      </c>
      <c r="E633" s="2198" t="s">
        <v>3146</v>
      </c>
      <c r="F633" s="2199" t="s">
        <v>3517</v>
      </c>
      <c r="H633" s="2198" t="s">
        <v>3146</v>
      </c>
      <c r="L633" s="2196"/>
      <c r="M633" s="2200"/>
      <c r="T633" s="2201"/>
      <c r="AT633" s="2198" t="s">
        <v>3303</v>
      </c>
      <c r="AU633" s="2198" t="s">
        <v>134</v>
      </c>
      <c r="AV633" s="2195" t="s">
        <v>133</v>
      </c>
      <c r="AW633" s="2195" t="s">
        <v>3171</v>
      </c>
      <c r="AX633" s="2195" t="s">
        <v>3213</v>
      </c>
      <c r="AY633" s="2198" t="s">
        <v>3285</v>
      </c>
    </row>
    <row r="634" spans="2:65" s="2209" customFormat="1">
      <c r="B634" s="2210"/>
      <c r="D634" s="2197" t="s">
        <v>3303</v>
      </c>
      <c r="E634" s="2211" t="s">
        <v>3146</v>
      </c>
      <c r="F634" s="2212" t="s">
        <v>11191</v>
      </c>
      <c r="H634" s="2213">
        <v>24.452999999999999</v>
      </c>
      <c r="L634" s="2210"/>
      <c r="M634" s="2214"/>
      <c r="T634" s="2215"/>
      <c r="AT634" s="2211" t="s">
        <v>3303</v>
      </c>
      <c r="AU634" s="2211" t="s">
        <v>134</v>
      </c>
      <c r="AV634" s="2209" t="s">
        <v>134</v>
      </c>
      <c r="AW634" s="2209" t="s">
        <v>3171</v>
      </c>
      <c r="AX634" s="2209" t="s">
        <v>3213</v>
      </c>
      <c r="AY634" s="2211" t="s">
        <v>3285</v>
      </c>
    </row>
    <row r="635" spans="2:65" s="2195" customFormat="1">
      <c r="B635" s="2196"/>
      <c r="D635" s="2197" t="s">
        <v>3303</v>
      </c>
      <c r="E635" s="2198" t="s">
        <v>3146</v>
      </c>
      <c r="F635" s="2199" t="s">
        <v>3578</v>
      </c>
      <c r="H635" s="2198" t="s">
        <v>3146</v>
      </c>
      <c r="L635" s="2196"/>
      <c r="M635" s="2200"/>
      <c r="T635" s="2201"/>
      <c r="AT635" s="2198" t="s">
        <v>3303</v>
      </c>
      <c r="AU635" s="2198" t="s">
        <v>134</v>
      </c>
      <c r="AV635" s="2195" t="s">
        <v>133</v>
      </c>
      <c r="AW635" s="2195" t="s">
        <v>3171</v>
      </c>
      <c r="AX635" s="2195" t="s">
        <v>3213</v>
      </c>
      <c r="AY635" s="2198" t="s">
        <v>3285</v>
      </c>
    </row>
    <row r="636" spans="2:65" s="2209" customFormat="1">
      <c r="B636" s="2210"/>
      <c r="D636" s="2197" t="s">
        <v>3303</v>
      </c>
      <c r="E636" s="2211" t="s">
        <v>3146</v>
      </c>
      <c r="F636" s="2212" t="s">
        <v>11192</v>
      </c>
      <c r="H636" s="2213">
        <v>56.73</v>
      </c>
      <c r="L636" s="2210"/>
      <c r="M636" s="2214"/>
      <c r="T636" s="2215"/>
      <c r="AT636" s="2211" t="s">
        <v>3303</v>
      </c>
      <c r="AU636" s="2211" t="s">
        <v>134</v>
      </c>
      <c r="AV636" s="2209" t="s">
        <v>134</v>
      </c>
      <c r="AW636" s="2209" t="s">
        <v>3171</v>
      </c>
      <c r="AX636" s="2209" t="s">
        <v>3213</v>
      </c>
      <c r="AY636" s="2211" t="s">
        <v>3285</v>
      </c>
    </row>
    <row r="637" spans="2:65" s="2195" customFormat="1">
      <c r="B637" s="2196"/>
      <c r="D637" s="2197" t="s">
        <v>3303</v>
      </c>
      <c r="E637" s="2198" t="s">
        <v>3146</v>
      </c>
      <c r="F637" s="2199" t="s">
        <v>3580</v>
      </c>
      <c r="H637" s="2198" t="s">
        <v>3146</v>
      </c>
      <c r="L637" s="2196"/>
      <c r="M637" s="2200"/>
      <c r="T637" s="2201"/>
      <c r="AT637" s="2198" t="s">
        <v>3303</v>
      </c>
      <c r="AU637" s="2198" t="s">
        <v>134</v>
      </c>
      <c r="AV637" s="2195" t="s">
        <v>133</v>
      </c>
      <c r="AW637" s="2195" t="s">
        <v>3171</v>
      </c>
      <c r="AX637" s="2195" t="s">
        <v>3213</v>
      </c>
      <c r="AY637" s="2198" t="s">
        <v>3285</v>
      </c>
    </row>
    <row r="638" spans="2:65" s="2209" customFormat="1">
      <c r="B638" s="2210"/>
      <c r="D638" s="2197" t="s">
        <v>3303</v>
      </c>
      <c r="E638" s="2211" t="s">
        <v>3146</v>
      </c>
      <c r="F638" s="2212" t="s">
        <v>11193</v>
      </c>
      <c r="H638" s="2213">
        <v>120.11499999999999</v>
      </c>
      <c r="L638" s="2210"/>
      <c r="M638" s="2214"/>
      <c r="T638" s="2215"/>
      <c r="AT638" s="2211" t="s">
        <v>3303</v>
      </c>
      <c r="AU638" s="2211" t="s">
        <v>134</v>
      </c>
      <c r="AV638" s="2209" t="s">
        <v>134</v>
      </c>
      <c r="AW638" s="2209" t="s">
        <v>3171</v>
      </c>
      <c r="AX638" s="2209" t="s">
        <v>3213</v>
      </c>
      <c r="AY638" s="2211" t="s">
        <v>3285</v>
      </c>
    </row>
    <row r="639" spans="2:65" s="2216" customFormat="1">
      <c r="B639" s="2217"/>
      <c r="D639" s="2197" t="s">
        <v>3303</v>
      </c>
      <c r="E639" s="2218" t="s">
        <v>3146</v>
      </c>
      <c r="F639" s="2219" t="s">
        <v>3306</v>
      </c>
      <c r="H639" s="2220">
        <v>201.298</v>
      </c>
      <c r="L639" s="2217"/>
      <c r="M639" s="2221"/>
      <c r="T639" s="2222"/>
      <c r="AT639" s="2218" t="s">
        <v>3303</v>
      </c>
      <c r="AU639" s="2218" t="s">
        <v>134</v>
      </c>
      <c r="AV639" s="2216" t="s">
        <v>856</v>
      </c>
      <c r="AW639" s="2216" t="s">
        <v>3171</v>
      </c>
      <c r="AX639" s="2216" t="s">
        <v>133</v>
      </c>
      <c r="AY639" s="2218" t="s">
        <v>3285</v>
      </c>
    </row>
    <row r="640" spans="2:65" s="2070" customFormat="1" ht="37.9" customHeight="1">
      <c r="B640" s="2164"/>
      <c r="C640" s="4608" t="s">
        <v>3901</v>
      </c>
      <c r="D640" s="4608" t="s">
        <v>3286</v>
      </c>
      <c r="E640" s="4609" t="s">
        <v>11194</v>
      </c>
      <c r="F640" s="4610" t="s">
        <v>11195</v>
      </c>
      <c r="G640" s="4611" t="s">
        <v>611</v>
      </c>
      <c r="H640" s="4612">
        <v>1654.624</v>
      </c>
      <c r="I640" s="4613"/>
      <c r="J640" s="4613">
        <f>ROUND(I640*H640,2)</f>
        <v>0</v>
      </c>
      <c r="K640" s="4610" t="s">
        <v>142</v>
      </c>
      <c r="L640" s="2071"/>
      <c r="M640" s="2190" t="s">
        <v>3146</v>
      </c>
      <c r="N640" s="2163" t="s">
        <v>3181</v>
      </c>
      <c r="O640" s="2191">
        <v>2.0990000000000002</v>
      </c>
      <c r="P640" s="2191">
        <f>O640*H640</f>
        <v>3473.0557760000006</v>
      </c>
      <c r="Q640" s="2191">
        <v>5.9819999999999998E-2</v>
      </c>
      <c r="R640" s="2191">
        <f>Q640*H640</f>
        <v>98.979607680000001</v>
      </c>
      <c r="S640" s="2191">
        <v>0</v>
      </c>
      <c r="T640" s="2192">
        <f>S640*H640</f>
        <v>0</v>
      </c>
      <c r="AR640" s="2193" t="s">
        <v>2894</v>
      </c>
      <c r="AT640" s="2193" t="s">
        <v>3286</v>
      </c>
      <c r="AU640" s="2193" t="s">
        <v>134</v>
      </c>
      <c r="AY640" s="2056" t="s">
        <v>3285</v>
      </c>
      <c r="BE640" s="2194">
        <f>IF(N640="základní",J640,0)</f>
        <v>0</v>
      </c>
      <c r="BF640" s="2194">
        <f>IF(N640="snížená",J640,0)</f>
        <v>0</v>
      </c>
      <c r="BG640" s="2194">
        <f>IF(N640="zákl. přenesená",J640,0)</f>
        <v>0</v>
      </c>
      <c r="BH640" s="2194">
        <f>IF(N640="sníž. přenesená",J640,0)</f>
        <v>0</v>
      </c>
      <c r="BI640" s="2194">
        <f>IF(N640="nulová",J640,0)</f>
        <v>0</v>
      </c>
      <c r="BJ640" s="2056" t="s">
        <v>134</v>
      </c>
      <c r="BK640" s="2194">
        <f>ROUND(I640*H640,2)</f>
        <v>0</v>
      </c>
      <c r="BL640" s="2056" t="s">
        <v>2894</v>
      </c>
      <c r="BM640" s="2193" t="s">
        <v>11196</v>
      </c>
    </row>
    <row r="641" spans="2:65" s="2195" customFormat="1">
      <c r="B641" s="2196"/>
      <c r="D641" s="2197" t="s">
        <v>3303</v>
      </c>
      <c r="E641" s="2198" t="s">
        <v>3146</v>
      </c>
      <c r="F641" s="2199" t="s">
        <v>3517</v>
      </c>
      <c r="H641" s="2198" t="s">
        <v>3146</v>
      </c>
      <c r="L641" s="2196"/>
      <c r="M641" s="2200"/>
      <c r="T641" s="2201"/>
      <c r="AT641" s="2198" t="s">
        <v>3303</v>
      </c>
      <c r="AU641" s="2198" t="s">
        <v>134</v>
      </c>
      <c r="AV641" s="2195" t="s">
        <v>133</v>
      </c>
      <c r="AW641" s="2195" t="s">
        <v>3171</v>
      </c>
      <c r="AX641" s="2195" t="s">
        <v>3213</v>
      </c>
      <c r="AY641" s="2198" t="s">
        <v>3285</v>
      </c>
    </row>
    <row r="642" spans="2:65" s="2209" customFormat="1">
      <c r="B642" s="2210"/>
      <c r="D642" s="2197" t="s">
        <v>3303</v>
      </c>
      <c r="E642" s="2211" t="s">
        <v>3146</v>
      </c>
      <c r="F642" s="2212" t="s">
        <v>11197</v>
      </c>
      <c r="H642" s="2213">
        <v>505.06200000000001</v>
      </c>
      <c r="L642" s="2210"/>
      <c r="M642" s="2214"/>
      <c r="T642" s="2215"/>
      <c r="AT642" s="2211" t="s">
        <v>3303</v>
      </c>
      <c r="AU642" s="2211" t="s">
        <v>134</v>
      </c>
      <c r="AV642" s="2209" t="s">
        <v>134</v>
      </c>
      <c r="AW642" s="2209" t="s">
        <v>3171</v>
      </c>
      <c r="AX642" s="2209" t="s">
        <v>3213</v>
      </c>
      <c r="AY642" s="2211" t="s">
        <v>3285</v>
      </c>
    </row>
    <row r="643" spans="2:65" s="2195" customFormat="1">
      <c r="B643" s="2196"/>
      <c r="D643" s="2197" t="s">
        <v>3303</v>
      </c>
      <c r="E643" s="2198" t="s">
        <v>3146</v>
      </c>
      <c r="F643" s="2199" t="s">
        <v>3661</v>
      </c>
      <c r="H643" s="2198" t="s">
        <v>3146</v>
      </c>
      <c r="L643" s="2196"/>
      <c r="M643" s="2200"/>
      <c r="T643" s="2201"/>
      <c r="AT643" s="2198" t="s">
        <v>3303</v>
      </c>
      <c r="AU643" s="2198" t="s">
        <v>134</v>
      </c>
      <c r="AV643" s="2195" t="s">
        <v>133</v>
      </c>
      <c r="AW643" s="2195" t="s">
        <v>3171</v>
      </c>
      <c r="AX643" s="2195" t="s">
        <v>3213</v>
      </c>
      <c r="AY643" s="2198" t="s">
        <v>3285</v>
      </c>
    </row>
    <row r="644" spans="2:65" s="2209" customFormat="1">
      <c r="B644" s="2210"/>
      <c r="D644" s="2197" t="s">
        <v>3303</v>
      </c>
      <c r="E644" s="2211" t="s">
        <v>3146</v>
      </c>
      <c r="F644" s="2212" t="s">
        <v>11198</v>
      </c>
      <c r="H644" s="2213">
        <v>572.82299999999998</v>
      </c>
      <c r="L644" s="2210"/>
      <c r="M644" s="2214"/>
      <c r="T644" s="2215"/>
      <c r="AT644" s="2211" t="s">
        <v>3303</v>
      </c>
      <c r="AU644" s="2211" t="s">
        <v>134</v>
      </c>
      <c r="AV644" s="2209" t="s">
        <v>134</v>
      </c>
      <c r="AW644" s="2209" t="s">
        <v>3171</v>
      </c>
      <c r="AX644" s="2209" t="s">
        <v>3213</v>
      </c>
      <c r="AY644" s="2211" t="s">
        <v>3285</v>
      </c>
    </row>
    <row r="645" spans="2:65" s="2195" customFormat="1">
      <c r="B645" s="2196"/>
      <c r="D645" s="2197" t="s">
        <v>3303</v>
      </c>
      <c r="E645" s="2198" t="s">
        <v>3146</v>
      </c>
      <c r="F645" s="2199" t="s">
        <v>3580</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11199</v>
      </c>
      <c r="H646" s="2213">
        <v>576.73900000000003</v>
      </c>
      <c r="L646" s="2210"/>
      <c r="M646" s="2214"/>
      <c r="T646" s="2215"/>
      <c r="AT646" s="2211" t="s">
        <v>3303</v>
      </c>
      <c r="AU646" s="2211" t="s">
        <v>134</v>
      </c>
      <c r="AV646" s="2209" t="s">
        <v>134</v>
      </c>
      <c r="AW646" s="2209" t="s">
        <v>3171</v>
      </c>
      <c r="AX646" s="2209" t="s">
        <v>3213</v>
      </c>
      <c r="AY646" s="2211" t="s">
        <v>3285</v>
      </c>
    </row>
    <row r="647" spans="2:65" s="2216" customFormat="1">
      <c r="B647" s="2217"/>
      <c r="D647" s="2197" t="s">
        <v>3303</v>
      </c>
      <c r="E647" s="2218" t="s">
        <v>3146</v>
      </c>
      <c r="F647" s="2219" t="s">
        <v>3306</v>
      </c>
      <c r="H647" s="2220">
        <v>1654.624</v>
      </c>
      <c r="L647" s="2217"/>
      <c r="M647" s="2221"/>
      <c r="T647" s="2222"/>
      <c r="AT647" s="2218" t="s">
        <v>3303</v>
      </c>
      <c r="AU647" s="2218" t="s">
        <v>134</v>
      </c>
      <c r="AV647" s="2216" t="s">
        <v>856</v>
      </c>
      <c r="AW647" s="2216" t="s">
        <v>3171</v>
      </c>
      <c r="AX647" s="2216" t="s">
        <v>133</v>
      </c>
      <c r="AY647" s="2218" t="s">
        <v>3285</v>
      </c>
    </row>
    <row r="648" spans="2:65" s="2070" customFormat="1" ht="24.2" customHeight="1">
      <c r="B648" s="2164"/>
      <c r="C648" s="4608" t="s">
        <v>3905</v>
      </c>
      <c r="D648" s="4608" t="s">
        <v>3286</v>
      </c>
      <c r="E648" s="4609" t="s">
        <v>11200</v>
      </c>
      <c r="F648" s="4610" t="s">
        <v>11201</v>
      </c>
      <c r="G648" s="4611" t="s">
        <v>611</v>
      </c>
      <c r="H648" s="4612">
        <v>62.811999999999998</v>
      </c>
      <c r="I648" s="4613"/>
      <c r="J648" s="4613">
        <f>ROUND(I648*H648,2)</f>
        <v>0</v>
      </c>
      <c r="K648" s="4610" t="s">
        <v>142</v>
      </c>
      <c r="L648" s="2071"/>
      <c r="M648" s="2190" t="s">
        <v>3146</v>
      </c>
      <c r="N648" s="2163" t="s">
        <v>3181</v>
      </c>
      <c r="O648" s="2191">
        <v>0.69899999999999995</v>
      </c>
      <c r="P648" s="2191">
        <f>O648*H648</f>
        <v>43.905587999999995</v>
      </c>
      <c r="Q648" s="2191">
        <v>1.1820000000000001E-2</v>
      </c>
      <c r="R648" s="2191">
        <f>Q648*H648</f>
        <v>0.74243784000000002</v>
      </c>
      <c r="S648" s="2191">
        <v>0</v>
      </c>
      <c r="T648" s="2192">
        <f>S648*H648</f>
        <v>0</v>
      </c>
      <c r="AR648" s="2193" t="s">
        <v>2894</v>
      </c>
      <c r="AT648" s="2193" t="s">
        <v>3286</v>
      </c>
      <c r="AU648" s="2193" t="s">
        <v>134</v>
      </c>
      <c r="AY648" s="2056" t="s">
        <v>3285</v>
      </c>
      <c r="BE648" s="2194">
        <f>IF(N648="základní",J648,0)</f>
        <v>0</v>
      </c>
      <c r="BF648" s="2194">
        <f>IF(N648="snížená",J648,0)</f>
        <v>0</v>
      </c>
      <c r="BG648" s="2194">
        <f>IF(N648="zákl. přenesená",J648,0)</f>
        <v>0</v>
      </c>
      <c r="BH648" s="2194">
        <f>IF(N648="sníž. přenesená",J648,0)</f>
        <v>0</v>
      </c>
      <c r="BI648" s="2194">
        <f>IF(N648="nulová",J648,0)</f>
        <v>0</v>
      </c>
      <c r="BJ648" s="2056" t="s">
        <v>134</v>
      </c>
      <c r="BK648" s="2194">
        <f>ROUND(I648*H648,2)</f>
        <v>0</v>
      </c>
      <c r="BL648" s="2056" t="s">
        <v>2894</v>
      </c>
      <c r="BM648" s="2193" t="s">
        <v>11202</v>
      </c>
    </row>
    <row r="649" spans="2:65" s="2195" customFormat="1">
      <c r="B649" s="2196"/>
      <c r="D649" s="2197" t="s">
        <v>3303</v>
      </c>
      <c r="E649" s="2198" t="s">
        <v>3146</v>
      </c>
      <c r="F649" s="2199" t="s">
        <v>3517</v>
      </c>
      <c r="H649" s="2198" t="s">
        <v>3146</v>
      </c>
      <c r="L649" s="2196"/>
      <c r="M649" s="2200"/>
      <c r="T649" s="2201"/>
      <c r="AT649" s="2198" t="s">
        <v>3303</v>
      </c>
      <c r="AU649" s="2198" t="s">
        <v>134</v>
      </c>
      <c r="AV649" s="2195" t="s">
        <v>133</v>
      </c>
      <c r="AW649" s="2195" t="s">
        <v>3171</v>
      </c>
      <c r="AX649" s="2195" t="s">
        <v>3213</v>
      </c>
      <c r="AY649" s="2198" t="s">
        <v>3285</v>
      </c>
    </row>
    <row r="650" spans="2:65" s="2209" customFormat="1">
      <c r="B650" s="2210"/>
      <c r="D650" s="2197" t="s">
        <v>3303</v>
      </c>
      <c r="E650" s="2211" t="s">
        <v>3146</v>
      </c>
      <c r="F650" s="2212" t="s">
        <v>11203</v>
      </c>
      <c r="H650" s="2213">
        <v>10.023999999999999</v>
      </c>
      <c r="L650" s="2210"/>
      <c r="M650" s="2214"/>
      <c r="T650" s="2215"/>
      <c r="AT650" s="2211" t="s">
        <v>3303</v>
      </c>
      <c r="AU650" s="2211" t="s">
        <v>134</v>
      </c>
      <c r="AV650" s="2209" t="s">
        <v>134</v>
      </c>
      <c r="AW650" s="2209" t="s">
        <v>3171</v>
      </c>
      <c r="AX650" s="2209" t="s">
        <v>3213</v>
      </c>
      <c r="AY650" s="2211" t="s">
        <v>3285</v>
      </c>
    </row>
    <row r="651" spans="2:65" s="2195" customFormat="1">
      <c r="B651" s="2196"/>
      <c r="D651" s="2197" t="s">
        <v>3303</v>
      </c>
      <c r="E651" s="2198" t="s">
        <v>3146</v>
      </c>
      <c r="F651" s="2199" t="s">
        <v>11151</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11204</v>
      </c>
      <c r="H652" s="2213">
        <v>27.65</v>
      </c>
      <c r="L652" s="2210"/>
      <c r="M652" s="2214"/>
      <c r="T652" s="2215"/>
      <c r="AT652" s="2211" t="s">
        <v>3303</v>
      </c>
      <c r="AU652" s="2211" t="s">
        <v>134</v>
      </c>
      <c r="AV652" s="2209" t="s">
        <v>134</v>
      </c>
      <c r="AW652" s="2209" t="s">
        <v>3171</v>
      </c>
      <c r="AX652" s="2209" t="s">
        <v>3213</v>
      </c>
      <c r="AY652" s="2211" t="s">
        <v>3285</v>
      </c>
    </row>
    <row r="653" spans="2:65" s="2195" customFormat="1">
      <c r="B653" s="2196"/>
      <c r="D653" s="2197" t="s">
        <v>3303</v>
      </c>
      <c r="E653" s="2198" t="s">
        <v>3146</v>
      </c>
      <c r="F653" s="2199" t="s">
        <v>3580</v>
      </c>
      <c r="H653" s="2198" t="s">
        <v>3146</v>
      </c>
      <c r="L653" s="2196"/>
      <c r="M653" s="2200"/>
      <c r="T653" s="2201"/>
      <c r="AT653" s="2198" t="s">
        <v>3303</v>
      </c>
      <c r="AU653" s="2198" t="s">
        <v>134</v>
      </c>
      <c r="AV653" s="2195" t="s">
        <v>133</v>
      </c>
      <c r="AW653" s="2195" t="s">
        <v>3171</v>
      </c>
      <c r="AX653" s="2195" t="s">
        <v>3213</v>
      </c>
      <c r="AY653" s="2198" t="s">
        <v>3285</v>
      </c>
    </row>
    <row r="654" spans="2:65" s="2209" customFormat="1">
      <c r="B654" s="2210"/>
      <c r="D654" s="2197" t="s">
        <v>3303</v>
      </c>
      <c r="E654" s="2211" t="s">
        <v>3146</v>
      </c>
      <c r="F654" s="2212" t="s">
        <v>11205</v>
      </c>
      <c r="H654" s="2213">
        <v>25.138000000000002</v>
      </c>
      <c r="L654" s="2210"/>
      <c r="M654" s="2214"/>
      <c r="T654" s="2215"/>
      <c r="AT654" s="2211" t="s">
        <v>3303</v>
      </c>
      <c r="AU654" s="2211" t="s">
        <v>134</v>
      </c>
      <c r="AV654" s="2209" t="s">
        <v>134</v>
      </c>
      <c r="AW654" s="2209" t="s">
        <v>3171</v>
      </c>
      <c r="AX654" s="2209" t="s">
        <v>3213</v>
      </c>
      <c r="AY654" s="2211" t="s">
        <v>3285</v>
      </c>
    </row>
    <row r="655" spans="2:65" s="2216" customFormat="1">
      <c r="B655" s="2217"/>
      <c r="D655" s="2197" t="s">
        <v>3303</v>
      </c>
      <c r="E655" s="2218" t="s">
        <v>3146</v>
      </c>
      <c r="F655" s="2219" t="s">
        <v>3306</v>
      </c>
      <c r="H655" s="2220">
        <v>62.811999999999998</v>
      </c>
      <c r="L655" s="2217"/>
      <c r="M655" s="2221"/>
      <c r="T655" s="2222"/>
      <c r="AT655" s="2218" t="s">
        <v>3303</v>
      </c>
      <c r="AU655" s="2218" t="s">
        <v>134</v>
      </c>
      <c r="AV655" s="2216" t="s">
        <v>856</v>
      </c>
      <c r="AW655" s="2216" t="s">
        <v>3171</v>
      </c>
      <c r="AX655" s="2216" t="s">
        <v>133</v>
      </c>
      <c r="AY655" s="2218" t="s">
        <v>3285</v>
      </c>
    </row>
    <row r="656" spans="2:65" s="2070" customFormat="1" ht="24.2" customHeight="1">
      <c r="B656" s="2164"/>
      <c r="C656" s="4608" t="s">
        <v>3909</v>
      </c>
      <c r="D656" s="4608" t="s">
        <v>3286</v>
      </c>
      <c r="E656" s="4609" t="s">
        <v>11206</v>
      </c>
      <c r="F656" s="4610" t="s">
        <v>11207</v>
      </c>
      <c r="G656" s="4611" t="s">
        <v>611</v>
      </c>
      <c r="H656" s="4612">
        <v>16.495999999999999</v>
      </c>
      <c r="I656" s="4613"/>
      <c r="J656" s="4613">
        <f>ROUND(I656*H656,2)</f>
        <v>0</v>
      </c>
      <c r="K656" s="4610" t="s">
        <v>142</v>
      </c>
      <c r="L656" s="2071"/>
      <c r="M656" s="2190" t="s">
        <v>3146</v>
      </c>
      <c r="N656" s="2163" t="s">
        <v>3181</v>
      </c>
      <c r="O656" s="2191">
        <v>0.69899999999999995</v>
      </c>
      <c r="P656" s="2191">
        <f>O656*H656</f>
        <v>11.530703999999998</v>
      </c>
      <c r="Q656" s="2191">
        <v>1.256E-2</v>
      </c>
      <c r="R656" s="2191">
        <f>Q656*H656</f>
        <v>0.20718975999999997</v>
      </c>
      <c r="S656" s="2191">
        <v>0</v>
      </c>
      <c r="T656" s="2192">
        <f>S656*H656</f>
        <v>0</v>
      </c>
      <c r="AR656" s="2193" t="s">
        <v>2894</v>
      </c>
      <c r="AT656" s="2193" t="s">
        <v>3286</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2894</v>
      </c>
      <c r="BM656" s="2193" t="s">
        <v>11208</v>
      </c>
    </row>
    <row r="657" spans="2:65" s="2195" customFormat="1">
      <c r="B657" s="2196"/>
      <c r="D657" s="2197" t="s">
        <v>3303</v>
      </c>
      <c r="E657" s="2198" t="s">
        <v>3146</v>
      </c>
      <c r="F657" s="2199" t="s">
        <v>3661</v>
      </c>
      <c r="H657" s="2198" t="s">
        <v>3146</v>
      </c>
      <c r="L657" s="2196"/>
      <c r="M657" s="2200"/>
      <c r="T657" s="2201"/>
      <c r="AT657" s="2198" t="s">
        <v>3303</v>
      </c>
      <c r="AU657" s="2198" t="s">
        <v>134</v>
      </c>
      <c r="AV657" s="2195" t="s">
        <v>133</v>
      </c>
      <c r="AW657" s="2195" t="s">
        <v>3171</v>
      </c>
      <c r="AX657" s="2195" t="s">
        <v>3213</v>
      </c>
      <c r="AY657" s="2198" t="s">
        <v>3285</v>
      </c>
    </row>
    <row r="658" spans="2:65" s="2209" customFormat="1">
      <c r="B658" s="2210"/>
      <c r="D658" s="2197" t="s">
        <v>3303</v>
      </c>
      <c r="E658" s="2211" t="s">
        <v>3146</v>
      </c>
      <c r="F658" s="2212" t="s">
        <v>11209</v>
      </c>
      <c r="H658" s="2213">
        <v>8.2479999999999993</v>
      </c>
      <c r="L658" s="2210"/>
      <c r="M658" s="2214"/>
      <c r="T658" s="2215"/>
      <c r="AT658" s="2211" t="s">
        <v>3303</v>
      </c>
      <c r="AU658" s="2211" t="s">
        <v>134</v>
      </c>
      <c r="AV658" s="2209" t="s">
        <v>134</v>
      </c>
      <c r="AW658" s="2209" t="s">
        <v>3171</v>
      </c>
      <c r="AX658" s="2209" t="s">
        <v>3213</v>
      </c>
      <c r="AY658" s="2211" t="s">
        <v>3285</v>
      </c>
    </row>
    <row r="659" spans="2:65" s="2195" customFormat="1">
      <c r="B659" s="2196"/>
      <c r="D659" s="2197" t="s">
        <v>3303</v>
      </c>
      <c r="E659" s="2198" t="s">
        <v>3146</v>
      </c>
      <c r="F659" s="2199" t="s">
        <v>3578</v>
      </c>
      <c r="H659" s="2198" t="s">
        <v>3146</v>
      </c>
      <c r="L659" s="2196"/>
      <c r="M659" s="2200"/>
      <c r="T659" s="2201"/>
      <c r="AT659" s="2198" t="s">
        <v>3303</v>
      </c>
      <c r="AU659" s="2198" t="s">
        <v>134</v>
      </c>
      <c r="AV659" s="2195" t="s">
        <v>133</v>
      </c>
      <c r="AW659" s="2195" t="s">
        <v>3171</v>
      </c>
      <c r="AX659" s="2195" t="s">
        <v>3213</v>
      </c>
      <c r="AY659" s="2198" t="s">
        <v>3285</v>
      </c>
    </row>
    <row r="660" spans="2:65" s="2209" customFormat="1">
      <c r="B660" s="2210"/>
      <c r="D660" s="2197" t="s">
        <v>3303</v>
      </c>
      <c r="E660" s="2211" t="s">
        <v>3146</v>
      </c>
      <c r="F660" s="2212" t="s">
        <v>11209</v>
      </c>
      <c r="H660" s="2213">
        <v>8.2479999999999993</v>
      </c>
      <c r="L660" s="2210"/>
      <c r="M660" s="2214"/>
      <c r="T660" s="2215"/>
      <c r="AT660" s="2211" t="s">
        <v>3303</v>
      </c>
      <c r="AU660" s="2211" t="s">
        <v>134</v>
      </c>
      <c r="AV660" s="2209" t="s">
        <v>134</v>
      </c>
      <c r="AW660" s="2209" t="s">
        <v>3171</v>
      </c>
      <c r="AX660" s="2209" t="s">
        <v>3213</v>
      </c>
      <c r="AY660" s="2211" t="s">
        <v>3285</v>
      </c>
    </row>
    <row r="661" spans="2:65" s="2216" customFormat="1">
      <c r="B661" s="2217"/>
      <c r="D661" s="2197" t="s">
        <v>3303</v>
      </c>
      <c r="E661" s="2218" t="s">
        <v>3146</v>
      </c>
      <c r="F661" s="2219" t="s">
        <v>3306</v>
      </c>
      <c r="H661" s="2220">
        <v>16.495999999999999</v>
      </c>
      <c r="L661" s="2217"/>
      <c r="M661" s="2221"/>
      <c r="T661" s="2222"/>
      <c r="AT661" s="2218" t="s">
        <v>3303</v>
      </c>
      <c r="AU661" s="2218" t="s">
        <v>134</v>
      </c>
      <c r="AV661" s="2216" t="s">
        <v>856</v>
      </c>
      <c r="AW661" s="2216" t="s">
        <v>3171</v>
      </c>
      <c r="AX661" s="2216" t="s">
        <v>133</v>
      </c>
      <c r="AY661" s="2218" t="s">
        <v>3285</v>
      </c>
    </row>
    <row r="662" spans="2:65" s="2070" customFormat="1" ht="24.2" customHeight="1">
      <c r="B662" s="2164"/>
      <c r="C662" s="4608" t="s">
        <v>3914</v>
      </c>
      <c r="D662" s="4608" t="s">
        <v>3286</v>
      </c>
      <c r="E662" s="4609" t="s">
        <v>11210</v>
      </c>
      <c r="F662" s="4610" t="s">
        <v>11211</v>
      </c>
      <c r="G662" s="4611" t="s">
        <v>611</v>
      </c>
      <c r="H662" s="4612">
        <v>9.6720000000000006</v>
      </c>
      <c r="I662" s="4613"/>
      <c r="J662" s="4613">
        <f>ROUND(I662*H662,2)</f>
        <v>0</v>
      </c>
      <c r="K662" s="4610" t="s">
        <v>142</v>
      </c>
      <c r="L662" s="2071"/>
      <c r="M662" s="2190" t="s">
        <v>3146</v>
      </c>
      <c r="N662" s="2163" t="s">
        <v>3181</v>
      </c>
      <c r="O662" s="2191">
        <v>0.69899999999999995</v>
      </c>
      <c r="P662" s="2191">
        <f>O662*H662</f>
        <v>6.7607280000000003</v>
      </c>
      <c r="Q662" s="2191">
        <v>1.324E-2</v>
      </c>
      <c r="R662" s="2191">
        <f>Q662*H662</f>
        <v>0.12805728</v>
      </c>
      <c r="S662" s="2191">
        <v>0</v>
      </c>
      <c r="T662" s="2192">
        <f>S662*H662</f>
        <v>0</v>
      </c>
      <c r="AR662" s="2193" t="s">
        <v>2894</v>
      </c>
      <c r="AT662" s="2193" t="s">
        <v>3286</v>
      </c>
      <c r="AU662" s="2193" t="s">
        <v>134</v>
      </c>
      <c r="AY662" s="2056" t="s">
        <v>3285</v>
      </c>
      <c r="BE662" s="2194">
        <f>IF(N662="základní",J662,0)</f>
        <v>0</v>
      </c>
      <c r="BF662" s="2194">
        <f>IF(N662="snížená",J662,0)</f>
        <v>0</v>
      </c>
      <c r="BG662" s="2194">
        <f>IF(N662="zákl. přenesená",J662,0)</f>
        <v>0</v>
      </c>
      <c r="BH662" s="2194">
        <f>IF(N662="sníž. přenesená",J662,0)</f>
        <v>0</v>
      </c>
      <c r="BI662" s="2194">
        <f>IF(N662="nulová",J662,0)</f>
        <v>0</v>
      </c>
      <c r="BJ662" s="2056" t="s">
        <v>134</v>
      </c>
      <c r="BK662" s="2194">
        <f>ROUND(I662*H662,2)</f>
        <v>0</v>
      </c>
      <c r="BL662" s="2056" t="s">
        <v>2894</v>
      </c>
      <c r="BM662" s="2193" t="s">
        <v>11212</v>
      </c>
    </row>
    <row r="663" spans="2:65" s="2195" customFormat="1">
      <c r="B663" s="2196"/>
      <c r="D663" s="2197" t="s">
        <v>3303</v>
      </c>
      <c r="E663" s="2198" t="s">
        <v>3146</v>
      </c>
      <c r="F663" s="2199" t="s">
        <v>3661</v>
      </c>
      <c r="H663" s="2198" t="s">
        <v>3146</v>
      </c>
      <c r="L663" s="2196"/>
      <c r="M663" s="2200"/>
      <c r="T663" s="2201"/>
      <c r="AT663" s="2198" t="s">
        <v>3303</v>
      </c>
      <c r="AU663" s="2198" t="s">
        <v>134</v>
      </c>
      <c r="AV663" s="2195" t="s">
        <v>133</v>
      </c>
      <c r="AW663" s="2195" t="s">
        <v>3171</v>
      </c>
      <c r="AX663" s="2195" t="s">
        <v>3213</v>
      </c>
      <c r="AY663" s="2198" t="s">
        <v>3285</v>
      </c>
    </row>
    <row r="664" spans="2:65" s="2209" customFormat="1">
      <c r="B664" s="2210"/>
      <c r="D664" s="2197" t="s">
        <v>3303</v>
      </c>
      <c r="E664" s="2211" t="s">
        <v>3146</v>
      </c>
      <c r="F664" s="2212" t="s">
        <v>11213</v>
      </c>
      <c r="H664" s="2213">
        <v>9.6720000000000006</v>
      </c>
      <c r="L664" s="2210"/>
      <c r="M664" s="2214"/>
      <c r="T664" s="2215"/>
      <c r="AT664" s="2211" t="s">
        <v>3303</v>
      </c>
      <c r="AU664" s="2211" t="s">
        <v>134</v>
      </c>
      <c r="AV664" s="2209" t="s">
        <v>134</v>
      </c>
      <c r="AW664" s="2209" t="s">
        <v>3171</v>
      </c>
      <c r="AX664" s="2209" t="s">
        <v>3213</v>
      </c>
      <c r="AY664" s="2211" t="s">
        <v>3285</v>
      </c>
    </row>
    <row r="665" spans="2:65" s="2216" customFormat="1">
      <c r="B665" s="2217"/>
      <c r="D665" s="2197" t="s">
        <v>3303</v>
      </c>
      <c r="E665" s="2218" t="s">
        <v>3146</v>
      </c>
      <c r="F665" s="2219" t="s">
        <v>3306</v>
      </c>
      <c r="H665" s="2220">
        <v>9.6720000000000006</v>
      </c>
      <c r="L665" s="2217"/>
      <c r="M665" s="2221"/>
      <c r="T665" s="2222"/>
      <c r="AT665" s="2218" t="s">
        <v>3303</v>
      </c>
      <c r="AU665" s="2218" t="s">
        <v>134</v>
      </c>
      <c r="AV665" s="2216" t="s">
        <v>856</v>
      </c>
      <c r="AW665" s="2216" t="s">
        <v>3171</v>
      </c>
      <c r="AX665" s="2216" t="s">
        <v>133</v>
      </c>
      <c r="AY665" s="2218" t="s">
        <v>3285</v>
      </c>
    </row>
    <row r="666" spans="2:65" s="2070" customFormat="1" ht="24.2" customHeight="1">
      <c r="B666" s="2164"/>
      <c r="C666" s="4608" t="s">
        <v>3918</v>
      </c>
      <c r="D666" s="4608" t="s">
        <v>3286</v>
      </c>
      <c r="E666" s="4609" t="s">
        <v>11214</v>
      </c>
      <c r="F666" s="4610" t="s">
        <v>11215</v>
      </c>
      <c r="G666" s="4611" t="s">
        <v>611</v>
      </c>
      <c r="H666" s="4612">
        <v>213.45500000000001</v>
      </c>
      <c r="I666" s="4613"/>
      <c r="J666" s="4613">
        <f>ROUND(I666*H666,2)</f>
        <v>0</v>
      </c>
      <c r="K666" s="4610" t="s">
        <v>142</v>
      </c>
      <c r="L666" s="2071"/>
      <c r="M666" s="2190" t="s">
        <v>3146</v>
      </c>
      <c r="N666" s="2163" t="s">
        <v>3181</v>
      </c>
      <c r="O666" s="2191">
        <v>0.88700000000000001</v>
      </c>
      <c r="P666" s="2191">
        <f>O666*H666</f>
        <v>189.334585</v>
      </c>
      <c r="Q666" s="2191">
        <v>1.413E-2</v>
      </c>
      <c r="R666" s="2191">
        <f>Q666*H666</f>
        <v>3.0161191500000002</v>
      </c>
      <c r="S666" s="2191">
        <v>0</v>
      </c>
      <c r="T666" s="2192">
        <f>S666*H666</f>
        <v>0</v>
      </c>
      <c r="AR666" s="2193" t="s">
        <v>2894</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2894</v>
      </c>
      <c r="BM666" s="2193" t="s">
        <v>11216</v>
      </c>
    </row>
    <row r="667" spans="2:65" s="2195" customFormat="1">
      <c r="B667" s="2196"/>
      <c r="D667" s="2197" t="s">
        <v>3303</v>
      </c>
      <c r="E667" s="2198" t="s">
        <v>3146</v>
      </c>
      <c r="F667" s="2199" t="s">
        <v>3517</v>
      </c>
      <c r="H667" s="2198" t="s">
        <v>3146</v>
      </c>
      <c r="L667" s="2196"/>
      <c r="M667" s="2200"/>
      <c r="T667" s="2201"/>
      <c r="AT667" s="2198" t="s">
        <v>3303</v>
      </c>
      <c r="AU667" s="2198" t="s">
        <v>134</v>
      </c>
      <c r="AV667" s="2195" t="s">
        <v>133</v>
      </c>
      <c r="AW667" s="2195" t="s">
        <v>3171</v>
      </c>
      <c r="AX667" s="2195" t="s">
        <v>3213</v>
      </c>
      <c r="AY667" s="2198" t="s">
        <v>3285</v>
      </c>
    </row>
    <row r="668" spans="2:65" s="2209" customFormat="1">
      <c r="B668" s="2210"/>
      <c r="D668" s="2197" t="s">
        <v>3303</v>
      </c>
      <c r="E668" s="2211" t="s">
        <v>3146</v>
      </c>
      <c r="F668" s="2212" t="s">
        <v>11217</v>
      </c>
      <c r="H668" s="2213">
        <v>1.734</v>
      </c>
      <c r="L668" s="2210"/>
      <c r="M668" s="2214"/>
      <c r="T668" s="2215"/>
      <c r="AT668" s="2211" t="s">
        <v>3303</v>
      </c>
      <c r="AU668" s="2211" t="s">
        <v>134</v>
      </c>
      <c r="AV668" s="2209" t="s">
        <v>134</v>
      </c>
      <c r="AW668" s="2209" t="s">
        <v>3171</v>
      </c>
      <c r="AX668" s="2209" t="s">
        <v>3213</v>
      </c>
      <c r="AY668" s="2211" t="s">
        <v>3285</v>
      </c>
    </row>
    <row r="669" spans="2:65" s="2195" customFormat="1">
      <c r="B669" s="2196"/>
      <c r="D669" s="2197" t="s">
        <v>3303</v>
      </c>
      <c r="E669" s="2198" t="s">
        <v>3146</v>
      </c>
      <c r="F669" s="2199" t="s">
        <v>3661</v>
      </c>
      <c r="H669" s="2198" t="s">
        <v>3146</v>
      </c>
      <c r="L669" s="2196"/>
      <c r="M669" s="2200"/>
      <c r="T669" s="2201"/>
      <c r="AT669" s="2198" t="s">
        <v>3303</v>
      </c>
      <c r="AU669" s="2198" t="s">
        <v>134</v>
      </c>
      <c r="AV669" s="2195" t="s">
        <v>133</v>
      </c>
      <c r="AW669" s="2195" t="s">
        <v>3171</v>
      </c>
      <c r="AX669" s="2195" t="s">
        <v>3213</v>
      </c>
      <c r="AY669" s="2198" t="s">
        <v>3285</v>
      </c>
    </row>
    <row r="670" spans="2:65" s="2209" customFormat="1">
      <c r="B670" s="2210"/>
      <c r="D670" s="2197" t="s">
        <v>3303</v>
      </c>
      <c r="E670" s="2211" t="s">
        <v>3146</v>
      </c>
      <c r="F670" s="2212" t="s">
        <v>11218</v>
      </c>
      <c r="H670" s="2213">
        <v>57.341999999999999</v>
      </c>
      <c r="L670" s="2210"/>
      <c r="M670" s="2214"/>
      <c r="T670" s="2215"/>
      <c r="AT670" s="2211" t="s">
        <v>3303</v>
      </c>
      <c r="AU670" s="2211" t="s">
        <v>134</v>
      </c>
      <c r="AV670" s="2209" t="s">
        <v>134</v>
      </c>
      <c r="AW670" s="2209" t="s">
        <v>3171</v>
      </c>
      <c r="AX670" s="2209" t="s">
        <v>3213</v>
      </c>
      <c r="AY670" s="2211" t="s">
        <v>3285</v>
      </c>
    </row>
    <row r="671" spans="2:65" s="2195" customFormat="1">
      <c r="B671" s="2196"/>
      <c r="D671" s="2197" t="s">
        <v>3303</v>
      </c>
      <c r="E671" s="2198" t="s">
        <v>3146</v>
      </c>
      <c r="F671" s="2199" t="s">
        <v>3578</v>
      </c>
      <c r="H671" s="2198" t="s">
        <v>3146</v>
      </c>
      <c r="L671" s="2196"/>
      <c r="M671" s="2200"/>
      <c r="T671" s="2201"/>
      <c r="AT671" s="2198" t="s">
        <v>3303</v>
      </c>
      <c r="AU671" s="2198" t="s">
        <v>134</v>
      </c>
      <c r="AV671" s="2195" t="s">
        <v>133</v>
      </c>
      <c r="AW671" s="2195" t="s">
        <v>3171</v>
      </c>
      <c r="AX671" s="2195" t="s">
        <v>3213</v>
      </c>
      <c r="AY671" s="2198" t="s">
        <v>3285</v>
      </c>
    </row>
    <row r="672" spans="2:65" s="2209" customFormat="1">
      <c r="B672" s="2210"/>
      <c r="D672" s="2197" t="s">
        <v>3303</v>
      </c>
      <c r="E672" s="2211" t="s">
        <v>3146</v>
      </c>
      <c r="F672" s="2212" t="s">
        <v>11219</v>
      </c>
      <c r="H672" s="2213">
        <v>71.555999999999997</v>
      </c>
      <c r="L672" s="2210"/>
      <c r="M672" s="2214"/>
      <c r="T672" s="2215"/>
      <c r="AT672" s="2211" t="s">
        <v>3303</v>
      </c>
      <c r="AU672" s="2211" t="s">
        <v>134</v>
      </c>
      <c r="AV672" s="2209" t="s">
        <v>134</v>
      </c>
      <c r="AW672" s="2209" t="s">
        <v>3171</v>
      </c>
      <c r="AX672" s="2209" t="s">
        <v>3213</v>
      </c>
      <c r="AY672" s="2211" t="s">
        <v>3285</v>
      </c>
    </row>
    <row r="673" spans="2:65" s="2195" customFormat="1">
      <c r="B673" s="2196"/>
      <c r="D673" s="2197" t="s">
        <v>3303</v>
      </c>
      <c r="E673" s="2198" t="s">
        <v>3146</v>
      </c>
      <c r="F673" s="2199" t="s">
        <v>3580</v>
      </c>
      <c r="H673" s="2198" t="s">
        <v>3146</v>
      </c>
      <c r="L673" s="2196"/>
      <c r="M673" s="2200"/>
      <c r="T673" s="2201"/>
      <c r="AT673" s="2198" t="s">
        <v>3303</v>
      </c>
      <c r="AU673" s="2198" t="s">
        <v>134</v>
      </c>
      <c r="AV673" s="2195" t="s">
        <v>133</v>
      </c>
      <c r="AW673" s="2195" t="s">
        <v>3171</v>
      </c>
      <c r="AX673" s="2195" t="s">
        <v>3213</v>
      </c>
      <c r="AY673" s="2198" t="s">
        <v>3285</v>
      </c>
    </row>
    <row r="674" spans="2:65" s="2209" customFormat="1">
      <c r="B674" s="2210"/>
      <c r="D674" s="2197" t="s">
        <v>3303</v>
      </c>
      <c r="E674" s="2211" t="s">
        <v>3146</v>
      </c>
      <c r="F674" s="2212" t="s">
        <v>11220</v>
      </c>
      <c r="H674" s="2213">
        <v>82.822999999999993</v>
      </c>
      <c r="L674" s="2210"/>
      <c r="M674" s="2214"/>
      <c r="T674" s="2215"/>
      <c r="AT674" s="2211" t="s">
        <v>3303</v>
      </c>
      <c r="AU674" s="2211" t="s">
        <v>134</v>
      </c>
      <c r="AV674" s="2209" t="s">
        <v>134</v>
      </c>
      <c r="AW674" s="2209" t="s">
        <v>3171</v>
      </c>
      <c r="AX674" s="2209" t="s">
        <v>3213</v>
      </c>
      <c r="AY674" s="2211" t="s">
        <v>3285</v>
      </c>
    </row>
    <row r="675" spans="2:65" s="2216" customFormat="1">
      <c r="B675" s="2217"/>
      <c r="D675" s="2197" t="s">
        <v>3303</v>
      </c>
      <c r="E675" s="2218" t="s">
        <v>3146</v>
      </c>
      <c r="F675" s="2219" t="s">
        <v>3306</v>
      </c>
      <c r="H675" s="2220">
        <v>213.45500000000001</v>
      </c>
      <c r="L675" s="2217"/>
      <c r="M675" s="2221"/>
      <c r="T675" s="2222"/>
      <c r="AT675" s="2218" t="s">
        <v>3303</v>
      </c>
      <c r="AU675" s="2218" t="s">
        <v>134</v>
      </c>
      <c r="AV675" s="2216" t="s">
        <v>856</v>
      </c>
      <c r="AW675" s="2216" t="s">
        <v>3171</v>
      </c>
      <c r="AX675" s="2216" t="s">
        <v>133</v>
      </c>
      <c r="AY675" s="2218" t="s">
        <v>3285</v>
      </c>
    </row>
    <row r="676" spans="2:65" s="2070" customFormat="1" ht="37.9" customHeight="1">
      <c r="B676" s="2164"/>
      <c r="C676" s="4608" t="s">
        <v>3924</v>
      </c>
      <c r="D676" s="4608" t="s">
        <v>3286</v>
      </c>
      <c r="E676" s="4609" t="s">
        <v>11221</v>
      </c>
      <c r="F676" s="4610" t="s">
        <v>11222</v>
      </c>
      <c r="G676" s="4611" t="s">
        <v>611</v>
      </c>
      <c r="H676" s="4612">
        <v>56.73</v>
      </c>
      <c r="I676" s="4613"/>
      <c r="J676" s="4613">
        <f>ROUND(I676*H676,2)</f>
        <v>0</v>
      </c>
      <c r="K676" s="4610" t="s">
        <v>142</v>
      </c>
      <c r="L676" s="2071"/>
      <c r="M676" s="2190" t="s">
        <v>3146</v>
      </c>
      <c r="N676" s="2163" t="s">
        <v>3181</v>
      </c>
      <c r="O676" s="2191">
        <v>2.2890000000000001</v>
      </c>
      <c r="P676" s="2191">
        <f>O676*H676</f>
        <v>129.85497000000001</v>
      </c>
      <c r="Q676" s="2191">
        <v>5.8369999999999998E-2</v>
      </c>
      <c r="R676" s="2191">
        <f>Q676*H676</f>
        <v>3.3113300999999997</v>
      </c>
      <c r="S676" s="2191">
        <v>0</v>
      </c>
      <c r="T676" s="2192">
        <f>S676*H676</f>
        <v>0</v>
      </c>
      <c r="AR676" s="2193" t="s">
        <v>2894</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2894</v>
      </c>
      <c r="BM676" s="2193" t="s">
        <v>11223</v>
      </c>
    </row>
    <row r="677" spans="2:65" s="2195" customFormat="1">
      <c r="B677" s="2196"/>
      <c r="D677" s="2197" t="s">
        <v>3303</v>
      </c>
      <c r="E677" s="2198" t="s">
        <v>3146</v>
      </c>
      <c r="F677" s="2199" t="s">
        <v>3578</v>
      </c>
      <c r="H677" s="2198" t="s">
        <v>3146</v>
      </c>
      <c r="L677" s="2196"/>
      <c r="M677" s="2200"/>
      <c r="T677" s="2201"/>
      <c r="AT677" s="2198" t="s">
        <v>3303</v>
      </c>
      <c r="AU677" s="2198" t="s">
        <v>134</v>
      </c>
      <c r="AV677" s="2195" t="s">
        <v>133</v>
      </c>
      <c r="AW677" s="2195" t="s">
        <v>3171</v>
      </c>
      <c r="AX677" s="2195" t="s">
        <v>3213</v>
      </c>
      <c r="AY677" s="2198" t="s">
        <v>3285</v>
      </c>
    </row>
    <row r="678" spans="2:65" s="2209" customFormat="1">
      <c r="B678" s="2210"/>
      <c r="D678" s="2197" t="s">
        <v>3303</v>
      </c>
      <c r="E678" s="2211" t="s">
        <v>3146</v>
      </c>
      <c r="F678" s="2212" t="s">
        <v>11224</v>
      </c>
      <c r="H678" s="2213">
        <v>35.340000000000003</v>
      </c>
      <c r="L678" s="2210"/>
      <c r="M678" s="2214"/>
      <c r="T678" s="2215"/>
      <c r="AT678" s="2211" t="s">
        <v>3303</v>
      </c>
      <c r="AU678" s="2211" t="s">
        <v>134</v>
      </c>
      <c r="AV678" s="2209" t="s">
        <v>134</v>
      </c>
      <c r="AW678" s="2209" t="s">
        <v>3171</v>
      </c>
      <c r="AX678" s="2209" t="s">
        <v>3213</v>
      </c>
      <c r="AY678" s="2211" t="s">
        <v>3285</v>
      </c>
    </row>
    <row r="679" spans="2:65" s="2209" customFormat="1">
      <c r="B679" s="2210"/>
      <c r="D679" s="2197" t="s">
        <v>3303</v>
      </c>
      <c r="E679" s="2211" t="s">
        <v>3146</v>
      </c>
      <c r="F679" s="2212" t="s">
        <v>11225</v>
      </c>
      <c r="H679" s="2213">
        <v>21.39</v>
      </c>
      <c r="L679" s="2210"/>
      <c r="M679" s="2214"/>
      <c r="T679" s="2215"/>
      <c r="AT679" s="2211" t="s">
        <v>3303</v>
      </c>
      <c r="AU679" s="2211" t="s">
        <v>134</v>
      </c>
      <c r="AV679" s="2209" t="s">
        <v>134</v>
      </c>
      <c r="AW679" s="2209" t="s">
        <v>3171</v>
      </c>
      <c r="AX679" s="2209" t="s">
        <v>3213</v>
      </c>
      <c r="AY679" s="2211" t="s">
        <v>3285</v>
      </c>
    </row>
    <row r="680" spans="2:65" s="2216" customFormat="1">
      <c r="B680" s="2217"/>
      <c r="D680" s="2197" t="s">
        <v>3303</v>
      </c>
      <c r="E680" s="2218" t="s">
        <v>3146</v>
      </c>
      <c r="F680" s="2219" t="s">
        <v>3306</v>
      </c>
      <c r="H680" s="2220">
        <v>56.73</v>
      </c>
      <c r="L680" s="2217"/>
      <c r="M680" s="2221"/>
      <c r="T680" s="2222"/>
      <c r="AT680" s="2218" t="s">
        <v>3303</v>
      </c>
      <c r="AU680" s="2218" t="s">
        <v>134</v>
      </c>
      <c r="AV680" s="2216" t="s">
        <v>856</v>
      </c>
      <c r="AW680" s="2216" t="s">
        <v>3171</v>
      </c>
      <c r="AX680" s="2216" t="s">
        <v>133</v>
      </c>
      <c r="AY680" s="2218" t="s">
        <v>3285</v>
      </c>
    </row>
    <row r="681" spans="2:65" s="2070" customFormat="1" ht="33" customHeight="1">
      <c r="B681" s="2164"/>
      <c r="C681" s="4608" t="s">
        <v>3928</v>
      </c>
      <c r="D681" s="4608" t="s">
        <v>3286</v>
      </c>
      <c r="E681" s="4609" t="s">
        <v>5085</v>
      </c>
      <c r="F681" s="4610" t="s">
        <v>5086</v>
      </c>
      <c r="G681" s="4611" t="s">
        <v>611</v>
      </c>
      <c r="H681" s="4612">
        <v>75.2</v>
      </c>
      <c r="I681" s="4613"/>
      <c r="J681" s="4613">
        <f>ROUND(I681*H681,2)</f>
        <v>0</v>
      </c>
      <c r="K681" s="4610" t="s">
        <v>142</v>
      </c>
      <c r="L681" s="2071"/>
      <c r="M681" s="2190" t="s">
        <v>3146</v>
      </c>
      <c r="N681" s="2163" t="s">
        <v>3181</v>
      </c>
      <c r="O681" s="2191">
        <v>1.617</v>
      </c>
      <c r="P681" s="2191">
        <f>O681*H681</f>
        <v>121.5984</v>
      </c>
      <c r="Q681" s="2191">
        <v>4.589E-2</v>
      </c>
      <c r="R681" s="2191">
        <f>Q681*H681</f>
        <v>3.4509280000000002</v>
      </c>
      <c r="S681" s="2191">
        <v>0</v>
      </c>
      <c r="T681" s="2192">
        <f>S681*H681</f>
        <v>0</v>
      </c>
      <c r="AR681" s="2193" t="s">
        <v>2894</v>
      </c>
      <c r="AT681" s="2193" t="s">
        <v>3286</v>
      </c>
      <c r="AU681" s="2193" t="s">
        <v>134</v>
      </c>
      <c r="AY681" s="2056" t="s">
        <v>3285</v>
      </c>
      <c r="BE681" s="2194">
        <f>IF(N681="základní",J681,0)</f>
        <v>0</v>
      </c>
      <c r="BF681" s="2194">
        <f>IF(N681="snížená",J681,0)</f>
        <v>0</v>
      </c>
      <c r="BG681" s="2194">
        <f>IF(N681="zákl. přenesená",J681,0)</f>
        <v>0</v>
      </c>
      <c r="BH681" s="2194">
        <f>IF(N681="sníž. přenesená",J681,0)</f>
        <v>0</v>
      </c>
      <c r="BI681" s="2194">
        <f>IF(N681="nulová",J681,0)</f>
        <v>0</v>
      </c>
      <c r="BJ681" s="2056" t="s">
        <v>134</v>
      </c>
      <c r="BK681" s="2194">
        <f>ROUND(I681*H681,2)</f>
        <v>0</v>
      </c>
      <c r="BL681" s="2056" t="s">
        <v>2894</v>
      </c>
      <c r="BM681" s="2193" t="s">
        <v>5087</v>
      </c>
    </row>
    <row r="682" spans="2:65" s="2209" customFormat="1">
      <c r="B682" s="2210"/>
      <c r="D682" s="2197" t="s">
        <v>3303</v>
      </c>
      <c r="E682" s="2211" t="s">
        <v>3146</v>
      </c>
      <c r="F682" s="2212" t="s">
        <v>5088</v>
      </c>
      <c r="H682" s="2213">
        <v>75.2</v>
      </c>
      <c r="L682" s="2210"/>
      <c r="M682" s="2214"/>
      <c r="T682" s="2215"/>
      <c r="AT682" s="2211" t="s">
        <v>3303</v>
      </c>
      <c r="AU682" s="2211" t="s">
        <v>134</v>
      </c>
      <c r="AV682" s="2209" t="s">
        <v>134</v>
      </c>
      <c r="AW682" s="2209" t="s">
        <v>3171</v>
      </c>
      <c r="AX682" s="2209" t="s">
        <v>3213</v>
      </c>
      <c r="AY682" s="2211" t="s">
        <v>3285</v>
      </c>
    </row>
    <row r="683" spans="2:65" s="2216" customFormat="1">
      <c r="B683" s="2217"/>
      <c r="D683" s="2197" t="s">
        <v>3303</v>
      </c>
      <c r="E683" s="2218" t="s">
        <v>3146</v>
      </c>
      <c r="F683" s="2219" t="s">
        <v>3306</v>
      </c>
      <c r="H683" s="2220">
        <v>75.2</v>
      </c>
      <c r="L683" s="2217"/>
      <c r="M683" s="2221"/>
      <c r="T683" s="2222"/>
      <c r="AT683" s="2218" t="s">
        <v>3303</v>
      </c>
      <c r="AU683" s="2218" t="s">
        <v>134</v>
      </c>
      <c r="AV683" s="2216" t="s">
        <v>856</v>
      </c>
      <c r="AW683" s="2216" t="s">
        <v>3171</v>
      </c>
      <c r="AX683" s="2216" t="s">
        <v>133</v>
      </c>
      <c r="AY683" s="2218" t="s">
        <v>3285</v>
      </c>
    </row>
    <row r="684" spans="2:65" s="2070" customFormat="1" ht="24.2" customHeight="1">
      <c r="B684" s="2164"/>
      <c r="C684" s="4608" t="s">
        <v>3931</v>
      </c>
      <c r="D684" s="4608" t="s">
        <v>3286</v>
      </c>
      <c r="E684" s="4609" t="s">
        <v>11226</v>
      </c>
      <c r="F684" s="4610" t="s">
        <v>11227</v>
      </c>
      <c r="G684" s="4611" t="s">
        <v>611</v>
      </c>
      <c r="H684" s="4612">
        <v>10</v>
      </c>
      <c r="I684" s="4613"/>
      <c r="J684" s="4613">
        <f>ROUND(I684*H684,2)</f>
        <v>0</v>
      </c>
      <c r="K684" s="4610" t="s">
        <v>142</v>
      </c>
      <c r="L684" s="2071"/>
      <c r="M684" s="2190" t="s">
        <v>3146</v>
      </c>
      <c r="N684" s="2163" t="s">
        <v>3181</v>
      </c>
      <c r="O684" s="2191">
        <v>1.02</v>
      </c>
      <c r="P684" s="2191">
        <f>O684*H684</f>
        <v>10.199999999999999</v>
      </c>
      <c r="Q684" s="2191">
        <v>1.566E-2</v>
      </c>
      <c r="R684" s="2191">
        <f>Q684*H684</f>
        <v>0.15660000000000002</v>
      </c>
      <c r="S684" s="2191">
        <v>0</v>
      </c>
      <c r="T684" s="2192">
        <f>S684*H684</f>
        <v>0</v>
      </c>
      <c r="AR684" s="2193" t="s">
        <v>2894</v>
      </c>
      <c r="AT684" s="2193" t="s">
        <v>3286</v>
      </c>
      <c r="AU684" s="2193" t="s">
        <v>134</v>
      </c>
      <c r="AY684" s="2056" t="s">
        <v>3285</v>
      </c>
      <c r="BE684" s="2194">
        <f>IF(N684="základní",J684,0)</f>
        <v>0</v>
      </c>
      <c r="BF684" s="2194">
        <f>IF(N684="snížená",J684,0)</f>
        <v>0</v>
      </c>
      <c r="BG684" s="2194">
        <f>IF(N684="zákl. přenesená",J684,0)</f>
        <v>0</v>
      </c>
      <c r="BH684" s="2194">
        <f>IF(N684="sníž. přenesená",J684,0)</f>
        <v>0</v>
      </c>
      <c r="BI684" s="2194">
        <f>IF(N684="nulová",J684,0)</f>
        <v>0</v>
      </c>
      <c r="BJ684" s="2056" t="s">
        <v>134</v>
      </c>
      <c r="BK684" s="2194">
        <f>ROUND(I684*H684,2)</f>
        <v>0</v>
      </c>
      <c r="BL684" s="2056" t="s">
        <v>2894</v>
      </c>
      <c r="BM684" s="2193" t="s">
        <v>11228</v>
      </c>
    </row>
    <row r="685" spans="2:65" s="2195" customFormat="1">
      <c r="B685" s="2196"/>
      <c r="D685" s="2197" t="s">
        <v>3303</v>
      </c>
      <c r="E685" s="2198" t="s">
        <v>3146</v>
      </c>
      <c r="F685" s="2199" t="s">
        <v>11229</v>
      </c>
      <c r="H685" s="2198" t="s">
        <v>3146</v>
      </c>
      <c r="L685" s="2196"/>
      <c r="M685" s="2200"/>
      <c r="T685" s="2201"/>
      <c r="AT685" s="2198" t="s">
        <v>3303</v>
      </c>
      <c r="AU685" s="2198" t="s">
        <v>134</v>
      </c>
      <c r="AV685" s="2195" t="s">
        <v>133</v>
      </c>
      <c r="AW685" s="2195" t="s">
        <v>3171</v>
      </c>
      <c r="AX685" s="2195" t="s">
        <v>3213</v>
      </c>
      <c r="AY685" s="2198" t="s">
        <v>3285</v>
      </c>
    </row>
    <row r="686" spans="2:65" s="2209" customFormat="1">
      <c r="B686" s="2210"/>
      <c r="D686" s="2197" t="s">
        <v>3303</v>
      </c>
      <c r="E686" s="2211" t="s">
        <v>3146</v>
      </c>
      <c r="F686" s="2212" t="s">
        <v>11230</v>
      </c>
      <c r="H686" s="2213">
        <v>10</v>
      </c>
      <c r="L686" s="2210"/>
      <c r="M686" s="2214"/>
      <c r="T686" s="2215"/>
      <c r="AT686" s="2211" t="s">
        <v>3303</v>
      </c>
      <c r="AU686" s="2211" t="s">
        <v>134</v>
      </c>
      <c r="AV686" s="2209" t="s">
        <v>134</v>
      </c>
      <c r="AW686" s="2209" t="s">
        <v>3171</v>
      </c>
      <c r="AX686" s="2209" t="s">
        <v>3213</v>
      </c>
      <c r="AY686" s="2211" t="s">
        <v>3285</v>
      </c>
    </row>
    <row r="687" spans="2:65" s="2216" customFormat="1">
      <c r="B687" s="2217"/>
      <c r="D687" s="2197" t="s">
        <v>3303</v>
      </c>
      <c r="E687" s="2218" t="s">
        <v>3146</v>
      </c>
      <c r="F687" s="2219" t="s">
        <v>3306</v>
      </c>
      <c r="H687" s="2220">
        <v>10</v>
      </c>
      <c r="L687" s="2217"/>
      <c r="M687" s="2221"/>
      <c r="T687" s="2222"/>
      <c r="AT687" s="2218" t="s">
        <v>3303</v>
      </c>
      <c r="AU687" s="2218" t="s">
        <v>134</v>
      </c>
      <c r="AV687" s="2216" t="s">
        <v>856</v>
      </c>
      <c r="AW687" s="2216" t="s">
        <v>3171</v>
      </c>
      <c r="AX687" s="2216" t="s">
        <v>133</v>
      </c>
      <c r="AY687" s="2218" t="s">
        <v>3285</v>
      </c>
    </row>
    <row r="688" spans="2:65" s="2070" customFormat="1" ht="21.75" customHeight="1">
      <c r="B688" s="2164"/>
      <c r="C688" s="4608" t="s">
        <v>3935</v>
      </c>
      <c r="D688" s="4608" t="s">
        <v>3286</v>
      </c>
      <c r="E688" s="4609" t="s">
        <v>11231</v>
      </c>
      <c r="F688" s="4610" t="s">
        <v>11232</v>
      </c>
      <c r="G688" s="4611" t="s">
        <v>611</v>
      </c>
      <c r="H688" s="4612">
        <v>28.65</v>
      </c>
      <c r="I688" s="4613"/>
      <c r="J688" s="4613">
        <f>ROUND(I688*H688,2)</f>
        <v>0</v>
      </c>
      <c r="K688" s="4610" t="s">
        <v>142</v>
      </c>
      <c r="L688" s="2071"/>
      <c r="M688" s="2190" t="s">
        <v>3146</v>
      </c>
      <c r="N688" s="2163" t="s">
        <v>3181</v>
      </c>
      <c r="O688" s="2191">
        <v>1.02</v>
      </c>
      <c r="P688" s="2191">
        <f>O688*H688</f>
        <v>29.222999999999999</v>
      </c>
      <c r="Q688" s="2191">
        <v>1.393E-2</v>
      </c>
      <c r="R688" s="2191">
        <f>Q688*H688</f>
        <v>0.39909449999999996</v>
      </c>
      <c r="S688" s="2191">
        <v>0</v>
      </c>
      <c r="T688" s="2192">
        <f>S688*H688</f>
        <v>0</v>
      </c>
      <c r="AR688" s="2193" t="s">
        <v>2894</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2894</v>
      </c>
      <c r="BM688" s="2193" t="s">
        <v>11233</v>
      </c>
    </row>
    <row r="689" spans="2:65" s="2195" customFormat="1">
      <c r="B689" s="2196"/>
      <c r="D689" s="2197" t="s">
        <v>3303</v>
      </c>
      <c r="E689" s="2198" t="s">
        <v>3146</v>
      </c>
      <c r="F689" s="2199" t="s">
        <v>11234</v>
      </c>
      <c r="H689" s="2198" t="s">
        <v>3146</v>
      </c>
      <c r="L689" s="2196"/>
      <c r="M689" s="2200"/>
      <c r="T689" s="2201"/>
      <c r="AT689" s="2198" t="s">
        <v>3303</v>
      </c>
      <c r="AU689" s="2198" t="s">
        <v>134</v>
      </c>
      <c r="AV689" s="2195" t="s">
        <v>133</v>
      </c>
      <c r="AW689" s="2195" t="s">
        <v>3171</v>
      </c>
      <c r="AX689" s="2195" t="s">
        <v>3213</v>
      </c>
      <c r="AY689" s="2198" t="s">
        <v>3285</v>
      </c>
    </row>
    <row r="690" spans="2:65" s="2209" customFormat="1">
      <c r="B690" s="2210"/>
      <c r="D690" s="2197" t="s">
        <v>3303</v>
      </c>
      <c r="E690" s="2211" t="s">
        <v>3146</v>
      </c>
      <c r="F690" s="2212" t="s">
        <v>11235</v>
      </c>
      <c r="H690" s="2213">
        <v>8.35</v>
      </c>
      <c r="L690" s="2210"/>
      <c r="M690" s="2214"/>
      <c r="T690" s="2215"/>
      <c r="AT690" s="2211" t="s">
        <v>3303</v>
      </c>
      <c r="AU690" s="2211" t="s">
        <v>134</v>
      </c>
      <c r="AV690" s="2209" t="s">
        <v>134</v>
      </c>
      <c r="AW690" s="2209" t="s">
        <v>3171</v>
      </c>
      <c r="AX690" s="2209" t="s">
        <v>3213</v>
      </c>
      <c r="AY690" s="2211" t="s">
        <v>3285</v>
      </c>
    </row>
    <row r="691" spans="2:65" s="2209" customFormat="1">
      <c r="B691" s="2210"/>
      <c r="D691" s="2197" t="s">
        <v>3303</v>
      </c>
      <c r="E691" s="2211" t="s">
        <v>3146</v>
      </c>
      <c r="F691" s="2212" t="s">
        <v>11236</v>
      </c>
      <c r="H691" s="2213">
        <v>17.8</v>
      </c>
      <c r="L691" s="2210"/>
      <c r="M691" s="2214"/>
      <c r="T691" s="2215"/>
      <c r="AT691" s="2211" t="s">
        <v>3303</v>
      </c>
      <c r="AU691" s="2211" t="s">
        <v>134</v>
      </c>
      <c r="AV691" s="2209" t="s">
        <v>134</v>
      </c>
      <c r="AW691" s="2209" t="s">
        <v>3171</v>
      </c>
      <c r="AX691" s="2209" t="s">
        <v>3213</v>
      </c>
      <c r="AY691" s="2211" t="s">
        <v>3285</v>
      </c>
    </row>
    <row r="692" spans="2:65" s="2209" customFormat="1">
      <c r="B692" s="2210"/>
      <c r="D692" s="2197" t="s">
        <v>3303</v>
      </c>
      <c r="E692" s="2211" t="s">
        <v>3146</v>
      </c>
      <c r="F692" s="2212" t="s">
        <v>11237</v>
      </c>
      <c r="H692" s="2213">
        <v>2.5</v>
      </c>
      <c r="L692" s="2210"/>
      <c r="M692" s="2214"/>
      <c r="T692" s="2215"/>
      <c r="AT692" s="2211" t="s">
        <v>3303</v>
      </c>
      <c r="AU692" s="2211" t="s">
        <v>134</v>
      </c>
      <c r="AV692" s="2209" t="s">
        <v>134</v>
      </c>
      <c r="AW692" s="2209" t="s">
        <v>3171</v>
      </c>
      <c r="AX692" s="2209" t="s">
        <v>3213</v>
      </c>
      <c r="AY692" s="2211" t="s">
        <v>3285</v>
      </c>
    </row>
    <row r="693" spans="2:65" s="2216" customFormat="1">
      <c r="B693" s="2217"/>
      <c r="D693" s="2197" t="s">
        <v>3303</v>
      </c>
      <c r="E693" s="2218" t="s">
        <v>3146</v>
      </c>
      <c r="F693" s="2219" t="s">
        <v>3306</v>
      </c>
      <c r="H693" s="2220">
        <v>28.65</v>
      </c>
      <c r="L693" s="2217"/>
      <c r="M693" s="2221"/>
      <c r="T693" s="2222"/>
      <c r="AT693" s="2218" t="s">
        <v>3303</v>
      </c>
      <c r="AU693" s="2218" t="s">
        <v>134</v>
      </c>
      <c r="AV693" s="2216" t="s">
        <v>856</v>
      </c>
      <c r="AW693" s="2216" t="s">
        <v>3171</v>
      </c>
      <c r="AX693" s="2216" t="s">
        <v>133</v>
      </c>
      <c r="AY693" s="2218" t="s">
        <v>3285</v>
      </c>
    </row>
    <row r="694" spans="2:65" s="2070" customFormat="1" ht="24.2" customHeight="1">
      <c r="B694" s="2164"/>
      <c r="C694" s="4608" t="s">
        <v>3936</v>
      </c>
      <c r="D694" s="4608" t="s">
        <v>3286</v>
      </c>
      <c r="E694" s="4609" t="s">
        <v>11238</v>
      </c>
      <c r="F694" s="4610" t="s">
        <v>11239</v>
      </c>
      <c r="G694" s="4611" t="s">
        <v>611</v>
      </c>
      <c r="H694" s="4612">
        <v>100.8</v>
      </c>
      <c r="I694" s="4613"/>
      <c r="J694" s="4613">
        <f>ROUND(I694*H694,2)</f>
        <v>0</v>
      </c>
      <c r="K694" s="4610" t="s">
        <v>142</v>
      </c>
      <c r="L694" s="2071"/>
      <c r="M694" s="2190" t="s">
        <v>3146</v>
      </c>
      <c r="N694" s="2163" t="s">
        <v>3181</v>
      </c>
      <c r="O694" s="2191">
        <v>1.242</v>
      </c>
      <c r="P694" s="2191">
        <f>O694*H694</f>
        <v>125.19359999999999</v>
      </c>
      <c r="Q694" s="2191">
        <v>1.5299999999999999E-2</v>
      </c>
      <c r="R694" s="2191">
        <f>Q694*H694</f>
        <v>1.5422399999999998</v>
      </c>
      <c r="S694" s="2191">
        <v>0</v>
      </c>
      <c r="T694" s="2192">
        <f>S694*H694</f>
        <v>0</v>
      </c>
      <c r="AR694" s="2193" t="s">
        <v>2894</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2894</v>
      </c>
      <c r="BM694" s="2193" t="s">
        <v>11240</v>
      </c>
    </row>
    <row r="695" spans="2:65" s="2070" customFormat="1" ht="24.2" customHeight="1">
      <c r="B695" s="2164"/>
      <c r="C695" s="4608" t="s">
        <v>3937</v>
      </c>
      <c r="D695" s="4608" t="s">
        <v>3286</v>
      </c>
      <c r="E695" s="4609" t="s">
        <v>11241</v>
      </c>
      <c r="F695" s="4610" t="s">
        <v>11242</v>
      </c>
      <c r="G695" s="4611" t="s">
        <v>611</v>
      </c>
      <c r="H695" s="4612">
        <v>100.8</v>
      </c>
      <c r="I695" s="4613"/>
      <c r="J695" s="4613">
        <f>ROUND(I695*H695,2)</f>
        <v>0</v>
      </c>
      <c r="K695" s="4610" t="s">
        <v>142</v>
      </c>
      <c r="L695" s="2071"/>
      <c r="M695" s="2190" t="s">
        <v>3146</v>
      </c>
      <c r="N695" s="2163" t="s">
        <v>3181</v>
      </c>
      <c r="O695" s="2191">
        <v>1.577</v>
      </c>
      <c r="P695" s="2191">
        <f>O695*H695</f>
        <v>158.9616</v>
      </c>
      <c r="Q695" s="2191">
        <v>1.472E-2</v>
      </c>
      <c r="R695" s="2191">
        <f>Q695*H695</f>
        <v>1.483776</v>
      </c>
      <c r="S695" s="2191">
        <v>0</v>
      </c>
      <c r="T695" s="2192">
        <f>S695*H695</f>
        <v>0</v>
      </c>
      <c r="AR695" s="2193" t="s">
        <v>2894</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2894</v>
      </c>
      <c r="BM695" s="2193" t="s">
        <v>11243</v>
      </c>
    </row>
    <row r="696" spans="2:65" s="2209" customFormat="1">
      <c r="B696" s="2210"/>
      <c r="D696" s="2197" t="s">
        <v>3303</v>
      </c>
      <c r="E696" s="2211" t="s">
        <v>3146</v>
      </c>
      <c r="F696" s="2212" t="s">
        <v>11244</v>
      </c>
      <c r="H696" s="2213">
        <v>100.8</v>
      </c>
      <c r="L696" s="2210"/>
      <c r="M696" s="2214"/>
      <c r="T696" s="2215"/>
      <c r="AT696" s="2211" t="s">
        <v>3303</v>
      </c>
      <c r="AU696" s="2211" t="s">
        <v>134</v>
      </c>
      <c r="AV696" s="2209" t="s">
        <v>134</v>
      </c>
      <c r="AW696" s="2209" t="s">
        <v>3171</v>
      </c>
      <c r="AX696" s="2209" t="s">
        <v>133</v>
      </c>
      <c r="AY696" s="2211" t="s">
        <v>3285</v>
      </c>
    </row>
    <row r="697" spans="2:65" s="2070" customFormat="1" ht="33" customHeight="1">
      <c r="B697" s="2164"/>
      <c r="C697" s="4608" t="s">
        <v>3938</v>
      </c>
      <c r="D697" s="4608" t="s">
        <v>3286</v>
      </c>
      <c r="E697" s="4609" t="s">
        <v>5090</v>
      </c>
      <c r="F697" s="4610" t="s">
        <v>5091</v>
      </c>
      <c r="G697" s="4611" t="s">
        <v>155</v>
      </c>
      <c r="H697" s="4612">
        <v>47</v>
      </c>
      <c r="I697" s="4613"/>
      <c r="J697" s="4613">
        <f>ROUND(I697*H697,2)</f>
        <v>0</v>
      </c>
      <c r="K697" s="4610" t="s">
        <v>142</v>
      </c>
      <c r="L697" s="2071"/>
      <c r="M697" s="2190" t="s">
        <v>3146</v>
      </c>
      <c r="N697" s="2163" t="s">
        <v>3181</v>
      </c>
      <c r="O697" s="2191">
        <v>3.47</v>
      </c>
      <c r="P697" s="2191">
        <f>O697*H697</f>
        <v>163.09</v>
      </c>
      <c r="Q697" s="2191">
        <v>0</v>
      </c>
      <c r="R697" s="2191">
        <f>Q697*H697</f>
        <v>0</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5092</v>
      </c>
    </row>
    <row r="698" spans="2:65" s="2209" customFormat="1">
      <c r="B698" s="2210"/>
      <c r="D698" s="2197" t="s">
        <v>3303</v>
      </c>
      <c r="E698" s="2211" t="s">
        <v>3146</v>
      </c>
      <c r="F698" s="2212" t="s">
        <v>5093</v>
      </c>
      <c r="H698" s="2213">
        <v>47</v>
      </c>
      <c r="L698" s="2210"/>
      <c r="M698" s="2214"/>
      <c r="T698" s="2215"/>
      <c r="AT698" s="2211" t="s">
        <v>3303</v>
      </c>
      <c r="AU698" s="2211" t="s">
        <v>134</v>
      </c>
      <c r="AV698" s="2209" t="s">
        <v>134</v>
      </c>
      <c r="AW698" s="2209" t="s">
        <v>3171</v>
      </c>
      <c r="AX698" s="2209" t="s">
        <v>3213</v>
      </c>
      <c r="AY698" s="2211" t="s">
        <v>3285</v>
      </c>
    </row>
    <row r="699" spans="2:65" s="2216" customFormat="1">
      <c r="B699" s="2217"/>
      <c r="D699" s="2197" t="s">
        <v>3303</v>
      </c>
      <c r="E699" s="2218" t="s">
        <v>3146</v>
      </c>
      <c r="F699" s="2219" t="s">
        <v>3306</v>
      </c>
      <c r="H699" s="2220">
        <v>47</v>
      </c>
      <c r="L699" s="2217"/>
      <c r="M699" s="2221"/>
      <c r="T699" s="2222"/>
      <c r="AT699" s="2218" t="s">
        <v>3303</v>
      </c>
      <c r="AU699" s="2218" t="s">
        <v>134</v>
      </c>
      <c r="AV699" s="2216" t="s">
        <v>856</v>
      </c>
      <c r="AW699" s="2216" t="s">
        <v>3171</v>
      </c>
      <c r="AX699" s="2216" t="s">
        <v>133</v>
      </c>
      <c r="AY699" s="2218" t="s">
        <v>3285</v>
      </c>
    </row>
    <row r="700" spans="2:65" s="2070" customFormat="1" ht="24.2" customHeight="1">
      <c r="B700" s="2164"/>
      <c r="C700" s="4614" t="s">
        <v>3945</v>
      </c>
      <c r="D700" s="4614" t="s">
        <v>135</v>
      </c>
      <c r="E700" s="4615" t="s">
        <v>5095</v>
      </c>
      <c r="F700" s="4616" t="s">
        <v>5096</v>
      </c>
      <c r="G700" s="4617" t="s">
        <v>155</v>
      </c>
      <c r="H700" s="4618">
        <v>11</v>
      </c>
      <c r="I700" s="4619"/>
      <c r="J700" s="4619">
        <f>ROUND(I700*H700,2)</f>
        <v>0</v>
      </c>
      <c r="K700" s="4616" t="s">
        <v>142</v>
      </c>
      <c r="L700" s="2223"/>
      <c r="M700" s="2224" t="s">
        <v>3146</v>
      </c>
      <c r="N700" s="2225" t="s">
        <v>3181</v>
      </c>
      <c r="O700" s="2191">
        <v>0</v>
      </c>
      <c r="P700" s="2191">
        <f>O700*H700</f>
        <v>0</v>
      </c>
      <c r="Q700" s="2191">
        <v>4.2500000000000003E-2</v>
      </c>
      <c r="R700" s="2191">
        <f>Q700*H700</f>
        <v>0.46750000000000003</v>
      </c>
      <c r="S700" s="2191">
        <v>0</v>
      </c>
      <c r="T700" s="2192">
        <f>S700*H700</f>
        <v>0</v>
      </c>
      <c r="AR700" s="2193" t="s">
        <v>3389</v>
      </c>
      <c r="AT700" s="2193" t="s">
        <v>135</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2894</v>
      </c>
      <c r="BM700" s="2193" t="s">
        <v>5097</v>
      </c>
    </row>
    <row r="701" spans="2:65" s="2209" customFormat="1">
      <c r="B701" s="2210"/>
      <c r="D701" s="2197" t="s">
        <v>3303</v>
      </c>
      <c r="E701" s="2211" t="s">
        <v>3146</v>
      </c>
      <c r="F701" s="2212" t="s">
        <v>5098</v>
      </c>
      <c r="H701" s="2213">
        <v>11</v>
      </c>
      <c r="L701" s="2210"/>
      <c r="M701" s="2214"/>
      <c r="T701" s="2215"/>
      <c r="AT701" s="2211" t="s">
        <v>3303</v>
      </c>
      <c r="AU701" s="2211" t="s">
        <v>134</v>
      </c>
      <c r="AV701" s="2209" t="s">
        <v>134</v>
      </c>
      <c r="AW701" s="2209" t="s">
        <v>3171</v>
      </c>
      <c r="AX701" s="2209" t="s">
        <v>3213</v>
      </c>
      <c r="AY701" s="2211" t="s">
        <v>3285</v>
      </c>
    </row>
    <row r="702" spans="2:65" s="2216" customFormat="1">
      <c r="B702" s="2217"/>
      <c r="D702" s="2197" t="s">
        <v>3303</v>
      </c>
      <c r="E702" s="2218" t="s">
        <v>3146</v>
      </c>
      <c r="F702" s="2219" t="s">
        <v>3306</v>
      </c>
      <c r="H702" s="2220">
        <v>11</v>
      </c>
      <c r="L702" s="2217"/>
      <c r="M702" s="2221"/>
      <c r="T702" s="2222"/>
      <c r="AT702" s="2218" t="s">
        <v>3303</v>
      </c>
      <c r="AU702" s="2218" t="s">
        <v>134</v>
      </c>
      <c r="AV702" s="2216" t="s">
        <v>856</v>
      </c>
      <c r="AW702" s="2216" t="s">
        <v>3171</v>
      </c>
      <c r="AX702" s="2216" t="s">
        <v>133</v>
      </c>
      <c r="AY702" s="2218" t="s">
        <v>3285</v>
      </c>
    </row>
    <row r="703" spans="2:65" s="2070" customFormat="1" ht="24.2" customHeight="1">
      <c r="B703" s="2164"/>
      <c r="C703" s="4614" t="s">
        <v>3950</v>
      </c>
      <c r="D703" s="4614" t="s">
        <v>135</v>
      </c>
      <c r="E703" s="4615" t="s">
        <v>5100</v>
      </c>
      <c r="F703" s="4616" t="s">
        <v>5101</v>
      </c>
      <c r="G703" s="4617" t="s">
        <v>155</v>
      </c>
      <c r="H703" s="4618">
        <v>35</v>
      </c>
      <c r="I703" s="4619"/>
      <c r="J703" s="4619">
        <f>ROUND(I703*H703,2)</f>
        <v>0</v>
      </c>
      <c r="K703" s="4616" t="s">
        <v>142</v>
      </c>
      <c r="L703" s="2223"/>
      <c r="M703" s="2224" t="s">
        <v>3146</v>
      </c>
      <c r="N703" s="2225" t="s">
        <v>3181</v>
      </c>
      <c r="O703" s="2191">
        <v>0</v>
      </c>
      <c r="P703" s="2191">
        <f>O703*H703</f>
        <v>0</v>
      </c>
      <c r="Q703" s="2191">
        <v>4.4999999999999998E-2</v>
      </c>
      <c r="R703" s="2191">
        <f>Q703*H703</f>
        <v>1.575</v>
      </c>
      <c r="S703" s="2191">
        <v>0</v>
      </c>
      <c r="T703" s="2192">
        <f>S703*H703</f>
        <v>0</v>
      </c>
      <c r="AR703" s="2193" t="s">
        <v>3389</v>
      </c>
      <c r="AT703" s="2193" t="s">
        <v>135</v>
      </c>
      <c r="AU703" s="2193" t="s">
        <v>134</v>
      </c>
      <c r="AY703" s="2056" t="s">
        <v>3285</v>
      </c>
      <c r="BE703" s="2194">
        <f>IF(N703="základní",J703,0)</f>
        <v>0</v>
      </c>
      <c r="BF703" s="2194">
        <f>IF(N703="snížená",J703,0)</f>
        <v>0</v>
      </c>
      <c r="BG703" s="2194">
        <f>IF(N703="zákl. přenesená",J703,0)</f>
        <v>0</v>
      </c>
      <c r="BH703" s="2194">
        <f>IF(N703="sníž. přenesená",J703,0)</f>
        <v>0</v>
      </c>
      <c r="BI703" s="2194">
        <f>IF(N703="nulová",J703,0)</f>
        <v>0</v>
      </c>
      <c r="BJ703" s="2056" t="s">
        <v>134</v>
      </c>
      <c r="BK703" s="2194">
        <f>ROUND(I703*H703,2)</f>
        <v>0</v>
      </c>
      <c r="BL703" s="2056" t="s">
        <v>2894</v>
      </c>
      <c r="BM703" s="2193" t="s">
        <v>5102</v>
      </c>
    </row>
    <row r="704" spans="2:65" s="2209" customFormat="1">
      <c r="B704" s="2210"/>
      <c r="D704" s="2197" t="s">
        <v>3303</v>
      </c>
      <c r="E704" s="2211" t="s">
        <v>3146</v>
      </c>
      <c r="F704" s="2212" t="s">
        <v>5103</v>
      </c>
      <c r="H704" s="2213">
        <v>35</v>
      </c>
      <c r="L704" s="2210"/>
      <c r="M704" s="2214"/>
      <c r="T704" s="2215"/>
      <c r="AT704" s="2211" t="s">
        <v>3303</v>
      </c>
      <c r="AU704" s="2211" t="s">
        <v>134</v>
      </c>
      <c r="AV704" s="2209" t="s">
        <v>134</v>
      </c>
      <c r="AW704" s="2209" t="s">
        <v>3171</v>
      </c>
      <c r="AX704" s="2209" t="s">
        <v>133</v>
      </c>
      <c r="AY704" s="2211" t="s">
        <v>3285</v>
      </c>
    </row>
    <row r="705" spans="2:65" s="2070" customFormat="1" ht="24.2" customHeight="1">
      <c r="B705" s="2164"/>
      <c r="C705" s="4614" t="s">
        <v>3956</v>
      </c>
      <c r="D705" s="4614" t="s">
        <v>135</v>
      </c>
      <c r="E705" s="4615" t="s">
        <v>5105</v>
      </c>
      <c r="F705" s="4616" t="s">
        <v>5106</v>
      </c>
      <c r="G705" s="4617" t="s">
        <v>155</v>
      </c>
      <c r="H705" s="4618">
        <v>1</v>
      </c>
      <c r="I705" s="4619"/>
      <c r="J705" s="4619">
        <f>ROUND(I705*H705,2)</f>
        <v>0</v>
      </c>
      <c r="K705" s="4616" t="s">
        <v>142</v>
      </c>
      <c r="L705" s="2223"/>
      <c r="M705" s="2224" t="s">
        <v>3146</v>
      </c>
      <c r="N705" s="2225" t="s">
        <v>3181</v>
      </c>
      <c r="O705" s="2191">
        <v>0</v>
      </c>
      <c r="P705" s="2191">
        <f>O705*H705</f>
        <v>0</v>
      </c>
      <c r="Q705" s="2191">
        <v>3.6999999999999998E-2</v>
      </c>
      <c r="R705" s="2191">
        <f>Q705*H705</f>
        <v>3.6999999999999998E-2</v>
      </c>
      <c r="S705" s="2191">
        <v>0</v>
      </c>
      <c r="T705" s="2192">
        <f>S705*H705</f>
        <v>0</v>
      </c>
      <c r="AR705" s="2193" t="s">
        <v>3389</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5107</v>
      </c>
    </row>
    <row r="706" spans="2:65" s="2070" customFormat="1" ht="24.2" customHeight="1">
      <c r="B706" s="2164"/>
      <c r="C706" s="4608" t="s">
        <v>3959</v>
      </c>
      <c r="D706" s="4608" t="s">
        <v>3286</v>
      </c>
      <c r="E706" s="4609" t="s">
        <v>5108</v>
      </c>
      <c r="F706" s="4610" t="s">
        <v>5109</v>
      </c>
      <c r="G706" s="4611" t="s">
        <v>611</v>
      </c>
      <c r="H706" s="4612">
        <v>26.74</v>
      </c>
      <c r="I706" s="4613"/>
      <c r="J706" s="4613">
        <f>ROUND(I706*H706,2)</f>
        <v>0</v>
      </c>
      <c r="K706" s="4610" t="s">
        <v>142</v>
      </c>
      <c r="L706" s="2071"/>
      <c r="M706" s="2190" t="s">
        <v>3146</v>
      </c>
      <c r="N706" s="2163" t="s">
        <v>3181</v>
      </c>
      <c r="O706" s="2191">
        <v>3.125</v>
      </c>
      <c r="P706" s="2191">
        <f>O706*H706</f>
        <v>83.5625</v>
      </c>
      <c r="Q706" s="2191">
        <v>5.4010000000000002E-2</v>
      </c>
      <c r="R706" s="2191">
        <f>Q706*H706</f>
        <v>1.4442273999999999</v>
      </c>
      <c r="S706" s="2191">
        <v>0</v>
      </c>
      <c r="T706" s="2192">
        <f>S706*H706</f>
        <v>0</v>
      </c>
      <c r="AR706" s="2193" t="s">
        <v>2894</v>
      </c>
      <c r="AT706" s="2193" t="s">
        <v>3286</v>
      </c>
      <c r="AU706" s="2193" t="s">
        <v>134</v>
      </c>
      <c r="AY706" s="2056" t="s">
        <v>3285</v>
      </c>
      <c r="BE706" s="2194">
        <f>IF(N706="základní",J706,0)</f>
        <v>0</v>
      </c>
      <c r="BF706" s="2194">
        <f>IF(N706="snížená",J706,0)</f>
        <v>0</v>
      </c>
      <c r="BG706" s="2194">
        <f>IF(N706="zákl. přenesená",J706,0)</f>
        <v>0</v>
      </c>
      <c r="BH706" s="2194">
        <f>IF(N706="sníž. přenesená",J706,0)</f>
        <v>0</v>
      </c>
      <c r="BI706" s="2194">
        <f>IF(N706="nulová",J706,0)</f>
        <v>0</v>
      </c>
      <c r="BJ706" s="2056" t="s">
        <v>134</v>
      </c>
      <c r="BK706" s="2194">
        <f>ROUND(I706*H706,2)</f>
        <v>0</v>
      </c>
      <c r="BL706" s="2056" t="s">
        <v>2894</v>
      </c>
      <c r="BM706" s="2193" t="s">
        <v>5110</v>
      </c>
    </row>
    <row r="707" spans="2:65" s="2209" customFormat="1">
      <c r="B707" s="2210"/>
      <c r="D707" s="2197" t="s">
        <v>3303</v>
      </c>
      <c r="E707" s="2211" t="s">
        <v>3146</v>
      </c>
      <c r="F707" s="2212" t="s">
        <v>5111</v>
      </c>
      <c r="H707" s="2213">
        <v>3</v>
      </c>
      <c r="L707" s="2210"/>
      <c r="M707" s="2214"/>
      <c r="T707" s="2215"/>
      <c r="AT707" s="2211" t="s">
        <v>3303</v>
      </c>
      <c r="AU707" s="2211" t="s">
        <v>134</v>
      </c>
      <c r="AV707" s="2209" t="s">
        <v>134</v>
      </c>
      <c r="AW707" s="2209" t="s">
        <v>3171</v>
      </c>
      <c r="AX707" s="2209" t="s">
        <v>3213</v>
      </c>
      <c r="AY707" s="2211" t="s">
        <v>3285</v>
      </c>
    </row>
    <row r="708" spans="2:65" s="2209" customFormat="1">
      <c r="B708" s="2210"/>
      <c r="D708" s="2197" t="s">
        <v>3303</v>
      </c>
      <c r="E708" s="2211" t="s">
        <v>3146</v>
      </c>
      <c r="F708" s="2212" t="s">
        <v>5112</v>
      </c>
      <c r="H708" s="2213">
        <v>2.1</v>
      </c>
      <c r="L708" s="2210"/>
      <c r="M708" s="2214"/>
      <c r="T708" s="2215"/>
      <c r="AT708" s="2211" t="s">
        <v>3303</v>
      </c>
      <c r="AU708" s="2211" t="s">
        <v>134</v>
      </c>
      <c r="AV708" s="2209" t="s">
        <v>134</v>
      </c>
      <c r="AW708" s="2209" t="s">
        <v>3171</v>
      </c>
      <c r="AX708" s="2209" t="s">
        <v>3213</v>
      </c>
      <c r="AY708" s="2211" t="s">
        <v>3285</v>
      </c>
    </row>
    <row r="709" spans="2:65" s="2209" customFormat="1">
      <c r="B709" s="2210"/>
      <c r="D709" s="2197" t="s">
        <v>3303</v>
      </c>
      <c r="E709" s="2211" t="s">
        <v>3146</v>
      </c>
      <c r="F709" s="2212" t="s">
        <v>5113</v>
      </c>
      <c r="H709" s="2213">
        <v>2.4</v>
      </c>
      <c r="L709" s="2210"/>
      <c r="M709" s="2214"/>
      <c r="T709" s="2215"/>
      <c r="AT709" s="2211" t="s">
        <v>3303</v>
      </c>
      <c r="AU709" s="2211" t="s">
        <v>134</v>
      </c>
      <c r="AV709" s="2209" t="s">
        <v>134</v>
      </c>
      <c r="AW709" s="2209" t="s">
        <v>3171</v>
      </c>
      <c r="AX709" s="2209" t="s">
        <v>3213</v>
      </c>
      <c r="AY709" s="2211" t="s">
        <v>3285</v>
      </c>
    </row>
    <row r="710" spans="2:65" s="2209" customFormat="1">
      <c r="B710" s="2210"/>
      <c r="D710" s="2197" t="s">
        <v>3303</v>
      </c>
      <c r="E710" s="2211" t="s">
        <v>3146</v>
      </c>
      <c r="F710" s="2212" t="s">
        <v>5114</v>
      </c>
      <c r="H710" s="2213">
        <v>2.4</v>
      </c>
      <c r="L710" s="2210"/>
      <c r="M710" s="2214"/>
      <c r="T710" s="2215"/>
      <c r="AT710" s="2211" t="s">
        <v>3303</v>
      </c>
      <c r="AU710" s="2211" t="s">
        <v>134</v>
      </c>
      <c r="AV710" s="2209" t="s">
        <v>134</v>
      </c>
      <c r="AW710" s="2209" t="s">
        <v>3171</v>
      </c>
      <c r="AX710" s="2209" t="s">
        <v>3213</v>
      </c>
      <c r="AY710" s="2211" t="s">
        <v>3285</v>
      </c>
    </row>
    <row r="711" spans="2:65" s="2209" customFormat="1">
      <c r="B711" s="2210"/>
      <c r="D711" s="2197" t="s">
        <v>3303</v>
      </c>
      <c r="E711" s="2211" t="s">
        <v>3146</v>
      </c>
      <c r="F711" s="2212" t="s">
        <v>5115</v>
      </c>
      <c r="H711" s="2213">
        <v>2.5</v>
      </c>
      <c r="L711" s="2210"/>
      <c r="M711" s="2214"/>
      <c r="T711" s="2215"/>
      <c r="AT711" s="2211" t="s">
        <v>3303</v>
      </c>
      <c r="AU711" s="2211" t="s">
        <v>134</v>
      </c>
      <c r="AV711" s="2209" t="s">
        <v>134</v>
      </c>
      <c r="AW711" s="2209" t="s">
        <v>3171</v>
      </c>
      <c r="AX711" s="2209" t="s">
        <v>3213</v>
      </c>
      <c r="AY711" s="2211" t="s">
        <v>3285</v>
      </c>
    </row>
    <row r="712" spans="2:65" s="2209" customFormat="1">
      <c r="B712" s="2210"/>
      <c r="D712" s="2197" t="s">
        <v>3303</v>
      </c>
      <c r="E712" s="2211" t="s">
        <v>3146</v>
      </c>
      <c r="F712" s="2212" t="s">
        <v>5116</v>
      </c>
      <c r="H712" s="2213">
        <v>6</v>
      </c>
      <c r="L712" s="2210"/>
      <c r="M712" s="2214"/>
      <c r="T712" s="2215"/>
      <c r="AT712" s="2211" t="s">
        <v>3303</v>
      </c>
      <c r="AU712" s="2211" t="s">
        <v>134</v>
      </c>
      <c r="AV712" s="2209" t="s">
        <v>134</v>
      </c>
      <c r="AW712" s="2209" t="s">
        <v>3171</v>
      </c>
      <c r="AX712" s="2209" t="s">
        <v>3213</v>
      </c>
      <c r="AY712" s="2211" t="s">
        <v>3285</v>
      </c>
    </row>
    <row r="713" spans="2:65" s="2209" customFormat="1">
      <c r="B713" s="2210"/>
      <c r="D713" s="2197" t="s">
        <v>3303</v>
      </c>
      <c r="E713" s="2211" t="s">
        <v>3146</v>
      </c>
      <c r="F713" s="2212" t="s">
        <v>5117</v>
      </c>
      <c r="H713" s="2213">
        <v>3.8</v>
      </c>
      <c r="L713" s="2210"/>
      <c r="M713" s="2214"/>
      <c r="T713" s="2215"/>
      <c r="AT713" s="2211" t="s">
        <v>3303</v>
      </c>
      <c r="AU713" s="2211" t="s">
        <v>134</v>
      </c>
      <c r="AV713" s="2209" t="s">
        <v>134</v>
      </c>
      <c r="AW713" s="2209" t="s">
        <v>3171</v>
      </c>
      <c r="AX713" s="2209" t="s">
        <v>3213</v>
      </c>
      <c r="AY713" s="2211" t="s">
        <v>3285</v>
      </c>
    </row>
    <row r="714" spans="2:65" s="2209" customFormat="1">
      <c r="B714" s="2210"/>
      <c r="D714" s="2197" t="s">
        <v>3303</v>
      </c>
      <c r="E714" s="2211" t="s">
        <v>3146</v>
      </c>
      <c r="F714" s="2212" t="s">
        <v>5118</v>
      </c>
      <c r="H714" s="2213">
        <v>4.54</v>
      </c>
      <c r="L714" s="2210"/>
      <c r="M714" s="2214"/>
      <c r="T714" s="2215"/>
      <c r="AT714" s="2211" t="s">
        <v>3303</v>
      </c>
      <c r="AU714" s="2211" t="s">
        <v>134</v>
      </c>
      <c r="AV714" s="2209" t="s">
        <v>134</v>
      </c>
      <c r="AW714" s="2209" t="s">
        <v>3171</v>
      </c>
      <c r="AX714" s="2209" t="s">
        <v>3213</v>
      </c>
      <c r="AY714" s="2211" t="s">
        <v>3285</v>
      </c>
    </row>
    <row r="715" spans="2:65" s="2216" customFormat="1">
      <c r="B715" s="2217"/>
      <c r="D715" s="2197" t="s">
        <v>3303</v>
      </c>
      <c r="E715" s="2218" t="s">
        <v>3146</v>
      </c>
      <c r="F715" s="2219" t="s">
        <v>3306</v>
      </c>
      <c r="H715" s="2220">
        <v>26.74</v>
      </c>
      <c r="L715" s="2217"/>
      <c r="M715" s="2221"/>
      <c r="T715" s="2222"/>
      <c r="AT715" s="2218" t="s">
        <v>3303</v>
      </c>
      <c r="AU715" s="2218" t="s">
        <v>134</v>
      </c>
      <c r="AV715" s="2216" t="s">
        <v>856</v>
      </c>
      <c r="AW715" s="2216" t="s">
        <v>3171</v>
      </c>
      <c r="AX715" s="2216" t="s">
        <v>133</v>
      </c>
      <c r="AY715" s="2218" t="s">
        <v>3285</v>
      </c>
    </row>
    <row r="716" spans="2:65" s="2070" customFormat="1" ht="21.75" customHeight="1">
      <c r="B716" s="2164"/>
      <c r="C716" s="4614" t="s">
        <v>3962</v>
      </c>
      <c r="D716" s="4614" t="s">
        <v>135</v>
      </c>
      <c r="E716" s="4615" t="s">
        <v>5119</v>
      </c>
      <c r="F716" s="4616" t="s">
        <v>5120</v>
      </c>
      <c r="G716" s="4617" t="s">
        <v>155</v>
      </c>
      <c r="H716" s="4618">
        <v>36</v>
      </c>
      <c r="I716" s="4619"/>
      <c r="J716" s="4619">
        <f>ROUND(I716*H716,2)</f>
        <v>0</v>
      </c>
      <c r="K716" s="4616" t="s">
        <v>142</v>
      </c>
      <c r="L716" s="2223"/>
      <c r="M716" s="2224" t="s">
        <v>3146</v>
      </c>
      <c r="N716" s="2225" t="s">
        <v>3181</v>
      </c>
      <c r="O716" s="2191">
        <v>0</v>
      </c>
      <c r="P716" s="2191">
        <f>O716*H716</f>
        <v>0</v>
      </c>
      <c r="Q716" s="2191">
        <v>5.0000000000000001E-4</v>
      </c>
      <c r="R716" s="2191">
        <f>Q716*H716</f>
        <v>1.8000000000000002E-2</v>
      </c>
      <c r="S716" s="2191">
        <v>0</v>
      </c>
      <c r="T716" s="2192">
        <f>S716*H716</f>
        <v>0</v>
      </c>
      <c r="AR716" s="2193" t="s">
        <v>3389</v>
      </c>
      <c r="AT716" s="2193" t="s">
        <v>135</v>
      </c>
      <c r="AU716" s="2193" t="s">
        <v>134</v>
      </c>
      <c r="AY716" s="2056" t="s">
        <v>3285</v>
      </c>
      <c r="BE716" s="2194">
        <f>IF(N716="základní",J716,0)</f>
        <v>0</v>
      </c>
      <c r="BF716" s="2194">
        <f>IF(N716="snížená",J716,0)</f>
        <v>0</v>
      </c>
      <c r="BG716" s="2194">
        <f>IF(N716="zákl. přenesená",J716,0)</f>
        <v>0</v>
      </c>
      <c r="BH716" s="2194">
        <f>IF(N716="sníž. přenesená",J716,0)</f>
        <v>0</v>
      </c>
      <c r="BI716" s="2194">
        <f>IF(N716="nulová",J716,0)</f>
        <v>0</v>
      </c>
      <c r="BJ716" s="2056" t="s">
        <v>134</v>
      </c>
      <c r="BK716" s="2194">
        <f>ROUND(I716*H716,2)</f>
        <v>0</v>
      </c>
      <c r="BL716" s="2056" t="s">
        <v>2894</v>
      </c>
      <c r="BM716" s="2193" t="s">
        <v>5121</v>
      </c>
    </row>
    <row r="717" spans="2:65" s="2209" customFormat="1">
      <c r="B717" s="2210"/>
      <c r="D717" s="2197" t="s">
        <v>3303</v>
      </c>
      <c r="E717" s="2211" t="s">
        <v>3146</v>
      </c>
      <c r="F717" s="2212" t="s">
        <v>5122</v>
      </c>
      <c r="H717" s="2213">
        <v>2</v>
      </c>
      <c r="L717" s="2210"/>
      <c r="M717" s="2214"/>
      <c r="T717" s="2215"/>
      <c r="AT717" s="2211" t="s">
        <v>3303</v>
      </c>
      <c r="AU717" s="2211" t="s">
        <v>134</v>
      </c>
      <c r="AV717" s="2209" t="s">
        <v>134</v>
      </c>
      <c r="AW717" s="2209" t="s">
        <v>3171</v>
      </c>
      <c r="AX717" s="2209" t="s">
        <v>3213</v>
      </c>
      <c r="AY717" s="2211" t="s">
        <v>3285</v>
      </c>
    </row>
    <row r="718" spans="2:65" s="2209" customFormat="1">
      <c r="B718" s="2210"/>
      <c r="D718" s="2197" t="s">
        <v>3303</v>
      </c>
      <c r="E718" s="2211" t="s">
        <v>3146</v>
      </c>
      <c r="F718" s="2212" t="s">
        <v>5123</v>
      </c>
      <c r="H718" s="2213">
        <v>3</v>
      </c>
      <c r="L718" s="2210"/>
      <c r="M718" s="2214"/>
      <c r="T718" s="2215"/>
      <c r="AT718" s="2211" t="s">
        <v>3303</v>
      </c>
      <c r="AU718" s="2211" t="s">
        <v>134</v>
      </c>
      <c r="AV718" s="2209" t="s">
        <v>134</v>
      </c>
      <c r="AW718" s="2209" t="s">
        <v>3171</v>
      </c>
      <c r="AX718" s="2209" t="s">
        <v>3213</v>
      </c>
      <c r="AY718" s="2211" t="s">
        <v>3285</v>
      </c>
    </row>
    <row r="719" spans="2:65" s="2209" customFormat="1">
      <c r="B719" s="2210"/>
      <c r="D719" s="2197" t="s">
        <v>3303</v>
      </c>
      <c r="E719" s="2211" t="s">
        <v>3146</v>
      </c>
      <c r="F719" s="2212" t="s">
        <v>5124</v>
      </c>
      <c r="H719" s="2213">
        <v>3</v>
      </c>
      <c r="L719" s="2210"/>
      <c r="M719" s="2214"/>
      <c r="T719" s="2215"/>
      <c r="AT719" s="2211" t="s">
        <v>3303</v>
      </c>
      <c r="AU719" s="2211" t="s">
        <v>134</v>
      </c>
      <c r="AV719" s="2209" t="s">
        <v>134</v>
      </c>
      <c r="AW719" s="2209" t="s">
        <v>3171</v>
      </c>
      <c r="AX719" s="2209" t="s">
        <v>3213</v>
      </c>
      <c r="AY719" s="2211" t="s">
        <v>3285</v>
      </c>
    </row>
    <row r="720" spans="2:65" s="2209" customFormat="1">
      <c r="B720" s="2210"/>
      <c r="D720" s="2197" t="s">
        <v>3303</v>
      </c>
      <c r="E720" s="2211" t="s">
        <v>3146</v>
      </c>
      <c r="F720" s="2212" t="s">
        <v>5125</v>
      </c>
      <c r="H720" s="2213">
        <v>3</v>
      </c>
      <c r="L720" s="2210"/>
      <c r="M720" s="2214"/>
      <c r="T720" s="2215"/>
      <c r="AT720" s="2211" t="s">
        <v>3303</v>
      </c>
      <c r="AU720" s="2211" t="s">
        <v>134</v>
      </c>
      <c r="AV720" s="2209" t="s">
        <v>134</v>
      </c>
      <c r="AW720" s="2209" t="s">
        <v>3171</v>
      </c>
      <c r="AX720" s="2209" t="s">
        <v>3213</v>
      </c>
      <c r="AY720" s="2211" t="s">
        <v>3285</v>
      </c>
    </row>
    <row r="721" spans="2:65" s="2209" customFormat="1">
      <c r="B721" s="2210"/>
      <c r="D721" s="2197" t="s">
        <v>3303</v>
      </c>
      <c r="E721" s="2211" t="s">
        <v>3146</v>
      </c>
      <c r="F721" s="2212" t="s">
        <v>5126</v>
      </c>
      <c r="H721" s="2213">
        <v>3</v>
      </c>
      <c r="L721" s="2210"/>
      <c r="M721" s="2214"/>
      <c r="T721" s="2215"/>
      <c r="AT721" s="2211" t="s">
        <v>3303</v>
      </c>
      <c r="AU721" s="2211" t="s">
        <v>134</v>
      </c>
      <c r="AV721" s="2209" t="s">
        <v>134</v>
      </c>
      <c r="AW721" s="2209" t="s">
        <v>3171</v>
      </c>
      <c r="AX721" s="2209" t="s">
        <v>3213</v>
      </c>
      <c r="AY721" s="2211" t="s">
        <v>3285</v>
      </c>
    </row>
    <row r="722" spans="2:65" s="2209" customFormat="1">
      <c r="B722" s="2210"/>
      <c r="D722" s="2197" t="s">
        <v>3303</v>
      </c>
      <c r="E722" s="2211" t="s">
        <v>3146</v>
      </c>
      <c r="F722" s="2212" t="s">
        <v>5127</v>
      </c>
      <c r="H722" s="2213">
        <v>8</v>
      </c>
      <c r="L722" s="2210"/>
      <c r="M722" s="2214"/>
      <c r="T722" s="2215"/>
      <c r="AT722" s="2211" t="s">
        <v>3303</v>
      </c>
      <c r="AU722" s="2211" t="s">
        <v>134</v>
      </c>
      <c r="AV722" s="2209" t="s">
        <v>134</v>
      </c>
      <c r="AW722" s="2209" t="s">
        <v>3171</v>
      </c>
      <c r="AX722" s="2209" t="s">
        <v>3213</v>
      </c>
      <c r="AY722" s="2211" t="s">
        <v>3285</v>
      </c>
    </row>
    <row r="723" spans="2:65" s="2209" customFormat="1">
      <c r="B723" s="2210"/>
      <c r="D723" s="2197" t="s">
        <v>3303</v>
      </c>
      <c r="E723" s="2211" t="s">
        <v>3146</v>
      </c>
      <c r="F723" s="2212" t="s">
        <v>5128</v>
      </c>
      <c r="H723" s="2213">
        <v>6</v>
      </c>
      <c r="L723" s="2210"/>
      <c r="M723" s="2214"/>
      <c r="T723" s="2215"/>
      <c r="AT723" s="2211" t="s">
        <v>3303</v>
      </c>
      <c r="AU723" s="2211" t="s">
        <v>134</v>
      </c>
      <c r="AV723" s="2209" t="s">
        <v>134</v>
      </c>
      <c r="AW723" s="2209" t="s">
        <v>3171</v>
      </c>
      <c r="AX723" s="2209" t="s">
        <v>3213</v>
      </c>
      <c r="AY723" s="2211" t="s">
        <v>3285</v>
      </c>
    </row>
    <row r="724" spans="2:65" s="2209" customFormat="1">
      <c r="B724" s="2210"/>
      <c r="D724" s="2197" t="s">
        <v>3303</v>
      </c>
      <c r="E724" s="2211" t="s">
        <v>3146</v>
      </c>
      <c r="F724" s="2212" t="s">
        <v>5129</v>
      </c>
      <c r="H724" s="2213">
        <v>8</v>
      </c>
      <c r="L724" s="2210"/>
      <c r="M724" s="2214"/>
      <c r="T724" s="2215"/>
      <c r="AT724" s="2211" t="s">
        <v>3303</v>
      </c>
      <c r="AU724" s="2211" t="s">
        <v>134</v>
      </c>
      <c r="AV724" s="2209" t="s">
        <v>134</v>
      </c>
      <c r="AW724" s="2209" t="s">
        <v>3171</v>
      </c>
      <c r="AX724" s="2209" t="s">
        <v>3213</v>
      </c>
      <c r="AY724" s="2211" t="s">
        <v>3285</v>
      </c>
    </row>
    <row r="725" spans="2:65" s="2216" customFormat="1">
      <c r="B725" s="2217"/>
      <c r="D725" s="2197" t="s">
        <v>3303</v>
      </c>
      <c r="E725" s="2218" t="s">
        <v>3146</v>
      </c>
      <c r="F725" s="2219" t="s">
        <v>3306</v>
      </c>
      <c r="H725" s="2220">
        <v>36</v>
      </c>
      <c r="L725" s="2217"/>
      <c r="M725" s="2221"/>
      <c r="T725" s="2222"/>
      <c r="AT725" s="2218" t="s">
        <v>3303</v>
      </c>
      <c r="AU725" s="2218" t="s">
        <v>134</v>
      </c>
      <c r="AV725" s="2216" t="s">
        <v>856</v>
      </c>
      <c r="AW725" s="2216" t="s">
        <v>3171</v>
      </c>
      <c r="AX725" s="2216" t="s">
        <v>133</v>
      </c>
      <c r="AY725" s="2218" t="s">
        <v>3285</v>
      </c>
    </row>
    <row r="726" spans="2:65" s="2070" customFormat="1" ht="24.2" customHeight="1">
      <c r="B726" s="2164"/>
      <c r="C726" s="4608" t="s">
        <v>3966</v>
      </c>
      <c r="D726" s="4608" t="s">
        <v>3286</v>
      </c>
      <c r="E726" s="4609" t="s">
        <v>5130</v>
      </c>
      <c r="F726" s="4610" t="s">
        <v>5131</v>
      </c>
      <c r="G726" s="4611" t="s">
        <v>155</v>
      </c>
      <c r="H726" s="4612">
        <v>13</v>
      </c>
      <c r="I726" s="4613"/>
      <c r="J726" s="4613">
        <f>ROUND(I726*H726,2)</f>
        <v>0</v>
      </c>
      <c r="K726" s="4610" t="s">
        <v>142</v>
      </c>
      <c r="L726" s="2071"/>
      <c r="M726" s="2190" t="s">
        <v>3146</v>
      </c>
      <c r="N726" s="2163" t="s">
        <v>3181</v>
      </c>
      <c r="O726" s="2191">
        <v>1.538</v>
      </c>
      <c r="P726" s="2191">
        <f>O726*H726</f>
        <v>19.994</v>
      </c>
      <c r="Q726" s="2191">
        <v>5.4149999999999997E-2</v>
      </c>
      <c r="R726" s="2191">
        <f>Q726*H726</f>
        <v>0.70394999999999996</v>
      </c>
      <c r="S726" s="2191">
        <v>0</v>
      </c>
      <c r="T726" s="2192">
        <f>S726*H726</f>
        <v>0</v>
      </c>
      <c r="AR726" s="2193" t="s">
        <v>2894</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2894</v>
      </c>
      <c r="BM726" s="2193" t="s">
        <v>5132</v>
      </c>
    </row>
    <row r="727" spans="2:65" s="2209" customFormat="1">
      <c r="B727" s="2210"/>
      <c r="D727" s="2197" t="s">
        <v>3303</v>
      </c>
      <c r="E727" s="2211" t="s">
        <v>3146</v>
      </c>
      <c r="F727" s="2212" t="s">
        <v>5122</v>
      </c>
      <c r="H727" s="2213">
        <v>2</v>
      </c>
      <c r="L727" s="2210"/>
      <c r="M727" s="2214"/>
      <c r="T727" s="2215"/>
      <c r="AT727" s="2211" t="s">
        <v>3303</v>
      </c>
      <c r="AU727" s="2211" t="s">
        <v>134</v>
      </c>
      <c r="AV727" s="2209" t="s">
        <v>134</v>
      </c>
      <c r="AW727" s="2209" t="s">
        <v>3171</v>
      </c>
      <c r="AX727" s="2209" t="s">
        <v>3213</v>
      </c>
      <c r="AY727" s="2211" t="s">
        <v>3285</v>
      </c>
    </row>
    <row r="728" spans="2:65" s="2209" customFormat="1">
      <c r="B728" s="2210"/>
      <c r="D728" s="2197" t="s">
        <v>3303</v>
      </c>
      <c r="E728" s="2211" t="s">
        <v>3146</v>
      </c>
      <c r="F728" s="2212" t="s">
        <v>5133</v>
      </c>
      <c r="H728" s="2213">
        <v>1</v>
      </c>
      <c r="L728" s="2210"/>
      <c r="M728" s="2214"/>
      <c r="T728" s="2215"/>
      <c r="AT728" s="2211" t="s">
        <v>3303</v>
      </c>
      <c r="AU728" s="2211" t="s">
        <v>134</v>
      </c>
      <c r="AV728" s="2209" t="s">
        <v>134</v>
      </c>
      <c r="AW728" s="2209" t="s">
        <v>3171</v>
      </c>
      <c r="AX728" s="2209" t="s">
        <v>3213</v>
      </c>
      <c r="AY728" s="2211" t="s">
        <v>3285</v>
      </c>
    </row>
    <row r="729" spans="2:65" s="2209" customFormat="1">
      <c r="B729" s="2210"/>
      <c r="D729" s="2197" t="s">
        <v>3303</v>
      </c>
      <c r="E729" s="2211" t="s">
        <v>3146</v>
      </c>
      <c r="F729" s="2212" t="s">
        <v>5134</v>
      </c>
      <c r="H729" s="2213">
        <v>1</v>
      </c>
      <c r="L729" s="2210"/>
      <c r="M729" s="2214"/>
      <c r="T729" s="2215"/>
      <c r="AT729" s="2211" t="s">
        <v>3303</v>
      </c>
      <c r="AU729" s="2211" t="s">
        <v>134</v>
      </c>
      <c r="AV729" s="2209" t="s">
        <v>134</v>
      </c>
      <c r="AW729" s="2209" t="s">
        <v>3171</v>
      </c>
      <c r="AX729" s="2209" t="s">
        <v>3213</v>
      </c>
      <c r="AY729" s="2211" t="s">
        <v>3285</v>
      </c>
    </row>
    <row r="730" spans="2:65" s="2209" customFormat="1">
      <c r="B730" s="2210"/>
      <c r="D730" s="2197" t="s">
        <v>3303</v>
      </c>
      <c r="E730" s="2211" t="s">
        <v>3146</v>
      </c>
      <c r="F730" s="2212" t="s">
        <v>5135</v>
      </c>
      <c r="H730" s="2213">
        <v>1</v>
      </c>
      <c r="L730" s="2210"/>
      <c r="M730" s="2214"/>
      <c r="T730" s="2215"/>
      <c r="AT730" s="2211" t="s">
        <v>3303</v>
      </c>
      <c r="AU730" s="2211" t="s">
        <v>134</v>
      </c>
      <c r="AV730" s="2209" t="s">
        <v>134</v>
      </c>
      <c r="AW730" s="2209" t="s">
        <v>3171</v>
      </c>
      <c r="AX730" s="2209" t="s">
        <v>3213</v>
      </c>
      <c r="AY730" s="2211" t="s">
        <v>3285</v>
      </c>
    </row>
    <row r="731" spans="2:65" s="2209" customFormat="1">
      <c r="B731" s="2210"/>
      <c r="D731" s="2197" t="s">
        <v>3303</v>
      </c>
      <c r="E731" s="2211" t="s">
        <v>3146</v>
      </c>
      <c r="F731" s="2212" t="s">
        <v>5136</v>
      </c>
      <c r="H731" s="2213">
        <v>1</v>
      </c>
      <c r="L731" s="2210"/>
      <c r="M731" s="2214"/>
      <c r="T731" s="2215"/>
      <c r="AT731" s="2211" t="s">
        <v>3303</v>
      </c>
      <c r="AU731" s="2211" t="s">
        <v>134</v>
      </c>
      <c r="AV731" s="2209" t="s">
        <v>134</v>
      </c>
      <c r="AW731" s="2209" t="s">
        <v>3171</v>
      </c>
      <c r="AX731" s="2209" t="s">
        <v>3213</v>
      </c>
      <c r="AY731" s="2211" t="s">
        <v>3285</v>
      </c>
    </row>
    <row r="732" spans="2:65" s="2209" customFormat="1">
      <c r="B732" s="2210"/>
      <c r="D732" s="2197" t="s">
        <v>3303</v>
      </c>
      <c r="E732" s="2211" t="s">
        <v>3146</v>
      </c>
      <c r="F732" s="2212" t="s">
        <v>5137</v>
      </c>
      <c r="H732" s="2213">
        <v>3</v>
      </c>
      <c r="L732" s="2210"/>
      <c r="M732" s="2214"/>
      <c r="T732" s="2215"/>
      <c r="AT732" s="2211" t="s">
        <v>3303</v>
      </c>
      <c r="AU732" s="2211" t="s">
        <v>134</v>
      </c>
      <c r="AV732" s="2209" t="s">
        <v>134</v>
      </c>
      <c r="AW732" s="2209" t="s">
        <v>3171</v>
      </c>
      <c r="AX732" s="2209" t="s">
        <v>3213</v>
      </c>
      <c r="AY732" s="2211" t="s">
        <v>3285</v>
      </c>
    </row>
    <row r="733" spans="2:65" s="2209" customFormat="1">
      <c r="B733" s="2210"/>
      <c r="D733" s="2197" t="s">
        <v>3303</v>
      </c>
      <c r="E733" s="2211" t="s">
        <v>3146</v>
      </c>
      <c r="F733" s="2212" t="s">
        <v>5138</v>
      </c>
      <c r="H733" s="2213">
        <v>2</v>
      </c>
      <c r="L733" s="2210"/>
      <c r="M733" s="2214"/>
      <c r="T733" s="2215"/>
      <c r="AT733" s="2211" t="s">
        <v>3303</v>
      </c>
      <c r="AU733" s="2211" t="s">
        <v>134</v>
      </c>
      <c r="AV733" s="2209" t="s">
        <v>134</v>
      </c>
      <c r="AW733" s="2209" t="s">
        <v>3171</v>
      </c>
      <c r="AX733" s="2209" t="s">
        <v>3213</v>
      </c>
      <c r="AY733" s="2211" t="s">
        <v>3285</v>
      </c>
    </row>
    <row r="734" spans="2:65" s="2209" customFormat="1">
      <c r="B734" s="2210"/>
      <c r="D734" s="2197" t="s">
        <v>3303</v>
      </c>
      <c r="E734" s="2211" t="s">
        <v>3146</v>
      </c>
      <c r="F734" s="2212" t="s">
        <v>5139</v>
      </c>
      <c r="H734" s="2213">
        <v>2</v>
      </c>
      <c r="L734" s="2210"/>
      <c r="M734" s="2214"/>
      <c r="T734" s="2215"/>
      <c r="AT734" s="2211" t="s">
        <v>3303</v>
      </c>
      <c r="AU734" s="2211" t="s">
        <v>134</v>
      </c>
      <c r="AV734" s="2209" t="s">
        <v>134</v>
      </c>
      <c r="AW734" s="2209" t="s">
        <v>3171</v>
      </c>
      <c r="AX734" s="2209" t="s">
        <v>3213</v>
      </c>
      <c r="AY734" s="2211" t="s">
        <v>3285</v>
      </c>
    </row>
    <row r="735" spans="2:65" s="2216" customFormat="1">
      <c r="B735" s="2217"/>
      <c r="D735" s="2197" t="s">
        <v>3303</v>
      </c>
      <c r="E735" s="2218" t="s">
        <v>3146</v>
      </c>
      <c r="F735" s="2219" t="s">
        <v>3306</v>
      </c>
      <c r="H735" s="2220">
        <v>13</v>
      </c>
      <c r="L735" s="2217"/>
      <c r="M735" s="2221"/>
      <c r="T735" s="2222"/>
      <c r="AT735" s="2218" t="s">
        <v>3303</v>
      </c>
      <c r="AU735" s="2218" t="s">
        <v>134</v>
      </c>
      <c r="AV735" s="2216" t="s">
        <v>856</v>
      </c>
      <c r="AW735" s="2216" t="s">
        <v>3171</v>
      </c>
      <c r="AX735" s="2216" t="s">
        <v>133</v>
      </c>
      <c r="AY735" s="2218" t="s">
        <v>3285</v>
      </c>
    </row>
    <row r="736" spans="2:65" s="2070" customFormat="1" ht="24.2" customHeight="1">
      <c r="B736" s="2164"/>
      <c r="C736" s="4608" t="s">
        <v>3970</v>
      </c>
      <c r="D736" s="4608" t="s">
        <v>3286</v>
      </c>
      <c r="E736" s="4609" t="s">
        <v>4104</v>
      </c>
      <c r="F736" s="4610" t="s">
        <v>4105</v>
      </c>
      <c r="G736" s="4611" t="s">
        <v>302</v>
      </c>
      <c r="H736" s="4612">
        <v>201.61500000000001</v>
      </c>
      <c r="I736" s="4613"/>
      <c r="J736" s="4613">
        <f>ROUND(I736*H736,2)</f>
        <v>0</v>
      </c>
      <c r="K736" s="4610" t="s">
        <v>142</v>
      </c>
      <c r="L736" s="2071"/>
      <c r="M736" s="2190" t="s">
        <v>3146</v>
      </c>
      <c r="N736" s="2163" t="s">
        <v>3181</v>
      </c>
      <c r="O736" s="2191">
        <v>2.46</v>
      </c>
      <c r="P736" s="2191">
        <f>O736*H736</f>
        <v>495.97290000000004</v>
      </c>
      <c r="Q736" s="2191">
        <v>0</v>
      </c>
      <c r="R736" s="2191">
        <f>Q736*H736</f>
        <v>0</v>
      </c>
      <c r="S736" s="2191">
        <v>0</v>
      </c>
      <c r="T736" s="2192">
        <f>S736*H736</f>
        <v>0</v>
      </c>
      <c r="AR736" s="2193" t="s">
        <v>2894</v>
      </c>
      <c r="AT736" s="2193" t="s">
        <v>3286</v>
      </c>
      <c r="AU736" s="2193" t="s">
        <v>134</v>
      </c>
      <c r="AY736" s="2056" t="s">
        <v>3285</v>
      </c>
      <c r="BE736" s="2194">
        <f>IF(N736="základní",J736,0)</f>
        <v>0</v>
      </c>
      <c r="BF736" s="2194">
        <f>IF(N736="snížená",J736,0)</f>
        <v>0</v>
      </c>
      <c r="BG736" s="2194">
        <f>IF(N736="zákl. přenesená",J736,0)</f>
        <v>0</v>
      </c>
      <c r="BH736" s="2194">
        <f>IF(N736="sníž. přenesená",J736,0)</f>
        <v>0</v>
      </c>
      <c r="BI736" s="2194">
        <f>IF(N736="nulová",J736,0)</f>
        <v>0</v>
      </c>
      <c r="BJ736" s="2056" t="s">
        <v>134</v>
      </c>
      <c r="BK736" s="2194">
        <f>ROUND(I736*H736,2)</f>
        <v>0</v>
      </c>
      <c r="BL736" s="2056" t="s">
        <v>2894</v>
      </c>
      <c r="BM736" s="2193" t="s">
        <v>11245</v>
      </c>
    </row>
    <row r="737" spans="2:65" s="2070" customFormat="1" ht="24.2" customHeight="1">
      <c r="B737" s="2164"/>
      <c r="C737" s="4608" t="s">
        <v>3974</v>
      </c>
      <c r="D737" s="4608" t="s">
        <v>3286</v>
      </c>
      <c r="E737" s="4609" t="s">
        <v>4108</v>
      </c>
      <c r="F737" s="4610" t="s">
        <v>4109</v>
      </c>
      <c r="G737" s="4611" t="s">
        <v>302</v>
      </c>
      <c r="H737" s="4612">
        <v>201.61500000000001</v>
      </c>
      <c r="I737" s="4613"/>
      <c r="J737" s="4613">
        <f>ROUND(I737*H737,2)</f>
        <v>0</v>
      </c>
      <c r="K737" s="4610" t="s">
        <v>142</v>
      </c>
      <c r="L737" s="2071"/>
      <c r="M737" s="2190" t="s">
        <v>3146</v>
      </c>
      <c r="N737" s="2163" t="s">
        <v>3181</v>
      </c>
      <c r="O737" s="2191">
        <v>1.32</v>
      </c>
      <c r="P737" s="2191">
        <f>O737*H737</f>
        <v>266.1318</v>
      </c>
      <c r="Q737" s="2191">
        <v>0</v>
      </c>
      <c r="R737" s="2191">
        <f>Q737*H737</f>
        <v>0</v>
      </c>
      <c r="S737" s="2191">
        <v>0</v>
      </c>
      <c r="T737" s="2192">
        <f>S737*H737</f>
        <v>0</v>
      </c>
      <c r="AR737" s="2193" t="s">
        <v>2894</v>
      </c>
      <c r="AT737" s="2193" t="s">
        <v>3286</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2894</v>
      </c>
      <c r="BM737" s="2193" t="s">
        <v>11246</v>
      </c>
    </row>
    <row r="738" spans="2:65" s="2178" customFormat="1" ht="22.9" customHeight="1">
      <c r="B738" s="2179"/>
      <c r="D738" s="2180" t="s">
        <v>3212</v>
      </c>
      <c r="E738" s="2188" t="s">
        <v>4111</v>
      </c>
      <c r="F738" s="2188" t="s">
        <v>4112</v>
      </c>
      <c r="J738" s="2189">
        <f>BK738</f>
        <v>0</v>
      </c>
      <c r="L738" s="2179"/>
      <c r="M738" s="2183"/>
      <c r="P738" s="2184">
        <f>SUM(P739:P899)</f>
        <v>1388.7592560000003</v>
      </c>
      <c r="R738" s="2184">
        <f>SUM(R739:R899)</f>
        <v>6.8483897199999992</v>
      </c>
      <c r="T738" s="2185">
        <f>SUM(T739:T899)</f>
        <v>0</v>
      </c>
      <c r="AR738" s="2180" t="s">
        <v>134</v>
      </c>
      <c r="AT738" s="2186" t="s">
        <v>3212</v>
      </c>
      <c r="AU738" s="2186" t="s">
        <v>133</v>
      </c>
      <c r="AY738" s="2180" t="s">
        <v>3285</v>
      </c>
      <c r="BK738" s="2187">
        <f>SUM(BK739:BK899)</f>
        <v>0</v>
      </c>
    </row>
    <row r="739" spans="2:65" s="2070" customFormat="1" ht="24.2" customHeight="1">
      <c r="B739" s="2164"/>
      <c r="C739" s="4608" t="s">
        <v>3976</v>
      </c>
      <c r="D739" s="4608" t="s">
        <v>3286</v>
      </c>
      <c r="E739" s="4609" t="s">
        <v>5140</v>
      </c>
      <c r="F739" s="4610" t="s">
        <v>5141</v>
      </c>
      <c r="G739" s="4611" t="s">
        <v>141</v>
      </c>
      <c r="H739" s="4612">
        <v>2.06</v>
      </c>
      <c r="I739" s="4613"/>
      <c r="J739" s="4613">
        <f>ROUND(I739*H739,2)</f>
        <v>0</v>
      </c>
      <c r="K739" s="4610" t="s">
        <v>142</v>
      </c>
      <c r="L739" s="2071"/>
      <c r="M739" s="2190" t="s">
        <v>3146</v>
      </c>
      <c r="N739" s="2163" t="s">
        <v>3181</v>
      </c>
      <c r="O739" s="2191">
        <v>0.41</v>
      </c>
      <c r="P739" s="2191">
        <f>O739*H739</f>
        <v>0.84460000000000002</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5142</v>
      </c>
    </row>
    <row r="740" spans="2:65" s="2195" customFormat="1">
      <c r="B740" s="2196"/>
      <c r="D740" s="2197" t="s">
        <v>3303</v>
      </c>
      <c r="E740" s="2198" t="s">
        <v>3146</v>
      </c>
      <c r="F740" s="2199" t="s">
        <v>5143</v>
      </c>
      <c r="H740" s="2198" t="s">
        <v>3146</v>
      </c>
      <c r="L740" s="2196"/>
      <c r="M740" s="2200"/>
      <c r="T740" s="2201"/>
      <c r="AT740" s="2198" t="s">
        <v>3303</v>
      </c>
      <c r="AU740" s="2198" t="s">
        <v>134</v>
      </c>
      <c r="AV740" s="2195" t="s">
        <v>133</v>
      </c>
      <c r="AW740" s="2195" t="s">
        <v>3171</v>
      </c>
      <c r="AX740" s="2195" t="s">
        <v>3213</v>
      </c>
      <c r="AY740" s="2198" t="s">
        <v>3285</v>
      </c>
    </row>
    <row r="741" spans="2:65" s="2195" customFormat="1">
      <c r="B741" s="2196"/>
      <c r="D741" s="2197" t="s">
        <v>3303</v>
      </c>
      <c r="E741" s="2198" t="s">
        <v>3146</v>
      </c>
      <c r="F741" s="2199" t="s">
        <v>5144</v>
      </c>
      <c r="H741" s="2198" t="s">
        <v>3146</v>
      </c>
      <c r="L741" s="2196"/>
      <c r="M741" s="2200"/>
      <c r="T741" s="2201"/>
      <c r="AT741" s="2198" t="s">
        <v>3303</v>
      </c>
      <c r="AU741" s="2198" t="s">
        <v>134</v>
      </c>
      <c r="AV741" s="2195" t="s">
        <v>133</v>
      </c>
      <c r="AW741" s="2195" t="s">
        <v>3171</v>
      </c>
      <c r="AX741" s="2195" t="s">
        <v>3213</v>
      </c>
      <c r="AY741" s="2198" t="s">
        <v>3285</v>
      </c>
    </row>
    <row r="742" spans="2:65" s="2209" customFormat="1">
      <c r="B742" s="2210"/>
      <c r="D742" s="2197" t="s">
        <v>3303</v>
      </c>
      <c r="E742" s="2211" t="s">
        <v>3146</v>
      </c>
      <c r="F742" s="2212" t="s">
        <v>5145</v>
      </c>
      <c r="H742" s="2213">
        <v>2.06</v>
      </c>
      <c r="L742" s="2210"/>
      <c r="M742" s="2214"/>
      <c r="T742" s="2215"/>
      <c r="AT742" s="2211" t="s">
        <v>3303</v>
      </c>
      <c r="AU742" s="2211" t="s">
        <v>134</v>
      </c>
      <c r="AV742" s="2209" t="s">
        <v>134</v>
      </c>
      <c r="AW742" s="2209" t="s">
        <v>3171</v>
      </c>
      <c r="AX742" s="2209" t="s">
        <v>133</v>
      </c>
      <c r="AY742" s="2211" t="s">
        <v>3285</v>
      </c>
    </row>
    <row r="743" spans="2:65" s="2070" customFormat="1" ht="16.5" customHeight="1">
      <c r="B743" s="2164"/>
      <c r="C743" s="4608" t="s">
        <v>3980</v>
      </c>
      <c r="D743" s="4608" t="s">
        <v>3286</v>
      </c>
      <c r="E743" s="4609" t="s">
        <v>5146</v>
      </c>
      <c r="F743" s="4610" t="s">
        <v>5147</v>
      </c>
      <c r="G743" s="4611" t="s">
        <v>141</v>
      </c>
      <c r="H743" s="4612">
        <v>102.4</v>
      </c>
      <c r="I743" s="4613"/>
      <c r="J743" s="4613">
        <f>ROUND(I743*H743,2)</f>
        <v>0</v>
      </c>
      <c r="K743" s="4610" t="s">
        <v>142</v>
      </c>
      <c r="L743" s="2071"/>
      <c r="M743" s="2190" t="s">
        <v>3146</v>
      </c>
      <c r="N743" s="2163" t="s">
        <v>3181</v>
      </c>
      <c r="O743" s="2191">
        <v>1.3120000000000001</v>
      </c>
      <c r="P743" s="2191">
        <f>O743*H743</f>
        <v>134.34880000000001</v>
      </c>
      <c r="Q743" s="2191">
        <v>0</v>
      </c>
      <c r="R743" s="2191">
        <f>Q743*H743</f>
        <v>0</v>
      </c>
      <c r="S743" s="2191">
        <v>0</v>
      </c>
      <c r="T743" s="2192">
        <f>S743*H743</f>
        <v>0</v>
      </c>
      <c r="AR743" s="2193" t="s">
        <v>2894</v>
      </c>
      <c r="AT743" s="2193" t="s">
        <v>3286</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5148</v>
      </c>
    </row>
    <row r="744" spans="2:65" s="2195" customFormat="1">
      <c r="B744" s="2196"/>
      <c r="D744" s="2197" t="s">
        <v>3303</v>
      </c>
      <c r="E744" s="2198" t="s">
        <v>3146</v>
      </c>
      <c r="F744" s="2199" t="s">
        <v>5149</v>
      </c>
      <c r="H744" s="2198" t="s">
        <v>3146</v>
      </c>
      <c r="L744" s="2196"/>
      <c r="M744" s="2200"/>
      <c r="T744" s="2201"/>
      <c r="AT744" s="2198" t="s">
        <v>3303</v>
      </c>
      <c r="AU744" s="2198" t="s">
        <v>134</v>
      </c>
      <c r="AV744" s="2195" t="s">
        <v>133</v>
      </c>
      <c r="AW744" s="2195" t="s">
        <v>3171</v>
      </c>
      <c r="AX744" s="2195" t="s">
        <v>3213</v>
      </c>
      <c r="AY744" s="2198" t="s">
        <v>3285</v>
      </c>
    </row>
    <row r="745" spans="2:65" s="2209" customFormat="1">
      <c r="B745" s="2210"/>
      <c r="D745" s="2197" t="s">
        <v>3303</v>
      </c>
      <c r="E745" s="2211" t="s">
        <v>3146</v>
      </c>
      <c r="F745" s="2212" t="s">
        <v>5150</v>
      </c>
      <c r="H745" s="2213">
        <v>102.4</v>
      </c>
      <c r="L745" s="2210"/>
      <c r="M745" s="2214"/>
      <c r="T745" s="2215"/>
      <c r="AT745" s="2211" t="s">
        <v>3303</v>
      </c>
      <c r="AU745" s="2211" t="s">
        <v>134</v>
      </c>
      <c r="AV745" s="2209" t="s">
        <v>134</v>
      </c>
      <c r="AW745" s="2209" t="s">
        <v>3171</v>
      </c>
      <c r="AX745" s="2209" t="s">
        <v>3213</v>
      </c>
      <c r="AY745" s="2211" t="s">
        <v>3285</v>
      </c>
    </row>
    <row r="746" spans="2:65" s="2216" customFormat="1">
      <c r="B746" s="2217"/>
      <c r="D746" s="2197" t="s">
        <v>3303</v>
      </c>
      <c r="E746" s="2218" t="s">
        <v>3146</v>
      </c>
      <c r="F746" s="2219" t="s">
        <v>3306</v>
      </c>
      <c r="H746" s="2220">
        <v>102.4</v>
      </c>
      <c r="L746" s="2217"/>
      <c r="M746" s="2221"/>
      <c r="T746" s="2222"/>
      <c r="AT746" s="2218" t="s">
        <v>3303</v>
      </c>
      <c r="AU746" s="2218" t="s">
        <v>134</v>
      </c>
      <c r="AV746" s="2216" t="s">
        <v>856</v>
      </c>
      <c r="AW746" s="2216" t="s">
        <v>3171</v>
      </c>
      <c r="AX746" s="2216" t="s">
        <v>133</v>
      </c>
      <c r="AY746" s="2218" t="s">
        <v>3285</v>
      </c>
    </row>
    <row r="747" spans="2:65" s="2070" customFormat="1" ht="16.5" customHeight="1">
      <c r="B747" s="2164"/>
      <c r="C747" s="4614" t="s">
        <v>3986</v>
      </c>
      <c r="D747" s="4614" t="s">
        <v>135</v>
      </c>
      <c r="E747" s="4615" t="s">
        <v>5151</v>
      </c>
      <c r="F747" s="4616" t="s">
        <v>5152</v>
      </c>
      <c r="G747" s="4617" t="s">
        <v>141</v>
      </c>
      <c r="H747" s="4618">
        <v>107.52</v>
      </c>
      <c r="I747" s="4619"/>
      <c r="J747" s="4619">
        <f>ROUND(I747*H747,2)</f>
        <v>0</v>
      </c>
      <c r="K747" s="4616" t="s">
        <v>142</v>
      </c>
      <c r="L747" s="2223"/>
      <c r="M747" s="2224" t="s">
        <v>3146</v>
      </c>
      <c r="N747" s="2225" t="s">
        <v>3181</v>
      </c>
      <c r="O747" s="2191">
        <v>0</v>
      </c>
      <c r="P747" s="2191">
        <f>O747*H747</f>
        <v>0</v>
      </c>
      <c r="Q747" s="2191">
        <v>0</v>
      </c>
      <c r="R747" s="2191">
        <f>Q747*H747</f>
        <v>0</v>
      </c>
      <c r="S747" s="2191">
        <v>0</v>
      </c>
      <c r="T747" s="2192">
        <f>S747*H747</f>
        <v>0</v>
      </c>
      <c r="AR747" s="2193" t="s">
        <v>3389</v>
      </c>
      <c r="AT747" s="2193" t="s">
        <v>135</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2894</v>
      </c>
      <c r="BM747" s="2193" t="s">
        <v>5153</v>
      </c>
    </row>
    <row r="748" spans="2:65" s="2209" customFormat="1">
      <c r="B748" s="2210"/>
      <c r="D748" s="2197" t="s">
        <v>3303</v>
      </c>
      <c r="F748" s="2212" t="s">
        <v>5154</v>
      </c>
      <c r="H748" s="2213">
        <v>107.52</v>
      </c>
      <c r="L748" s="2210"/>
      <c r="M748" s="2214"/>
      <c r="T748" s="2215"/>
      <c r="AT748" s="2211" t="s">
        <v>3303</v>
      </c>
      <c r="AU748" s="2211" t="s">
        <v>134</v>
      </c>
      <c r="AV748" s="2209" t="s">
        <v>134</v>
      </c>
      <c r="AW748" s="2209" t="s">
        <v>3148</v>
      </c>
      <c r="AX748" s="2209" t="s">
        <v>133</v>
      </c>
      <c r="AY748" s="2211" t="s">
        <v>3285</v>
      </c>
    </row>
    <row r="749" spans="2:65" s="2070" customFormat="1" ht="24.2" customHeight="1">
      <c r="B749" s="2164"/>
      <c r="C749" s="4608" t="s">
        <v>3990</v>
      </c>
      <c r="D749" s="4608" t="s">
        <v>3286</v>
      </c>
      <c r="E749" s="4609" t="s">
        <v>5155</v>
      </c>
      <c r="F749" s="4610" t="s">
        <v>5156</v>
      </c>
      <c r="G749" s="4611" t="s">
        <v>141</v>
      </c>
      <c r="H749" s="4612">
        <v>193.92</v>
      </c>
      <c r="I749" s="4613"/>
      <c r="J749" s="4613">
        <f>ROUND(I749*H749,2)</f>
        <v>0</v>
      </c>
      <c r="K749" s="4610" t="s">
        <v>142</v>
      </c>
      <c r="L749" s="2071"/>
      <c r="M749" s="2190" t="s">
        <v>3146</v>
      </c>
      <c r="N749" s="2163" t="s">
        <v>3181</v>
      </c>
      <c r="O749" s="2191">
        <v>0.97399999999999998</v>
      </c>
      <c r="P749" s="2191">
        <f>O749*H749</f>
        <v>188.87807999999998</v>
      </c>
      <c r="Q749" s="2191">
        <v>7.4700000000000001E-3</v>
      </c>
      <c r="R749" s="2191">
        <f>Q749*H749</f>
        <v>1.4485823999999998</v>
      </c>
      <c r="S749" s="2191">
        <v>0</v>
      </c>
      <c r="T749" s="2192">
        <f>S749*H749</f>
        <v>0</v>
      </c>
      <c r="AR749" s="2193" t="s">
        <v>2894</v>
      </c>
      <c r="AT749" s="2193" t="s">
        <v>3286</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5157</v>
      </c>
    </row>
    <row r="750" spans="2:65" s="2195" customFormat="1">
      <c r="B750" s="2196"/>
      <c r="D750" s="2197" t="s">
        <v>3303</v>
      </c>
      <c r="E750" s="2198" t="s">
        <v>3146</v>
      </c>
      <c r="F750" s="2199" t="s">
        <v>5049</v>
      </c>
      <c r="H750" s="2198" t="s">
        <v>3146</v>
      </c>
      <c r="L750" s="2196"/>
      <c r="M750" s="2200"/>
      <c r="T750" s="2201"/>
      <c r="AT750" s="2198" t="s">
        <v>3303</v>
      </c>
      <c r="AU750" s="2198" t="s">
        <v>134</v>
      </c>
      <c r="AV750" s="2195" t="s">
        <v>133</v>
      </c>
      <c r="AW750" s="2195" t="s">
        <v>3171</v>
      </c>
      <c r="AX750" s="2195" t="s">
        <v>3213</v>
      </c>
      <c r="AY750" s="2198" t="s">
        <v>3285</v>
      </c>
    </row>
    <row r="751" spans="2:65" s="2209" customFormat="1">
      <c r="B751" s="2210"/>
      <c r="D751" s="2197" t="s">
        <v>3303</v>
      </c>
      <c r="E751" s="2211" t="s">
        <v>3146</v>
      </c>
      <c r="F751" s="2212" t="s">
        <v>5050</v>
      </c>
      <c r="H751" s="2213">
        <v>6</v>
      </c>
      <c r="L751" s="2210"/>
      <c r="M751" s="2214"/>
      <c r="T751" s="2215"/>
      <c r="AT751" s="2211" t="s">
        <v>3303</v>
      </c>
      <c r="AU751" s="2211" t="s">
        <v>134</v>
      </c>
      <c r="AV751" s="2209" t="s">
        <v>134</v>
      </c>
      <c r="AW751" s="2209" t="s">
        <v>3171</v>
      </c>
      <c r="AX751" s="2209" t="s">
        <v>3213</v>
      </c>
      <c r="AY751" s="2211" t="s">
        <v>3285</v>
      </c>
    </row>
    <row r="752" spans="2:65" s="2195" customFormat="1">
      <c r="B752" s="2196"/>
      <c r="D752" s="2197" t="s">
        <v>3303</v>
      </c>
      <c r="E752" s="2198" t="s">
        <v>3146</v>
      </c>
      <c r="F752" s="2199" t="s">
        <v>5051</v>
      </c>
      <c r="H752" s="2198" t="s">
        <v>3146</v>
      </c>
      <c r="L752" s="2196"/>
      <c r="M752" s="2200"/>
      <c r="T752" s="2201"/>
      <c r="AT752" s="2198" t="s">
        <v>3303</v>
      </c>
      <c r="AU752" s="2198" t="s">
        <v>134</v>
      </c>
      <c r="AV752" s="2195" t="s">
        <v>133</v>
      </c>
      <c r="AW752" s="2195" t="s">
        <v>3171</v>
      </c>
      <c r="AX752" s="2195" t="s">
        <v>3213</v>
      </c>
      <c r="AY752" s="2198" t="s">
        <v>3285</v>
      </c>
    </row>
    <row r="753" spans="2:65" s="2209" customFormat="1">
      <c r="B753" s="2210"/>
      <c r="D753" s="2197" t="s">
        <v>3303</v>
      </c>
      <c r="E753" s="2211" t="s">
        <v>3146</v>
      </c>
      <c r="F753" s="2212" t="s">
        <v>5052</v>
      </c>
      <c r="H753" s="2213">
        <v>4.8</v>
      </c>
      <c r="L753" s="2210"/>
      <c r="M753" s="2214"/>
      <c r="T753" s="2215"/>
      <c r="AT753" s="2211" t="s">
        <v>3303</v>
      </c>
      <c r="AU753" s="2211" t="s">
        <v>134</v>
      </c>
      <c r="AV753" s="2209" t="s">
        <v>134</v>
      </c>
      <c r="AW753" s="2209" t="s">
        <v>3171</v>
      </c>
      <c r="AX753" s="2209" t="s">
        <v>3213</v>
      </c>
      <c r="AY753" s="2211" t="s">
        <v>3285</v>
      </c>
    </row>
    <row r="754" spans="2:65" s="2195" customFormat="1">
      <c r="B754" s="2196"/>
      <c r="D754" s="2197" t="s">
        <v>3303</v>
      </c>
      <c r="E754" s="2198" t="s">
        <v>3146</v>
      </c>
      <c r="F754" s="2199" t="s">
        <v>5053</v>
      </c>
      <c r="H754" s="2198" t="s">
        <v>3146</v>
      </c>
      <c r="L754" s="2196"/>
      <c r="M754" s="2200"/>
      <c r="T754" s="2201"/>
      <c r="AT754" s="2198" t="s">
        <v>3303</v>
      </c>
      <c r="AU754" s="2198" t="s">
        <v>134</v>
      </c>
      <c r="AV754" s="2195" t="s">
        <v>133</v>
      </c>
      <c r="AW754" s="2195" t="s">
        <v>3171</v>
      </c>
      <c r="AX754" s="2195" t="s">
        <v>3213</v>
      </c>
      <c r="AY754" s="2198" t="s">
        <v>3285</v>
      </c>
    </row>
    <row r="755" spans="2:65" s="2209" customFormat="1" ht="22.5">
      <c r="B755" s="2210"/>
      <c r="D755" s="2197" t="s">
        <v>3303</v>
      </c>
      <c r="E755" s="2211" t="s">
        <v>3146</v>
      </c>
      <c r="F755" s="2212" t="s">
        <v>5054</v>
      </c>
      <c r="H755" s="2213">
        <v>183.12</v>
      </c>
      <c r="L755" s="2210"/>
      <c r="M755" s="2214"/>
      <c r="T755" s="2215"/>
      <c r="AT755" s="2211" t="s">
        <v>3303</v>
      </c>
      <c r="AU755" s="2211" t="s">
        <v>134</v>
      </c>
      <c r="AV755" s="2209" t="s">
        <v>134</v>
      </c>
      <c r="AW755" s="2209" t="s">
        <v>3171</v>
      </c>
      <c r="AX755" s="2209" t="s">
        <v>3213</v>
      </c>
      <c r="AY755" s="2211" t="s">
        <v>3285</v>
      </c>
    </row>
    <row r="756" spans="2:65" s="2216" customFormat="1">
      <c r="B756" s="2217"/>
      <c r="D756" s="2197" t="s">
        <v>3303</v>
      </c>
      <c r="E756" s="2218" t="s">
        <v>3146</v>
      </c>
      <c r="F756" s="2219" t="s">
        <v>3306</v>
      </c>
      <c r="H756" s="2220">
        <v>193.92</v>
      </c>
      <c r="L756" s="2217"/>
      <c r="M756" s="2221"/>
      <c r="T756" s="2222"/>
      <c r="AT756" s="2218" t="s">
        <v>3303</v>
      </c>
      <c r="AU756" s="2218" t="s">
        <v>134</v>
      </c>
      <c r="AV756" s="2216" t="s">
        <v>856</v>
      </c>
      <c r="AW756" s="2216" t="s">
        <v>3171</v>
      </c>
      <c r="AX756" s="2216" t="s">
        <v>133</v>
      </c>
      <c r="AY756" s="2218" t="s">
        <v>3285</v>
      </c>
    </row>
    <row r="757" spans="2:65" s="2070" customFormat="1" ht="21.75" customHeight="1">
      <c r="B757" s="2164"/>
      <c r="C757" s="4608" t="s">
        <v>3994</v>
      </c>
      <c r="D757" s="4608" t="s">
        <v>3286</v>
      </c>
      <c r="E757" s="4609" t="s">
        <v>5158</v>
      </c>
      <c r="F757" s="4610" t="s">
        <v>5159</v>
      </c>
      <c r="G757" s="4611" t="s">
        <v>141</v>
      </c>
      <c r="H757" s="4612">
        <v>193.92</v>
      </c>
      <c r="I757" s="4613"/>
      <c r="J757" s="4613">
        <f>ROUND(I757*H757,2)</f>
        <v>0</v>
      </c>
      <c r="K757" s="4610" t="s">
        <v>142</v>
      </c>
      <c r="L757" s="2071"/>
      <c r="M757" s="2190" t="s">
        <v>3146</v>
      </c>
      <c r="N757" s="2163" t="s">
        <v>3181</v>
      </c>
      <c r="O757" s="2191">
        <v>0.186</v>
      </c>
      <c r="P757" s="2191">
        <f>O757*H757</f>
        <v>36.069119999999998</v>
      </c>
      <c r="Q757" s="2191">
        <v>5.0000000000000002E-5</v>
      </c>
      <c r="R757" s="2191">
        <f>Q757*H757</f>
        <v>9.6959999999999998E-3</v>
      </c>
      <c r="S757" s="2191">
        <v>0</v>
      </c>
      <c r="T757" s="2192">
        <f>S757*H757</f>
        <v>0</v>
      </c>
      <c r="AR757" s="2193" t="s">
        <v>2894</v>
      </c>
      <c r="AT757" s="2193" t="s">
        <v>3286</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5160</v>
      </c>
    </row>
    <row r="758" spans="2:65" s="2195" customFormat="1">
      <c r="B758" s="2196"/>
      <c r="D758" s="2197" t="s">
        <v>3303</v>
      </c>
      <c r="E758" s="2198" t="s">
        <v>3146</v>
      </c>
      <c r="F758" s="2199" t="s">
        <v>5049</v>
      </c>
      <c r="H758" s="2198" t="s">
        <v>3146</v>
      </c>
      <c r="L758" s="2196"/>
      <c r="M758" s="2200"/>
      <c r="T758" s="2201"/>
      <c r="AT758" s="2198" t="s">
        <v>3303</v>
      </c>
      <c r="AU758" s="2198" t="s">
        <v>134</v>
      </c>
      <c r="AV758" s="2195" t="s">
        <v>133</v>
      </c>
      <c r="AW758" s="2195" t="s">
        <v>3171</v>
      </c>
      <c r="AX758" s="2195" t="s">
        <v>3213</v>
      </c>
      <c r="AY758" s="2198" t="s">
        <v>3285</v>
      </c>
    </row>
    <row r="759" spans="2:65" s="2209" customFormat="1">
      <c r="B759" s="2210"/>
      <c r="D759" s="2197" t="s">
        <v>3303</v>
      </c>
      <c r="E759" s="2211" t="s">
        <v>3146</v>
      </c>
      <c r="F759" s="2212" t="s">
        <v>5050</v>
      </c>
      <c r="H759" s="2213">
        <v>6</v>
      </c>
      <c r="L759" s="2210"/>
      <c r="M759" s="2214"/>
      <c r="T759" s="2215"/>
      <c r="AT759" s="2211" t="s">
        <v>3303</v>
      </c>
      <c r="AU759" s="2211" t="s">
        <v>134</v>
      </c>
      <c r="AV759" s="2209" t="s">
        <v>134</v>
      </c>
      <c r="AW759" s="2209" t="s">
        <v>3171</v>
      </c>
      <c r="AX759" s="2209" t="s">
        <v>3213</v>
      </c>
      <c r="AY759" s="2211" t="s">
        <v>3285</v>
      </c>
    </row>
    <row r="760" spans="2:65" s="2195" customFormat="1">
      <c r="B760" s="2196"/>
      <c r="D760" s="2197" t="s">
        <v>3303</v>
      </c>
      <c r="E760" s="2198" t="s">
        <v>3146</v>
      </c>
      <c r="F760" s="2199" t="s">
        <v>5051</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5052</v>
      </c>
      <c r="H761" s="2213">
        <v>4.8</v>
      </c>
      <c r="L761" s="2210"/>
      <c r="M761" s="2214"/>
      <c r="T761" s="2215"/>
      <c r="AT761" s="2211" t="s">
        <v>3303</v>
      </c>
      <c r="AU761" s="2211" t="s">
        <v>134</v>
      </c>
      <c r="AV761" s="2209" t="s">
        <v>134</v>
      </c>
      <c r="AW761" s="2209" t="s">
        <v>3171</v>
      </c>
      <c r="AX761" s="2209" t="s">
        <v>3213</v>
      </c>
      <c r="AY761" s="2211" t="s">
        <v>3285</v>
      </c>
    </row>
    <row r="762" spans="2:65" s="2195" customFormat="1">
      <c r="B762" s="2196"/>
      <c r="D762" s="2197" t="s">
        <v>3303</v>
      </c>
      <c r="E762" s="2198" t="s">
        <v>3146</v>
      </c>
      <c r="F762" s="2199" t="s">
        <v>5053</v>
      </c>
      <c r="H762" s="2198" t="s">
        <v>3146</v>
      </c>
      <c r="L762" s="2196"/>
      <c r="M762" s="2200"/>
      <c r="T762" s="2201"/>
      <c r="AT762" s="2198" t="s">
        <v>3303</v>
      </c>
      <c r="AU762" s="2198" t="s">
        <v>134</v>
      </c>
      <c r="AV762" s="2195" t="s">
        <v>133</v>
      </c>
      <c r="AW762" s="2195" t="s">
        <v>3171</v>
      </c>
      <c r="AX762" s="2195" t="s">
        <v>3213</v>
      </c>
      <c r="AY762" s="2198" t="s">
        <v>3285</v>
      </c>
    </row>
    <row r="763" spans="2:65" s="2209" customFormat="1" ht="22.5">
      <c r="B763" s="2210"/>
      <c r="D763" s="2197" t="s">
        <v>3303</v>
      </c>
      <c r="E763" s="2211" t="s">
        <v>3146</v>
      </c>
      <c r="F763" s="2212" t="s">
        <v>5054</v>
      </c>
      <c r="H763" s="2213">
        <v>183.12</v>
      </c>
      <c r="L763" s="2210"/>
      <c r="M763" s="2214"/>
      <c r="T763" s="2215"/>
      <c r="AT763" s="2211" t="s">
        <v>3303</v>
      </c>
      <c r="AU763" s="2211" t="s">
        <v>134</v>
      </c>
      <c r="AV763" s="2209" t="s">
        <v>134</v>
      </c>
      <c r="AW763" s="2209" t="s">
        <v>3171</v>
      </c>
      <c r="AX763" s="2209" t="s">
        <v>3213</v>
      </c>
      <c r="AY763" s="2211" t="s">
        <v>3285</v>
      </c>
    </row>
    <row r="764" spans="2:65" s="2216" customFormat="1">
      <c r="B764" s="2217"/>
      <c r="D764" s="2197" t="s">
        <v>3303</v>
      </c>
      <c r="E764" s="2218" t="s">
        <v>3146</v>
      </c>
      <c r="F764" s="2219" t="s">
        <v>3306</v>
      </c>
      <c r="H764" s="2220">
        <v>193.92</v>
      </c>
      <c r="L764" s="2217"/>
      <c r="M764" s="2221"/>
      <c r="T764" s="2222"/>
      <c r="AT764" s="2218" t="s">
        <v>3303</v>
      </c>
      <c r="AU764" s="2218" t="s">
        <v>134</v>
      </c>
      <c r="AV764" s="2216" t="s">
        <v>856</v>
      </c>
      <c r="AW764" s="2216" t="s">
        <v>3171</v>
      </c>
      <c r="AX764" s="2216" t="s">
        <v>133</v>
      </c>
      <c r="AY764" s="2218" t="s">
        <v>3285</v>
      </c>
    </row>
    <row r="765" spans="2:65" s="2070" customFormat="1" ht="24.2" customHeight="1">
      <c r="B765" s="2164"/>
      <c r="C765" s="4614" t="s">
        <v>3997</v>
      </c>
      <c r="D765" s="4614" t="s">
        <v>135</v>
      </c>
      <c r="E765" s="4615" t="s">
        <v>5161</v>
      </c>
      <c r="F765" s="4616" t="s">
        <v>5162</v>
      </c>
      <c r="G765" s="4617" t="s">
        <v>141</v>
      </c>
      <c r="H765" s="4618">
        <v>213.31200000000001</v>
      </c>
      <c r="I765" s="4619"/>
      <c r="J765" s="4619">
        <f>ROUND(I765*H765,2)</f>
        <v>0</v>
      </c>
      <c r="K765" s="4616" t="s">
        <v>142</v>
      </c>
      <c r="L765" s="2223"/>
      <c r="M765" s="2224" t="s">
        <v>3146</v>
      </c>
      <c r="N765" s="2225" t="s">
        <v>3181</v>
      </c>
      <c r="O765" s="2191">
        <v>0</v>
      </c>
      <c r="P765" s="2191">
        <f>O765*H765</f>
        <v>0</v>
      </c>
      <c r="Q765" s="2191">
        <v>6.0000000000000002E-5</v>
      </c>
      <c r="R765" s="2191">
        <f>Q765*H765</f>
        <v>1.2798720000000001E-2</v>
      </c>
      <c r="S765" s="2191">
        <v>0</v>
      </c>
      <c r="T765" s="2192">
        <f>S765*H765</f>
        <v>0</v>
      </c>
      <c r="AR765" s="2193" t="s">
        <v>3389</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5163</v>
      </c>
    </row>
    <row r="766" spans="2:65" s="2209" customFormat="1">
      <c r="B766" s="2210"/>
      <c r="D766" s="2197" t="s">
        <v>3303</v>
      </c>
      <c r="F766" s="2212" t="s">
        <v>5164</v>
      </c>
      <c r="H766" s="2213">
        <v>213.31200000000001</v>
      </c>
      <c r="L766" s="2210"/>
      <c r="M766" s="2214"/>
      <c r="T766" s="2215"/>
      <c r="AT766" s="2211" t="s">
        <v>3303</v>
      </c>
      <c r="AU766" s="2211" t="s">
        <v>134</v>
      </c>
      <c r="AV766" s="2209" t="s">
        <v>134</v>
      </c>
      <c r="AW766" s="2209" t="s">
        <v>3148</v>
      </c>
      <c r="AX766" s="2209" t="s">
        <v>133</v>
      </c>
      <c r="AY766" s="2211" t="s">
        <v>3285</v>
      </c>
    </row>
    <row r="767" spans="2:65" s="2070" customFormat="1" ht="33" customHeight="1">
      <c r="B767" s="2164"/>
      <c r="C767" s="4608" t="s">
        <v>4001</v>
      </c>
      <c r="D767" s="4608" t="s">
        <v>3286</v>
      </c>
      <c r="E767" s="4609" t="s">
        <v>5165</v>
      </c>
      <c r="F767" s="4610" t="s">
        <v>5166</v>
      </c>
      <c r="G767" s="4611" t="s">
        <v>141</v>
      </c>
      <c r="H767" s="4612">
        <v>27.8</v>
      </c>
      <c r="I767" s="4613"/>
      <c r="J767" s="4613">
        <f>ROUND(I767*H767,2)</f>
        <v>0</v>
      </c>
      <c r="K767" s="4610" t="s">
        <v>142</v>
      </c>
      <c r="L767" s="2071"/>
      <c r="M767" s="2190" t="s">
        <v>3146</v>
      </c>
      <c r="N767" s="2163" t="s">
        <v>3181</v>
      </c>
      <c r="O767" s="2191">
        <v>1.1459999999999999</v>
      </c>
      <c r="P767" s="2191">
        <f>O767*H767</f>
        <v>31.858799999999999</v>
      </c>
      <c r="Q767" s="2191">
        <v>2.0699999999999998E-3</v>
      </c>
      <c r="R767" s="2191">
        <f>Q767*H767</f>
        <v>5.7545999999999993E-2</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5167</v>
      </c>
    </row>
    <row r="768" spans="2:65" s="2195" customFormat="1">
      <c r="B768" s="2196"/>
      <c r="D768" s="2197" t="s">
        <v>3303</v>
      </c>
      <c r="E768" s="2198" t="s">
        <v>3146</v>
      </c>
      <c r="F768" s="2199" t="s">
        <v>5168</v>
      </c>
      <c r="H768" s="2198" t="s">
        <v>3146</v>
      </c>
      <c r="L768" s="2196"/>
      <c r="M768" s="2200"/>
      <c r="T768" s="2201"/>
      <c r="AT768" s="2198" t="s">
        <v>3303</v>
      </c>
      <c r="AU768" s="2198" t="s">
        <v>134</v>
      </c>
      <c r="AV768" s="2195" t="s">
        <v>133</v>
      </c>
      <c r="AW768" s="2195" t="s">
        <v>3171</v>
      </c>
      <c r="AX768" s="2195" t="s">
        <v>3213</v>
      </c>
      <c r="AY768" s="2198" t="s">
        <v>3285</v>
      </c>
    </row>
    <row r="769" spans="2:65" s="2209" customFormat="1">
      <c r="B769" s="2210"/>
      <c r="D769" s="2197" t="s">
        <v>3303</v>
      </c>
      <c r="E769" s="2211" t="s">
        <v>3146</v>
      </c>
      <c r="F769" s="2212" t="s">
        <v>5169</v>
      </c>
      <c r="H769" s="2213">
        <v>14.4</v>
      </c>
      <c r="L769" s="2210"/>
      <c r="M769" s="2214"/>
      <c r="T769" s="2215"/>
      <c r="AT769" s="2211" t="s">
        <v>3303</v>
      </c>
      <c r="AU769" s="2211" t="s">
        <v>134</v>
      </c>
      <c r="AV769" s="2209" t="s">
        <v>134</v>
      </c>
      <c r="AW769" s="2209" t="s">
        <v>3171</v>
      </c>
      <c r="AX769" s="2209" t="s">
        <v>3213</v>
      </c>
      <c r="AY769" s="2211" t="s">
        <v>3285</v>
      </c>
    </row>
    <row r="770" spans="2:65" s="2209" customFormat="1">
      <c r="B770" s="2210"/>
      <c r="D770" s="2197" t="s">
        <v>3303</v>
      </c>
      <c r="E770" s="2211" t="s">
        <v>3146</v>
      </c>
      <c r="F770" s="2212" t="s">
        <v>5170</v>
      </c>
      <c r="H770" s="2213">
        <v>13.4</v>
      </c>
      <c r="L770" s="2210"/>
      <c r="M770" s="2214"/>
      <c r="T770" s="2215"/>
      <c r="AT770" s="2211" t="s">
        <v>3303</v>
      </c>
      <c r="AU770" s="2211" t="s">
        <v>134</v>
      </c>
      <c r="AV770" s="2209" t="s">
        <v>134</v>
      </c>
      <c r="AW770" s="2209" t="s">
        <v>3171</v>
      </c>
      <c r="AX770" s="2209" t="s">
        <v>3213</v>
      </c>
      <c r="AY770" s="2211" t="s">
        <v>3285</v>
      </c>
    </row>
    <row r="771" spans="2:65" s="2216" customFormat="1">
      <c r="B771" s="2217"/>
      <c r="D771" s="2197" t="s">
        <v>3303</v>
      </c>
      <c r="E771" s="2218" t="s">
        <v>3146</v>
      </c>
      <c r="F771" s="2219" t="s">
        <v>3306</v>
      </c>
      <c r="H771" s="2220">
        <v>27.8</v>
      </c>
      <c r="L771" s="2217"/>
      <c r="M771" s="2221"/>
      <c r="T771" s="2222"/>
      <c r="AT771" s="2218" t="s">
        <v>3303</v>
      </c>
      <c r="AU771" s="2218" t="s">
        <v>134</v>
      </c>
      <c r="AV771" s="2216" t="s">
        <v>856</v>
      </c>
      <c r="AW771" s="2216" t="s">
        <v>3171</v>
      </c>
      <c r="AX771" s="2216" t="s">
        <v>133</v>
      </c>
      <c r="AY771" s="2218" t="s">
        <v>3285</v>
      </c>
    </row>
    <row r="772" spans="2:65" s="2070" customFormat="1" ht="24.2" customHeight="1">
      <c r="B772" s="2164"/>
      <c r="C772" s="4608" t="s">
        <v>4005</v>
      </c>
      <c r="D772" s="4608" t="s">
        <v>3286</v>
      </c>
      <c r="E772" s="4609" t="s">
        <v>11247</v>
      </c>
      <c r="F772" s="4610" t="s">
        <v>11248</v>
      </c>
      <c r="G772" s="4611" t="s">
        <v>155</v>
      </c>
      <c r="H772" s="4612">
        <v>30</v>
      </c>
      <c r="I772" s="4613"/>
      <c r="J772" s="4613">
        <f>ROUND(I772*H772,2)</f>
        <v>0</v>
      </c>
      <c r="K772" s="4610" t="s">
        <v>142</v>
      </c>
      <c r="L772" s="2071"/>
      <c r="M772" s="2190" t="s">
        <v>3146</v>
      </c>
      <c r="N772" s="2163" t="s">
        <v>3181</v>
      </c>
      <c r="O772" s="2191">
        <v>1.6819999999999999</v>
      </c>
      <c r="P772" s="2191">
        <f>O772*H772</f>
        <v>50.46</v>
      </c>
      <c r="Q772" s="2191">
        <v>0</v>
      </c>
      <c r="R772" s="2191">
        <f>Q772*H772</f>
        <v>0</v>
      </c>
      <c r="S772" s="2191">
        <v>0</v>
      </c>
      <c r="T772" s="2192">
        <f>S772*H772</f>
        <v>0</v>
      </c>
      <c r="AR772" s="2193" t="s">
        <v>2894</v>
      </c>
      <c r="AT772" s="2193" t="s">
        <v>3286</v>
      </c>
      <c r="AU772" s="2193" t="s">
        <v>134</v>
      </c>
      <c r="AY772" s="2056" t="s">
        <v>3285</v>
      </c>
      <c r="BE772" s="2194">
        <f>IF(N772="základní",J772,0)</f>
        <v>0</v>
      </c>
      <c r="BF772" s="2194">
        <f>IF(N772="snížená",J772,0)</f>
        <v>0</v>
      </c>
      <c r="BG772" s="2194">
        <f>IF(N772="zákl. přenesená",J772,0)</f>
        <v>0</v>
      </c>
      <c r="BH772" s="2194">
        <f>IF(N772="sníž. přenesená",J772,0)</f>
        <v>0</v>
      </c>
      <c r="BI772" s="2194">
        <f>IF(N772="nulová",J772,0)</f>
        <v>0</v>
      </c>
      <c r="BJ772" s="2056" t="s">
        <v>134</v>
      </c>
      <c r="BK772" s="2194">
        <f>ROUND(I772*H772,2)</f>
        <v>0</v>
      </c>
      <c r="BL772" s="2056" t="s">
        <v>2894</v>
      </c>
      <c r="BM772" s="2193" t="s">
        <v>11249</v>
      </c>
    </row>
    <row r="773" spans="2:65" s="2209" customFormat="1">
      <c r="B773" s="2210"/>
      <c r="D773" s="2197" t="s">
        <v>3303</v>
      </c>
      <c r="E773" s="2211" t="s">
        <v>3146</v>
      </c>
      <c r="F773" s="2212" t="s">
        <v>11250</v>
      </c>
      <c r="H773" s="2213">
        <v>13</v>
      </c>
      <c r="L773" s="2210"/>
      <c r="M773" s="2214"/>
      <c r="T773" s="2215"/>
      <c r="AT773" s="2211" t="s">
        <v>3303</v>
      </c>
      <c r="AU773" s="2211" t="s">
        <v>134</v>
      </c>
      <c r="AV773" s="2209" t="s">
        <v>134</v>
      </c>
      <c r="AW773" s="2209" t="s">
        <v>3171</v>
      </c>
      <c r="AX773" s="2209" t="s">
        <v>3213</v>
      </c>
      <c r="AY773" s="2211" t="s">
        <v>3285</v>
      </c>
    </row>
    <row r="774" spans="2:65" s="2209" customFormat="1">
      <c r="B774" s="2210"/>
      <c r="D774" s="2197" t="s">
        <v>3303</v>
      </c>
      <c r="E774" s="2211" t="s">
        <v>3146</v>
      </c>
      <c r="F774" s="2212" t="s">
        <v>11251</v>
      </c>
      <c r="H774" s="2213">
        <v>7</v>
      </c>
      <c r="L774" s="2210"/>
      <c r="M774" s="2214"/>
      <c r="T774" s="2215"/>
      <c r="AT774" s="2211" t="s">
        <v>3303</v>
      </c>
      <c r="AU774" s="2211" t="s">
        <v>134</v>
      </c>
      <c r="AV774" s="2209" t="s">
        <v>134</v>
      </c>
      <c r="AW774" s="2209" t="s">
        <v>3171</v>
      </c>
      <c r="AX774" s="2209" t="s">
        <v>3213</v>
      </c>
      <c r="AY774" s="2211" t="s">
        <v>3285</v>
      </c>
    </row>
    <row r="775" spans="2:65" s="2209" customFormat="1">
      <c r="B775" s="2210"/>
      <c r="D775" s="2197" t="s">
        <v>3303</v>
      </c>
      <c r="E775" s="2211" t="s">
        <v>3146</v>
      </c>
      <c r="F775" s="2212" t="s">
        <v>11252</v>
      </c>
      <c r="H775" s="2213">
        <v>5</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11252</v>
      </c>
      <c r="H776" s="2213">
        <v>5</v>
      </c>
      <c r="L776" s="2210"/>
      <c r="M776" s="2214"/>
      <c r="T776" s="2215"/>
      <c r="AT776" s="2211" t="s">
        <v>3303</v>
      </c>
      <c r="AU776" s="2211" t="s">
        <v>134</v>
      </c>
      <c r="AV776" s="2209" t="s">
        <v>134</v>
      </c>
      <c r="AW776" s="2209" t="s">
        <v>3171</v>
      </c>
      <c r="AX776" s="2209" t="s">
        <v>3213</v>
      </c>
      <c r="AY776" s="2211" t="s">
        <v>3285</v>
      </c>
    </row>
    <row r="777" spans="2:65" s="2216" customFormat="1">
      <c r="B777" s="2217"/>
      <c r="D777" s="2197" t="s">
        <v>3303</v>
      </c>
      <c r="E777" s="2218" t="s">
        <v>3146</v>
      </c>
      <c r="F777" s="2219" t="s">
        <v>3306</v>
      </c>
      <c r="H777" s="2220">
        <v>30</v>
      </c>
      <c r="L777" s="2217"/>
      <c r="M777" s="2221"/>
      <c r="T777" s="2222"/>
      <c r="AT777" s="2218" t="s">
        <v>3303</v>
      </c>
      <c r="AU777" s="2218" t="s">
        <v>134</v>
      </c>
      <c r="AV777" s="2216" t="s">
        <v>856</v>
      </c>
      <c r="AW777" s="2216" t="s">
        <v>3171</v>
      </c>
      <c r="AX777" s="2216" t="s">
        <v>133</v>
      </c>
      <c r="AY777" s="2218" t="s">
        <v>3285</v>
      </c>
    </row>
    <row r="778" spans="2:65" s="2070" customFormat="1" ht="24.2" customHeight="1">
      <c r="B778" s="2164"/>
      <c r="C778" s="4614" t="s">
        <v>4011</v>
      </c>
      <c r="D778" s="4614" t="s">
        <v>135</v>
      </c>
      <c r="E778" s="4615" t="s">
        <v>11253</v>
      </c>
      <c r="F778" s="4616" t="s">
        <v>11254</v>
      </c>
      <c r="G778" s="4617" t="s">
        <v>155</v>
      </c>
      <c r="H778" s="4618">
        <v>30</v>
      </c>
      <c r="I778" s="4619"/>
      <c r="J778" s="4619">
        <f>ROUND(I778*H778,2)</f>
        <v>0</v>
      </c>
      <c r="K778" s="4616" t="s">
        <v>142</v>
      </c>
      <c r="L778" s="2223"/>
      <c r="M778" s="2224" t="s">
        <v>3146</v>
      </c>
      <c r="N778" s="2225" t="s">
        <v>3181</v>
      </c>
      <c r="O778" s="2191">
        <v>0</v>
      </c>
      <c r="P778" s="2191">
        <f>O778*H778</f>
        <v>0</v>
      </c>
      <c r="Q778" s="2191">
        <v>1.6E-2</v>
      </c>
      <c r="R778" s="2191">
        <f>Q778*H778</f>
        <v>0.48</v>
      </c>
      <c r="S778" s="2191">
        <v>0</v>
      </c>
      <c r="T778" s="2192">
        <f>S778*H778</f>
        <v>0</v>
      </c>
      <c r="AR778" s="2193" t="s">
        <v>3389</v>
      </c>
      <c r="AT778" s="2193" t="s">
        <v>135</v>
      </c>
      <c r="AU778" s="2193" t="s">
        <v>134</v>
      </c>
      <c r="AY778" s="2056" t="s">
        <v>3285</v>
      </c>
      <c r="BE778" s="2194">
        <f>IF(N778="základní",J778,0)</f>
        <v>0</v>
      </c>
      <c r="BF778" s="2194">
        <f>IF(N778="snížená",J778,0)</f>
        <v>0</v>
      </c>
      <c r="BG778" s="2194">
        <f>IF(N778="zákl. přenesená",J778,0)</f>
        <v>0</v>
      </c>
      <c r="BH778" s="2194">
        <f>IF(N778="sníž. přenesená",J778,0)</f>
        <v>0</v>
      </c>
      <c r="BI778" s="2194">
        <f>IF(N778="nulová",J778,0)</f>
        <v>0</v>
      </c>
      <c r="BJ778" s="2056" t="s">
        <v>134</v>
      </c>
      <c r="BK778" s="2194">
        <f>ROUND(I778*H778,2)</f>
        <v>0</v>
      </c>
      <c r="BL778" s="2056" t="s">
        <v>2894</v>
      </c>
      <c r="BM778" s="2193" t="s">
        <v>11255</v>
      </c>
    </row>
    <row r="779" spans="2:65" s="2070" customFormat="1" ht="24.2" customHeight="1">
      <c r="B779" s="2164"/>
      <c r="C779" s="4608" t="s">
        <v>4021</v>
      </c>
      <c r="D779" s="4608" t="s">
        <v>3286</v>
      </c>
      <c r="E779" s="4609" t="s">
        <v>11256</v>
      </c>
      <c r="F779" s="4610" t="s">
        <v>11257</v>
      </c>
      <c r="G779" s="4611" t="s">
        <v>155</v>
      </c>
      <c r="H779" s="4612">
        <v>19</v>
      </c>
      <c r="I779" s="4613"/>
      <c r="J779" s="4613">
        <f>ROUND(I779*H779,2)</f>
        <v>0</v>
      </c>
      <c r="K779" s="4610" t="s">
        <v>142</v>
      </c>
      <c r="L779" s="2071"/>
      <c r="M779" s="2190" t="s">
        <v>3146</v>
      </c>
      <c r="N779" s="2163" t="s">
        <v>3181</v>
      </c>
      <c r="O779" s="2191">
        <v>1.825</v>
      </c>
      <c r="P779" s="2191">
        <f>O779*H779</f>
        <v>34.674999999999997</v>
      </c>
      <c r="Q779" s="2191">
        <v>0</v>
      </c>
      <c r="R779" s="2191">
        <f>Q779*H779</f>
        <v>0</v>
      </c>
      <c r="S779" s="2191">
        <v>0</v>
      </c>
      <c r="T779" s="2192">
        <f>S779*H779</f>
        <v>0</v>
      </c>
      <c r="AR779" s="2193" t="s">
        <v>2894</v>
      </c>
      <c r="AT779" s="2193" t="s">
        <v>3286</v>
      </c>
      <c r="AU779" s="2193" t="s">
        <v>134</v>
      </c>
      <c r="AY779" s="2056" t="s">
        <v>3285</v>
      </c>
      <c r="BE779" s="2194">
        <f>IF(N779="základní",J779,0)</f>
        <v>0</v>
      </c>
      <c r="BF779" s="2194">
        <f>IF(N779="snížená",J779,0)</f>
        <v>0</v>
      </c>
      <c r="BG779" s="2194">
        <f>IF(N779="zákl. přenesená",J779,0)</f>
        <v>0</v>
      </c>
      <c r="BH779" s="2194">
        <f>IF(N779="sníž. přenesená",J779,0)</f>
        <v>0</v>
      </c>
      <c r="BI779" s="2194">
        <f>IF(N779="nulová",J779,0)</f>
        <v>0</v>
      </c>
      <c r="BJ779" s="2056" t="s">
        <v>134</v>
      </c>
      <c r="BK779" s="2194">
        <f>ROUND(I779*H779,2)</f>
        <v>0</v>
      </c>
      <c r="BL779" s="2056" t="s">
        <v>2894</v>
      </c>
      <c r="BM779" s="2193" t="s">
        <v>11258</v>
      </c>
    </row>
    <row r="780" spans="2:65" s="2209" customFormat="1">
      <c r="B780" s="2210"/>
      <c r="D780" s="2197" t="s">
        <v>3303</v>
      </c>
      <c r="E780" s="2211" t="s">
        <v>3146</v>
      </c>
      <c r="F780" s="2212" t="s">
        <v>4999</v>
      </c>
      <c r="H780" s="2213">
        <v>5</v>
      </c>
      <c r="L780" s="2210"/>
      <c r="M780" s="2214"/>
      <c r="T780" s="2215"/>
      <c r="AT780" s="2211" t="s">
        <v>3303</v>
      </c>
      <c r="AU780" s="2211" t="s">
        <v>134</v>
      </c>
      <c r="AV780" s="2209" t="s">
        <v>134</v>
      </c>
      <c r="AW780" s="2209" t="s">
        <v>3171</v>
      </c>
      <c r="AX780" s="2209" t="s">
        <v>3213</v>
      </c>
      <c r="AY780" s="2211" t="s">
        <v>3285</v>
      </c>
    </row>
    <row r="781" spans="2:65" s="2209" customFormat="1">
      <c r="B781" s="2210"/>
      <c r="D781" s="2197" t="s">
        <v>3303</v>
      </c>
      <c r="E781" s="2211" t="s">
        <v>3146</v>
      </c>
      <c r="F781" s="2212" t="s">
        <v>11259</v>
      </c>
      <c r="H781" s="2213">
        <v>9</v>
      </c>
      <c r="L781" s="2210"/>
      <c r="M781" s="2214"/>
      <c r="T781" s="2215"/>
      <c r="AT781" s="2211" t="s">
        <v>3303</v>
      </c>
      <c r="AU781" s="2211" t="s">
        <v>134</v>
      </c>
      <c r="AV781" s="2209" t="s">
        <v>134</v>
      </c>
      <c r="AW781" s="2209" t="s">
        <v>3171</v>
      </c>
      <c r="AX781" s="2209" t="s">
        <v>3213</v>
      </c>
      <c r="AY781" s="2211" t="s">
        <v>3285</v>
      </c>
    </row>
    <row r="782" spans="2:65" s="2209" customFormat="1">
      <c r="B782" s="2210"/>
      <c r="D782" s="2197" t="s">
        <v>3303</v>
      </c>
      <c r="E782" s="2211" t="s">
        <v>3146</v>
      </c>
      <c r="F782" s="2212" t="s">
        <v>5619</v>
      </c>
      <c r="H782" s="2213">
        <v>3</v>
      </c>
      <c r="L782" s="2210"/>
      <c r="M782" s="2214"/>
      <c r="T782" s="2215"/>
      <c r="AT782" s="2211" t="s">
        <v>3303</v>
      </c>
      <c r="AU782" s="2211" t="s">
        <v>134</v>
      </c>
      <c r="AV782" s="2209" t="s">
        <v>134</v>
      </c>
      <c r="AW782" s="2209" t="s">
        <v>3171</v>
      </c>
      <c r="AX782" s="2209" t="s">
        <v>3213</v>
      </c>
      <c r="AY782" s="2211" t="s">
        <v>3285</v>
      </c>
    </row>
    <row r="783" spans="2:65" s="2209" customFormat="1">
      <c r="B783" s="2210"/>
      <c r="D783" s="2197" t="s">
        <v>3303</v>
      </c>
      <c r="E783" s="2211" t="s">
        <v>3146</v>
      </c>
      <c r="F783" s="2212" t="s">
        <v>4804</v>
      </c>
      <c r="H783" s="2213">
        <v>2</v>
      </c>
      <c r="L783" s="2210"/>
      <c r="M783" s="2214"/>
      <c r="T783" s="2215"/>
      <c r="AT783" s="2211" t="s">
        <v>3303</v>
      </c>
      <c r="AU783" s="2211" t="s">
        <v>134</v>
      </c>
      <c r="AV783" s="2209" t="s">
        <v>134</v>
      </c>
      <c r="AW783" s="2209" t="s">
        <v>3171</v>
      </c>
      <c r="AX783" s="2209" t="s">
        <v>3213</v>
      </c>
      <c r="AY783" s="2211" t="s">
        <v>3285</v>
      </c>
    </row>
    <row r="784" spans="2:65" s="2216" customFormat="1">
      <c r="B784" s="2217"/>
      <c r="D784" s="2197" t="s">
        <v>3303</v>
      </c>
      <c r="E784" s="2218" t="s">
        <v>3146</v>
      </c>
      <c r="F784" s="2219" t="s">
        <v>3306</v>
      </c>
      <c r="H784" s="2220">
        <v>19</v>
      </c>
      <c r="L784" s="2217"/>
      <c r="M784" s="2221"/>
      <c r="T784" s="2222"/>
      <c r="AT784" s="2218" t="s">
        <v>3303</v>
      </c>
      <c r="AU784" s="2218" t="s">
        <v>134</v>
      </c>
      <c r="AV784" s="2216" t="s">
        <v>856</v>
      </c>
      <c r="AW784" s="2216" t="s">
        <v>3171</v>
      </c>
      <c r="AX784" s="2216" t="s">
        <v>133</v>
      </c>
      <c r="AY784" s="2218" t="s">
        <v>3285</v>
      </c>
    </row>
    <row r="785" spans="2:65" s="2070" customFormat="1" ht="24.2" customHeight="1">
      <c r="B785" s="2164"/>
      <c r="C785" s="4614" t="s">
        <v>4026</v>
      </c>
      <c r="D785" s="4614" t="s">
        <v>135</v>
      </c>
      <c r="E785" s="4615" t="s">
        <v>11260</v>
      </c>
      <c r="F785" s="4616" t="s">
        <v>11261</v>
      </c>
      <c r="G785" s="4617" t="s">
        <v>155</v>
      </c>
      <c r="H785" s="4618">
        <v>8</v>
      </c>
      <c r="I785" s="4619"/>
      <c r="J785" s="4619">
        <f>ROUND(I785*H785,2)</f>
        <v>0</v>
      </c>
      <c r="K785" s="4616" t="s">
        <v>142</v>
      </c>
      <c r="L785" s="2223"/>
      <c r="M785" s="2224" t="s">
        <v>3146</v>
      </c>
      <c r="N785" s="2225" t="s">
        <v>3181</v>
      </c>
      <c r="O785" s="2191">
        <v>0</v>
      </c>
      <c r="P785" s="2191">
        <f>O785*H785</f>
        <v>0</v>
      </c>
      <c r="Q785" s="2191">
        <v>1.7000000000000001E-2</v>
      </c>
      <c r="R785" s="2191">
        <f>Q785*H785</f>
        <v>0.13600000000000001</v>
      </c>
      <c r="S785" s="2191">
        <v>0</v>
      </c>
      <c r="T785" s="2192">
        <f>S785*H785</f>
        <v>0</v>
      </c>
      <c r="AR785" s="2193" t="s">
        <v>3389</v>
      </c>
      <c r="AT785" s="2193" t="s">
        <v>135</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11262</v>
      </c>
    </row>
    <row r="786" spans="2:65" s="2209" customFormat="1">
      <c r="B786" s="2210"/>
      <c r="D786" s="2197" t="s">
        <v>3303</v>
      </c>
      <c r="E786" s="2211" t="s">
        <v>3146</v>
      </c>
      <c r="F786" s="2212" t="s">
        <v>133</v>
      </c>
      <c r="H786" s="2213">
        <v>1</v>
      </c>
      <c r="L786" s="2210"/>
      <c r="M786" s="2214"/>
      <c r="T786" s="2215"/>
      <c r="AT786" s="2211" t="s">
        <v>3303</v>
      </c>
      <c r="AU786" s="2211" t="s">
        <v>134</v>
      </c>
      <c r="AV786" s="2209" t="s">
        <v>134</v>
      </c>
      <c r="AW786" s="2209" t="s">
        <v>3171</v>
      </c>
      <c r="AX786" s="2209" t="s">
        <v>3213</v>
      </c>
      <c r="AY786" s="2211" t="s">
        <v>3285</v>
      </c>
    </row>
    <row r="787" spans="2:65" s="2209" customFormat="1">
      <c r="B787" s="2210"/>
      <c r="D787" s="2197" t="s">
        <v>3303</v>
      </c>
      <c r="E787" s="2211" t="s">
        <v>3146</v>
      </c>
      <c r="F787" s="2212" t="s">
        <v>854</v>
      </c>
      <c r="H787" s="2213">
        <v>3</v>
      </c>
      <c r="L787" s="2210"/>
      <c r="M787" s="2214"/>
      <c r="T787" s="2215"/>
      <c r="AT787" s="2211" t="s">
        <v>3303</v>
      </c>
      <c r="AU787" s="2211" t="s">
        <v>134</v>
      </c>
      <c r="AV787" s="2209" t="s">
        <v>134</v>
      </c>
      <c r="AW787" s="2209" t="s">
        <v>3171</v>
      </c>
      <c r="AX787" s="2209" t="s">
        <v>3213</v>
      </c>
      <c r="AY787" s="2211" t="s">
        <v>3285</v>
      </c>
    </row>
    <row r="788" spans="2:65" s="2209" customFormat="1">
      <c r="B788" s="2210"/>
      <c r="D788" s="2197" t="s">
        <v>3303</v>
      </c>
      <c r="E788" s="2211" t="s">
        <v>3146</v>
      </c>
      <c r="F788" s="2212" t="s">
        <v>134</v>
      </c>
      <c r="H788" s="2213">
        <v>2</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134</v>
      </c>
      <c r="H789" s="2213">
        <v>2</v>
      </c>
      <c r="L789" s="2210"/>
      <c r="M789" s="2214"/>
      <c r="T789" s="2215"/>
      <c r="AT789" s="2211" t="s">
        <v>3303</v>
      </c>
      <c r="AU789" s="2211" t="s">
        <v>134</v>
      </c>
      <c r="AV789" s="2209" t="s">
        <v>134</v>
      </c>
      <c r="AW789" s="2209" t="s">
        <v>3171</v>
      </c>
      <c r="AX789" s="2209" t="s">
        <v>3213</v>
      </c>
      <c r="AY789" s="2211" t="s">
        <v>3285</v>
      </c>
    </row>
    <row r="790" spans="2:65" s="2216" customFormat="1">
      <c r="B790" s="2217"/>
      <c r="D790" s="2197" t="s">
        <v>3303</v>
      </c>
      <c r="E790" s="2218" t="s">
        <v>3146</v>
      </c>
      <c r="F790" s="2219" t="s">
        <v>3306</v>
      </c>
      <c r="H790" s="2220">
        <v>8</v>
      </c>
      <c r="L790" s="2217"/>
      <c r="M790" s="2221"/>
      <c r="T790" s="2222"/>
      <c r="AT790" s="2218" t="s">
        <v>3303</v>
      </c>
      <c r="AU790" s="2218" t="s">
        <v>134</v>
      </c>
      <c r="AV790" s="2216" t="s">
        <v>856</v>
      </c>
      <c r="AW790" s="2216" t="s">
        <v>3171</v>
      </c>
      <c r="AX790" s="2216" t="s">
        <v>133</v>
      </c>
      <c r="AY790" s="2218" t="s">
        <v>3285</v>
      </c>
    </row>
    <row r="791" spans="2:65" s="2070" customFormat="1" ht="24.2" customHeight="1">
      <c r="B791" s="2164"/>
      <c r="C791" s="4614" t="s">
        <v>4031</v>
      </c>
      <c r="D791" s="4614" t="s">
        <v>135</v>
      </c>
      <c r="E791" s="4615" t="s">
        <v>11263</v>
      </c>
      <c r="F791" s="4616" t="s">
        <v>11264</v>
      </c>
      <c r="G791" s="4617" t="s">
        <v>155</v>
      </c>
      <c r="H791" s="4618">
        <v>2</v>
      </c>
      <c r="I791" s="4619"/>
      <c r="J791" s="4619">
        <f>ROUND(I791*H791,2)</f>
        <v>0</v>
      </c>
      <c r="K791" s="4616" t="s">
        <v>142</v>
      </c>
      <c r="L791" s="2223"/>
      <c r="M791" s="2224" t="s">
        <v>3146</v>
      </c>
      <c r="N791" s="2225" t="s">
        <v>3181</v>
      </c>
      <c r="O791" s="2191">
        <v>0</v>
      </c>
      <c r="P791" s="2191">
        <f>O791*H791</f>
        <v>0</v>
      </c>
      <c r="Q791" s="2191">
        <v>1.8499999999999999E-2</v>
      </c>
      <c r="R791" s="2191">
        <f>Q791*H791</f>
        <v>3.6999999999999998E-2</v>
      </c>
      <c r="S791" s="2191">
        <v>0</v>
      </c>
      <c r="T791" s="2192">
        <f>S791*H791</f>
        <v>0</v>
      </c>
      <c r="AR791" s="2193" t="s">
        <v>3389</v>
      </c>
      <c r="AT791" s="2193" t="s">
        <v>135</v>
      </c>
      <c r="AU791" s="2193" t="s">
        <v>134</v>
      </c>
      <c r="AY791" s="2056" t="s">
        <v>3285</v>
      </c>
      <c r="BE791" s="2194">
        <f>IF(N791="základní",J791,0)</f>
        <v>0</v>
      </c>
      <c r="BF791" s="2194">
        <f>IF(N791="snížená",J791,0)</f>
        <v>0</v>
      </c>
      <c r="BG791" s="2194">
        <f>IF(N791="zákl. přenesená",J791,0)</f>
        <v>0</v>
      </c>
      <c r="BH791" s="2194">
        <f>IF(N791="sníž. přenesená",J791,0)</f>
        <v>0</v>
      </c>
      <c r="BI791" s="2194">
        <f>IF(N791="nulová",J791,0)</f>
        <v>0</v>
      </c>
      <c r="BJ791" s="2056" t="s">
        <v>134</v>
      </c>
      <c r="BK791" s="2194">
        <f>ROUND(I791*H791,2)</f>
        <v>0</v>
      </c>
      <c r="BL791" s="2056" t="s">
        <v>2894</v>
      </c>
      <c r="BM791" s="2193" t="s">
        <v>11265</v>
      </c>
    </row>
    <row r="792" spans="2:65" s="2209" customFormat="1">
      <c r="B792" s="2210"/>
      <c r="D792" s="2197" t="s">
        <v>3303</v>
      </c>
      <c r="E792" s="2211" t="s">
        <v>3146</v>
      </c>
      <c r="F792" s="2212" t="s">
        <v>4804</v>
      </c>
      <c r="H792" s="2213">
        <v>2</v>
      </c>
      <c r="L792" s="2210"/>
      <c r="M792" s="2214"/>
      <c r="T792" s="2215"/>
      <c r="AT792" s="2211" t="s">
        <v>3303</v>
      </c>
      <c r="AU792" s="2211" t="s">
        <v>134</v>
      </c>
      <c r="AV792" s="2209" t="s">
        <v>134</v>
      </c>
      <c r="AW792" s="2209" t="s">
        <v>3171</v>
      </c>
      <c r="AX792" s="2209" t="s">
        <v>3213</v>
      </c>
      <c r="AY792" s="2211" t="s">
        <v>3285</v>
      </c>
    </row>
    <row r="793" spans="2:65" s="2216" customFormat="1">
      <c r="B793" s="2217"/>
      <c r="D793" s="2197" t="s">
        <v>3303</v>
      </c>
      <c r="E793" s="2218" t="s">
        <v>3146</v>
      </c>
      <c r="F793" s="2219" t="s">
        <v>3306</v>
      </c>
      <c r="H793" s="2220">
        <v>2</v>
      </c>
      <c r="L793" s="2217"/>
      <c r="M793" s="2221"/>
      <c r="T793" s="2222"/>
      <c r="AT793" s="2218" t="s">
        <v>3303</v>
      </c>
      <c r="AU793" s="2218" t="s">
        <v>134</v>
      </c>
      <c r="AV793" s="2216" t="s">
        <v>856</v>
      </c>
      <c r="AW793" s="2216" t="s">
        <v>3171</v>
      </c>
      <c r="AX793" s="2216" t="s">
        <v>133</v>
      </c>
      <c r="AY793" s="2218" t="s">
        <v>3285</v>
      </c>
    </row>
    <row r="794" spans="2:65" s="2070" customFormat="1" ht="24.2" customHeight="1">
      <c r="B794" s="2164"/>
      <c r="C794" s="4614" t="s">
        <v>4034</v>
      </c>
      <c r="D794" s="4614" t="s">
        <v>135</v>
      </c>
      <c r="E794" s="4615" t="s">
        <v>11266</v>
      </c>
      <c r="F794" s="4616" t="s">
        <v>11267</v>
      </c>
      <c r="G794" s="4617" t="s">
        <v>155</v>
      </c>
      <c r="H794" s="4618">
        <v>9</v>
      </c>
      <c r="I794" s="4619"/>
      <c r="J794" s="4619">
        <f>ROUND(I794*H794,2)</f>
        <v>0</v>
      </c>
      <c r="K794" s="4616" t="s">
        <v>142</v>
      </c>
      <c r="L794" s="2223"/>
      <c r="M794" s="2224" t="s">
        <v>3146</v>
      </c>
      <c r="N794" s="2225" t="s">
        <v>3181</v>
      </c>
      <c r="O794" s="2191">
        <v>0</v>
      </c>
      <c r="P794" s="2191">
        <f>O794*H794</f>
        <v>0</v>
      </c>
      <c r="Q794" s="2191">
        <v>1.95E-2</v>
      </c>
      <c r="R794" s="2191">
        <f>Q794*H794</f>
        <v>0.17549999999999999</v>
      </c>
      <c r="S794" s="2191">
        <v>0</v>
      </c>
      <c r="T794" s="2192">
        <f>S794*H794</f>
        <v>0</v>
      </c>
      <c r="AR794" s="2193" t="s">
        <v>3389</v>
      </c>
      <c r="AT794" s="2193" t="s">
        <v>135</v>
      </c>
      <c r="AU794" s="2193" t="s">
        <v>134</v>
      </c>
      <c r="AY794" s="2056" t="s">
        <v>3285</v>
      </c>
      <c r="BE794" s="2194">
        <f>IF(N794="základní",J794,0)</f>
        <v>0</v>
      </c>
      <c r="BF794" s="2194">
        <f>IF(N794="snížená",J794,0)</f>
        <v>0</v>
      </c>
      <c r="BG794" s="2194">
        <f>IF(N794="zákl. přenesená",J794,0)</f>
        <v>0</v>
      </c>
      <c r="BH794" s="2194">
        <f>IF(N794="sníž. přenesená",J794,0)</f>
        <v>0</v>
      </c>
      <c r="BI794" s="2194">
        <f>IF(N794="nulová",J794,0)</f>
        <v>0</v>
      </c>
      <c r="BJ794" s="2056" t="s">
        <v>134</v>
      </c>
      <c r="BK794" s="2194">
        <f>ROUND(I794*H794,2)</f>
        <v>0</v>
      </c>
      <c r="BL794" s="2056" t="s">
        <v>2894</v>
      </c>
      <c r="BM794" s="2193" t="s">
        <v>11268</v>
      </c>
    </row>
    <row r="795" spans="2:65" s="2209" customFormat="1">
      <c r="B795" s="2210"/>
      <c r="D795" s="2197" t="s">
        <v>3303</v>
      </c>
      <c r="E795" s="2211" t="s">
        <v>3146</v>
      </c>
      <c r="F795" s="2212" t="s">
        <v>133</v>
      </c>
      <c r="H795" s="2213">
        <v>1</v>
      </c>
      <c r="L795" s="2210"/>
      <c r="M795" s="2214"/>
      <c r="T795" s="2215"/>
      <c r="AT795" s="2211" t="s">
        <v>3303</v>
      </c>
      <c r="AU795" s="2211" t="s">
        <v>134</v>
      </c>
      <c r="AV795" s="2209" t="s">
        <v>134</v>
      </c>
      <c r="AW795" s="2209" t="s">
        <v>3171</v>
      </c>
      <c r="AX795" s="2209" t="s">
        <v>3213</v>
      </c>
      <c r="AY795" s="2211" t="s">
        <v>3285</v>
      </c>
    </row>
    <row r="796" spans="2:65" s="2209" customFormat="1">
      <c r="B796" s="2210"/>
      <c r="D796" s="2197" t="s">
        <v>3303</v>
      </c>
      <c r="E796" s="2211" t="s">
        <v>3146</v>
      </c>
      <c r="F796" s="2212" t="s">
        <v>11269</v>
      </c>
      <c r="H796" s="2213">
        <v>6</v>
      </c>
      <c r="L796" s="2210"/>
      <c r="M796" s="2214"/>
      <c r="T796" s="2215"/>
      <c r="AT796" s="2211" t="s">
        <v>3303</v>
      </c>
      <c r="AU796" s="2211" t="s">
        <v>134</v>
      </c>
      <c r="AV796" s="2209" t="s">
        <v>134</v>
      </c>
      <c r="AW796" s="2209" t="s">
        <v>3171</v>
      </c>
      <c r="AX796" s="2209" t="s">
        <v>3213</v>
      </c>
      <c r="AY796" s="2211" t="s">
        <v>3285</v>
      </c>
    </row>
    <row r="797" spans="2:65" s="2209" customFormat="1">
      <c r="B797" s="2210"/>
      <c r="D797" s="2197" t="s">
        <v>3303</v>
      </c>
      <c r="E797" s="2211" t="s">
        <v>3146</v>
      </c>
      <c r="F797" s="2212" t="s">
        <v>133</v>
      </c>
      <c r="H797" s="2213">
        <v>1</v>
      </c>
      <c r="L797" s="2210"/>
      <c r="M797" s="2214"/>
      <c r="T797" s="2215"/>
      <c r="AT797" s="2211" t="s">
        <v>3303</v>
      </c>
      <c r="AU797" s="2211" t="s">
        <v>134</v>
      </c>
      <c r="AV797" s="2209" t="s">
        <v>134</v>
      </c>
      <c r="AW797" s="2209" t="s">
        <v>3171</v>
      </c>
      <c r="AX797" s="2209" t="s">
        <v>3213</v>
      </c>
      <c r="AY797" s="2211" t="s">
        <v>3285</v>
      </c>
    </row>
    <row r="798" spans="2:65" s="2209" customFormat="1">
      <c r="B798" s="2210"/>
      <c r="D798" s="2197" t="s">
        <v>3303</v>
      </c>
      <c r="E798" s="2211" t="s">
        <v>3146</v>
      </c>
      <c r="F798" s="2212" t="s">
        <v>133</v>
      </c>
      <c r="H798" s="2213">
        <v>1</v>
      </c>
      <c r="L798" s="2210"/>
      <c r="M798" s="2214"/>
      <c r="T798" s="2215"/>
      <c r="AT798" s="2211" t="s">
        <v>3303</v>
      </c>
      <c r="AU798" s="2211" t="s">
        <v>134</v>
      </c>
      <c r="AV798" s="2209" t="s">
        <v>134</v>
      </c>
      <c r="AW798" s="2209" t="s">
        <v>3171</v>
      </c>
      <c r="AX798" s="2209" t="s">
        <v>3213</v>
      </c>
      <c r="AY798" s="2211" t="s">
        <v>3285</v>
      </c>
    </row>
    <row r="799" spans="2:65" s="2216" customFormat="1">
      <c r="B799" s="2217"/>
      <c r="D799" s="2197" t="s">
        <v>3303</v>
      </c>
      <c r="E799" s="2218" t="s">
        <v>3146</v>
      </c>
      <c r="F799" s="2219" t="s">
        <v>3306</v>
      </c>
      <c r="H799" s="2220">
        <v>9</v>
      </c>
      <c r="L799" s="2217"/>
      <c r="M799" s="2221"/>
      <c r="T799" s="2222"/>
      <c r="AT799" s="2218" t="s">
        <v>3303</v>
      </c>
      <c r="AU799" s="2218" t="s">
        <v>134</v>
      </c>
      <c r="AV799" s="2216" t="s">
        <v>856</v>
      </c>
      <c r="AW799" s="2216" t="s">
        <v>3171</v>
      </c>
      <c r="AX799" s="2216" t="s">
        <v>133</v>
      </c>
      <c r="AY799" s="2218" t="s">
        <v>3285</v>
      </c>
    </row>
    <row r="800" spans="2:65" s="2070" customFormat="1" ht="24.2" customHeight="1">
      <c r="B800" s="2164"/>
      <c r="C800" s="4608" t="s">
        <v>4035</v>
      </c>
      <c r="D800" s="4608" t="s">
        <v>3286</v>
      </c>
      <c r="E800" s="4609" t="s">
        <v>11270</v>
      </c>
      <c r="F800" s="4610" t="s">
        <v>11271</v>
      </c>
      <c r="G800" s="4611" t="s">
        <v>155</v>
      </c>
      <c r="H800" s="4612">
        <v>7</v>
      </c>
      <c r="I800" s="4613"/>
      <c r="J800" s="4613">
        <f>ROUND(I800*H800,2)</f>
        <v>0</v>
      </c>
      <c r="K800" s="4610" t="s">
        <v>142</v>
      </c>
      <c r="L800" s="2071"/>
      <c r="M800" s="2190" t="s">
        <v>3146</v>
      </c>
      <c r="N800" s="2163" t="s">
        <v>3181</v>
      </c>
      <c r="O800" s="2191">
        <v>1.915</v>
      </c>
      <c r="P800" s="2191">
        <f>O800*H800</f>
        <v>13.405000000000001</v>
      </c>
      <c r="Q800" s="2191">
        <v>0</v>
      </c>
      <c r="R800" s="2191">
        <f>Q800*H800</f>
        <v>0</v>
      </c>
      <c r="S800" s="2191">
        <v>0</v>
      </c>
      <c r="T800" s="2192">
        <f>S800*H800</f>
        <v>0</v>
      </c>
      <c r="AR800" s="2193" t="s">
        <v>2894</v>
      </c>
      <c r="AT800" s="2193" t="s">
        <v>3286</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11272</v>
      </c>
    </row>
    <row r="801" spans="2:65" s="2209" customFormat="1">
      <c r="B801" s="2210"/>
      <c r="D801" s="2197" t="s">
        <v>3303</v>
      </c>
      <c r="E801" s="2211" t="s">
        <v>3146</v>
      </c>
      <c r="F801" s="2212" t="s">
        <v>11273</v>
      </c>
      <c r="H801" s="2213">
        <v>7</v>
      </c>
      <c r="L801" s="2210"/>
      <c r="M801" s="2214"/>
      <c r="T801" s="2215"/>
      <c r="AT801" s="2211" t="s">
        <v>3303</v>
      </c>
      <c r="AU801" s="2211" t="s">
        <v>134</v>
      </c>
      <c r="AV801" s="2209" t="s">
        <v>134</v>
      </c>
      <c r="AW801" s="2209" t="s">
        <v>3171</v>
      </c>
      <c r="AX801" s="2209" t="s">
        <v>3213</v>
      </c>
      <c r="AY801" s="2211" t="s">
        <v>3285</v>
      </c>
    </row>
    <row r="802" spans="2:65" s="2209" customFormat="1">
      <c r="B802" s="2210"/>
      <c r="D802" s="2197" t="s">
        <v>3303</v>
      </c>
      <c r="E802" s="2211" t="s">
        <v>3146</v>
      </c>
      <c r="F802" s="2212" t="s">
        <v>3213</v>
      </c>
      <c r="H802" s="2213">
        <v>0</v>
      </c>
      <c r="L802" s="2210"/>
      <c r="M802" s="2214"/>
      <c r="T802" s="2215"/>
      <c r="AT802" s="2211" t="s">
        <v>3303</v>
      </c>
      <c r="AU802" s="2211" t="s">
        <v>134</v>
      </c>
      <c r="AV802" s="2209" t="s">
        <v>134</v>
      </c>
      <c r="AW802" s="2209" t="s">
        <v>3171</v>
      </c>
      <c r="AX802" s="2209" t="s">
        <v>3213</v>
      </c>
      <c r="AY802" s="2211" t="s">
        <v>3285</v>
      </c>
    </row>
    <row r="803" spans="2:65" s="2209" customFormat="1">
      <c r="B803" s="2210"/>
      <c r="D803" s="2197" t="s">
        <v>3303</v>
      </c>
      <c r="E803" s="2211" t="s">
        <v>3146</v>
      </c>
      <c r="F803" s="2212" t="s">
        <v>3213</v>
      </c>
      <c r="H803" s="2213">
        <v>0</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2212" t="s">
        <v>3213</v>
      </c>
      <c r="H804" s="2213">
        <v>0</v>
      </c>
      <c r="L804" s="2210"/>
      <c r="M804" s="2214"/>
      <c r="T804" s="2215"/>
      <c r="AT804" s="2211" t="s">
        <v>3303</v>
      </c>
      <c r="AU804" s="2211" t="s">
        <v>134</v>
      </c>
      <c r="AV804" s="2209" t="s">
        <v>134</v>
      </c>
      <c r="AW804" s="2209" t="s">
        <v>3171</v>
      </c>
      <c r="AX804" s="2209" t="s">
        <v>3213</v>
      </c>
      <c r="AY804" s="2211" t="s">
        <v>3285</v>
      </c>
    </row>
    <row r="805" spans="2:65" s="2216" customFormat="1">
      <c r="B805" s="2217"/>
      <c r="D805" s="2197" t="s">
        <v>3303</v>
      </c>
      <c r="E805" s="2218" t="s">
        <v>3146</v>
      </c>
      <c r="F805" s="2219" t="s">
        <v>3306</v>
      </c>
      <c r="H805" s="2220">
        <v>7</v>
      </c>
      <c r="L805" s="2217"/>
      <c r="M805" s="2221"/>
      <c r="T805" s="2222"/>
      <c r="AT805" s="2218" t="s">
        <v>3303</v>
      </c>
      <c r="AU805" s="2218" t="s">
        <v>134</v>
      </c>
      <c r="AV805" s="2216" t="s">
        <v>856</v>
      </c>
      <c r="AW805" s="2216" t="s">
        <v>3171</v>
      </c>
      <c r="AX805" s="2216" t="s">
        <v>133</v>
      </c>
      <c r="AY805" s="2218" t="s">
        <v>3285</v>
      </c>
    </row>
    <row r="806" spans="2:65" s="2070" customFormat="1" ht="24.2" customHeight="1">
      <c r="B806" s="2164"/>
      <c r="C806" s="4614" t="s">
        <v>4036</v>
      </c>
      <c r="D806" s="4614" t="s">
        <v>135</v>
      </c>
      <c r="E806" s="4615" t="s">
        <v>11274</v>
      </c>
      <c r="F806" s="4616" t="s">
        <v>11275</v>
      </c>
      <c r="G806" s="4617" t="s">
        <v>155</v>
      </c>
      <c r="H806" s="4618">
        <v>7</v>
      </c>
      <c r="I806" s="4619"/>
      <c r="J806" s="4619">
        <f>ROUND(I806*H806,2)</f>
        <v>0</v>
      </c>
      <c r="K806" s="4616" t="s">
        <v>142</v>
      </c>
      <c r="L806" s="2223"/>
      <c r="M806" s="2224" t="s">
        <v>3146</v>
      </c>
      <c r="N806" s="2225" t="s">
        <v>3181</v>
      </c>
      <c r="O806" s="2191">
        <v>0</v>
      </c>
      <c r="P806" s="2191">
        <f>O806*H806</f>
        <v>0</v>
      </c>
      <c r="Q806" s="2191">
        <v>2.5999999999999999E-2</v>
      </c>
      <c r="R806" s="2191">
        <f>Q806*H806</f>
        <v>0.182</v>
      </c>
      <c r="S806" s="2191">
        <v>0</v>
      </c>
      <c r="T806" s="2192">
        <f>S806*H806</f>
        <v>0</v>
      </c>
      <c r="AR806" s="2193" t="s">
        <v>3389</v>
      </c>
      <c r="AT806" s="2193" t="s">
        <v>135</v>
      </c>
      <c r="AU806" s="2193" t="s">
        <v>134</v>
      </c>
      <c r="AY806" s="2056" t="s">
        <v>3285</v>
      </c>
      <c r="BE806" s="2194">
        <f>IF(N806="základní",J806,0)</f>
        <v>0</v>
      </c>
      <c r="BF806" s="2194">
        <f>IF(N806="snížená",J806,0)</f>
        <v>0</v>
      </c>
      <c r="BG806" s="2194">
        <f>IF(N806="zákl. přenesená",J806,0)</f>
        <v>0</v>
      </c>
      <c r="BH806" s="2194">
        <f>IF(N806="sníž. přenesená",J806,0)</f>
        <v>0</v>
      </c>
      <c r="BI806" s="2194">
        <f>IF(N806="nulová",J806,0)</f>
        <v>0</v>
      </c>
      <c r="BJ806" s="2056" t="s">
        <v>134</v>
      </c>
      <c r="BK806" s="2194">
        <f>ROUND(I806*H806,2)</f>
        <v>0</v>
      </c>
      <c r="BL806" s="2056" t="s">
        <v>2894</v>
      </c>
      <c r="BM806" s="2193" t="s">
        <v>11276</v>
      </c>
    </row>
    <row r="807" spans="2:65" s="2070" customFormat="1" ht="24.2" customHeight="1">
      <c r="B807" s="2164"/>
      <c r="C807" s="4608" t="s">
        <v>4037</v>
      </c>
      <c r="D807" s="4608" t="s">
        <v>3286</v>
      </c>
      <c r="E807" s="4609" t="s">
        <v>11277</v>
      </c>
      <c r="F807" s="4610" t="s">
        <v>11278</v>
      </c>
      <c r="G807" s="4611" t="s">
        <v>155</v>
      </c>
      <c r="H807" s="4612">
        <v>1</v>
      </c>
      <c r="I807" s="4613"/>
      <c r="J807" s="4613">
        <f>ROUND(I807*H807,2)</f>
        <v>0</v>
      </c>
      <c r="K807" s="4610" t="s">
        <v>142</v>
      </c>
      <c r="L807" s="2071"/>
      <c r="M807" s="2190" t="s">
        <v>3146</v>
      </c>
      <c r="N807" s="2163" t="s">
        <v>3181</v>
      </c>
      <c r="O807" s="2191">
        <v>2.04</v>
      </c>
      <c r="P807" s="2191">
        <f>O807*H807</f>
        <v>2.04</v>
      </c>
      <c r="Q807" s="2191">
        <v>0</v>
      </c>
      <c r="R807" s="2191">
        <f>Q807*H807</f>
        <v>0</v>
      </c>
      <c r="S807" s="2191">
        <v>0</v>
      </c>
      <c r="T807" s="2192">
        <f>S807*H807</f>
        <v>0</v>
      </c>
      <c r="AR807" s="2193" t="s">
        <v>2894</v>
      </c>
      <c r="AT807" s="2193" t="s">
        <v>3286</v>
      </c>
      <c r="AU807" s="2193" t="s">
        <v>134</v>
      </c>
      <c r="AY807" s="2056" t="s">
        <v>3285</v>
      </c>
      <c r="BE807" s="2194">
        <f>IF(N807="základní",J807,0)</f>
        <v>0</v>
      </c>
      <c r="BF807" s="2194">
        <f>IF(N807="snížená",J807,0)</f>
        <v>0</v>
      </c>
      <c r="BG807" s="2194">
        <f>IF(N807="zákl. přenesená",J807,0)</f>
        <v>0</v>
      </c>
      <c r="BH807" s="2194">
        <f>IF(N807="sníž. přenesená",J807,0)</f>
        <v>0</v>
      </c>
      <c r="BI807" s="2194">
        <f>IF(N807="nulová",J807,0)</f>
        <v>0</v>
      </c>
      <c r="BJ807" s="2056" t="s">
        <v>134</v>
      </c>
      <c r="BK807" s="2194">
        <f>ROUND(I807*H807,2)</f>
        <v>0</v>
      </c>
      <c r="BL807" s="2056" t="s">
        <v>2894</v>
      </c>
      <c r="BM807" s="2193" t="s">
        <v>11279</v>
      </c>
    </row>
    <row r="808" spans="2:65" s="2209" customFormat="1">
      <c r="B808" s="2210"/>
      <c r="D808" s="2197" t="s">
        <v>3303</v>
      </c>
      <c r="E808" s="2211" t="s">
        <v>3146</v>
      </c>
      <c r="F808" s="2212" t="s">
        <v>133</v>
      </c>
      <c r="H808" s="2213">
        <v>1</v>
      </c>
      <c r="L808" s="2210"/>
      <c r="M808" s="2214"/>
      <c r="T808" s="2215"/>
      <c r="AT808" s="2211" t="s">
        <v>3303</v>
      </c>
      <c r="AU808" s="2211" t="s">
        <v>134</v>
      </c>
      <c r="AV808" s="2209" t="s">
        <v>134</v>
      </c>
      <c r="AW808" s="2209" t="s">
        <v>3171</v>
      </c>
      <c r="AX808" s="2209" t="s">
        <v>3213</v>
      </c>
      <c r="AY808" s="2211" t="s">
        <v>3285</v>
      </c>
    </row>
    <row r="809" spans="2:65" s="2216" customFormat="1">
      <c r="B809" s="2217"/>
      <c r="D809" s="2197" t="s">
        <v>3303</v>
      </c>
      <c r="E809" s="2218" t="s">
        <v>3146</v>
      </c>
      <c r="F809" s="2219" t="s">
        <v>3306</v>
      </c>
      <c r="H809" s="2220">
        <v>1</v>
      </c>
      <c r="L809" s="2217"/>
      <c r="M809" s="2221"/>
      <c r="T809" s="2222"/>
      <c r="AT809" s="2218" t="s">
        <v>3303</v>
      </c>
      <c r="AU809" s="2218" t="s">
        <v>134</v>
      </c>
      <c r="AV809" s="2216" t="s">
        <v>856</v>
      </c>
      <c r="AW809" s="2216" t="s">
        <v>3171</v>
      </c>
      <c r="AX809" s="2216" t="s">
        <v>133</v>
      </c>
      <c r="AY809" s="2218" t="s">
        <v>3285</v>
      </c>
    </row>
    <row r="810" spans="2:65" s="2070" customFormat="1" ht="24.2" customHeight="1">
      <c r="B810" s="2164"/>
      <c r="C810" s="4614" t="s">
        <v>4040</v>
      </c>
      <c r="D810" s="4614" t="s">
        <v>135</v>
      </c>
      <c r="E810" s="4615" t="s">
        <v>11280</v>
      </c>
      <c r="F810" s="4616" t="s">
        <v>11281</v>
      </c>
      <c r="G810" s="4617" t="s">
        <v>155</v>
      </c>
      <c r="H810" s="4618">
        <v>1</v>
      </c>
      <c r="I810" s="4619"/>
      <c r="J810" s="4619">
        <f>ROUND(I810*H810,2)</f>
        <v>0</v>
      </c>
      <c r="K810" s="4616" t="s">
        <v>142</v>
      </c>
      <c r="L810" s="2223"/>
      <c r="M810" s="2224" t="s">
        <v>3146</v>
      </c>
      <c r="N810" s="2225" t="s">
        <v>3181</v>
      </c>
      <c r="O810" s="2191">
        <v>0</v>
      </c>
      <c r="P810" s="2191">
        <f>O810*H810</f>
        <v>0</v>
      </c>
      <c r="Q810" s="2191">
        <v>3.2000000000000001E-2</v>
      </c>
      <c r="R810" s="2191">
        <f>Q810*H810</f>
        <v>3.2000000000000001E-2</v>
      </c>
      <c r="S810" s="2191">
        <v>0</v>
      </c>
      <c r="T810" s="2192">
        <f>S810*H810</f>
        <v>0</v>
      </c>
      <c r="AR810" s="2193" t="s">
        <v>3389</v>
      </c>
      <c r="AT810" s="2193" t="s">
        <v>135</v>
      </c>
      <c r="AU810" s="2193" t="s">
        <v>134</v>
      </c>
      <c r="AY810" s="2056" t="s">
        <v>3285</v>
      </c>
      <c r="BE810" s="2194">
        <f>IF(N810="základní",J810,0)</f>
        <v>0</v>
      </c>
      <c r="BF810" s="2194">
        <f>IF(N810="snížená",J810,0)</f>
        <v>0</v>
      </c>
      <c r="BG810" s="2194">
        <f>IF(N810="zákl. přenesená",J810,0)</f>
        <v>0</v>
      </c>
      <c r="BH810" s="2194">
        <f>IF(N810="sníž. přenesená",J810,0)</f>
        <v>0</v>
      </c>
      <c r="BI810" s="2194">
        <f>IF(N810="nulová",J810,0)</f>
        <v>0</v>
      </c>
      <c r="BJ810" s="2056" t="s">
        <v>134</v>
      </c>
      <c r="BK810" s="2194">
        <f>ROUND(I810*H810,2)</f>
        <v>0</v>
      </c>
      <c r="BL810" s="2056" t="s">
        <v>2894</v>
      </c>
      <c r="BM810" s="2193" t="s">
        <v>11282</v>
      </c>
    </row>
    <row r="811" spans="2:65" s="2070" customFormat="1" ht="24.2" customHeight="1">
      <c r="B811" s="2164"/>
      <c r="C811" s="4608" t="s">
        <v>4045</v>
      </c>
      <c r="D811" s="4608" t="s">
        <v>3286</v>
      </c>
      <c r="E811" s="4609" t="s">
        <v>11283</v>
      </c>
      <c r="F811" s="4610" t="s">
        <v>11284</v>
      </c>
      <c r="G811" s="4611" t="s">
        <v>155</v>
      </c>
      <c r="H811" s="4612">
        <v>12</v>
      </c>
      <c r="I811" s="4613"/>
      <c r="J811" s="4613">
        <f>ROUND(I811*H811,2)</f>
        <v>0</v>
      </c>
      <c r="K811" s="4610" t="s">
        <v>142</v>
      </c>
      <c r="L811" s="2071"/>
      <c r="M811" s="2190" t="s">
        <v>3146</v>
      </c>
      <c r="N811" s="2163" t="s">
        <v>3181</v>
      </c>
      <c r="O811" s="2191">
        <v>2.859</v>
      </c>
      <c r="P811" s="2191">
        <f>O811*H811</f>
        <v>34.308</v>
      </c>
      <c r="Q811" s="2191">
        <v>0</v>
      </c>
      <c r="R811" s="2191">
        <f>Q811*H811</f>
        <v>0</v>
      </c>
      <c r="S811" s="2191">
        <v>0</v>
      </c>
      <c r="T811" s="2192">
        <f>S811*H811</f>
        <v>0</v>
      </c>
      <c r="AR811" s="2193" t="s">
        <v>2894</v>
      </c>
      <c r="AT811" s="2193" t="s">
        <v>3286</v>
      </c>
      <c r="AU811" s="2193" t="s">
        <v>134</v>
      </c>
      <c r="AY811" s="2056" t="s">
        <v>3285</v>
      </c>
      <c r="BE811" s="2194">
        <f>IF(N811="základní",J811,0)</f>
        <v>0</v>
      </c>
      <c r="BF811" s="2194">
        <f>IF(N811="snížená",J811,0)</f>
        <v>0</v>
      </c>
      <c r="BG811" s="2194">
        <f>IF(N811="zákl. přenesená",J811,0)</f>
        <v>0</v>
      </c>
      <c r="BH811" s="2194">
        <f>IF(N811="sníž. přenesená",J811,0)</f>
        <v>0</v>
      </c>
      <c r="BI811" s="2194">
        <f>IF(N811="nulová",J811,0)</f>
        <v>0</v>
      </c>
      <c r="BJ811" s="2056" t="s">
        <v>134</v>
      </c>
      <c r="BK811" s="2194">
        <f>ROUND(I811*H811,2)</f>
        <v>0</v>
      </c>
      <c r="BL811" s="2056" t="s">
        <v>2894</v>
      </c>
      <c r="BM811" s="2193" t="s">
        <v>11285</v>
      </c>
    </row>
    <row r="812" spans="2:65" s="2209" customFormat="1">
      <c r="B812" s="2210"/>
      <c r="D812" s="2197" t="s">
        <v>3303</v>
      </c>
      <c r="E812" s="2211" t="s">
        <v>3146</v>
      </c>
      <c r="F812" s="2212" t="s">
        <v>133</v>
      </c>
      <c r="H812" s="2213">
        <v>1</v>
      </c>
      <c r="L812" s="2210"/>
      <c r="M812" s="2214"/>
      <c r="T812" s="2215"/>
      <c r="AT812" s="2211" t="s">
        <v>3303</v>
      </c>
      <c r="AU812" s="2211" t="s">
        <v>134</v>
      </c>
      <c r="AV812" s="2209" t="s">
        <v>134</v>
      </c>
      <c r="AW812" s="2209" t="s">
        <v>3171</v>
      </c>
      <c r="AX812" s="2209" t="s">
        <v>3213</v>
      </c>
      <c r="AY812" s="2211" t="s">
        <v>3285</v>
      </c>
    </row>
    <row r="813" spans="2:65" s="2209" customFormat="1">
      <c r="B813" s="2210"/>
      <c r="D813" s="2197" t="s">
        <v>3303</v>
      </c>
      <c r="E813" s="2211" t="s">
        <v>3146</v>
      </c>
      <c r="F813" s="2212" t="s">
        <v>11286</v>
      </c>
      <c r="H813" s="2213">
        <v>3</v>
      </c>
      <c r="L813" s="2210"/>
      <c r="M813" s="2214"/>
      <c r="T813" s="2215"/>
      <c r="AT813" s="2211" t="s">
        <v>3303</v>
      </c>
      <c r="AU813" s="2211" t="s">
        <v>134</v>
      </c>
      <c r="AV813" s="2209" t="s">
        <v>134</v>
      </c>
      <c r="AW813" s="2209" t="s">
        <v>3171</v>
      </c>
      <c r="AX813" s="2209" t="s">
        <v>3213</v>
      </c>
      <c r="AY813" s="2211" t="s">
        <v>3285</v>
      </c>
    </row>
    <row r="814" spans="2:65" s="2209" customFormat="1">
      <c r="B814" s="2210"/>
      <c r="D814" s="2197" t="s">
        <v>3303</v>
      </c>
      <c r="E814" s="2211" t="s">
        <v>3146</v>
      </c>
      <c r="F814" s="2212" t="s">
        <v>11286</v>
      </c>
      <c r="H814" s="2213">
        <v>3</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133</v>
      </c>
      <c r="H815" s="2213">
        <v>1</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2212" t="s">
        <v>4819</v>
      </c>
      <c r="H816" s="2213">
        <v>4</v>
      </c>
      <c r="L816" s="2210"/>
      <c r="M816" s="2214"/>
      <c r="T816" s="2215"/>
      <c r="AT816" s="2211" t="s">
        <v>3303</v>
      </c>
      <c r="AU816" s="2211" t="s">
        <v>134</v>
      </c>
      <c r="AV816" s="2209" t="s">
        <v>134</v>
      </c>
      <c r="AW816" s="2209" t="s">
        <v>3171</v>
      </c>
      <c r="AX816" s="2209" t="s">
        <v>3213</v>
      </c>
      <c r="AY816" s="2211" t="s">
        <v>3285</v>
      </c>
    </row>
    <row r="817" spans="2:65" s="2216" customFormat="1">
      <c r="B817" s="2217"/>
      <c r="D817" s="2197" t="s">
        <v>3303</v>
      </c>
      <c r="E817" s="2218" t="s">
        <v>3146</v>
      </c>
      <c r="F817" s="2219" t="s">
        <v>3306</v>
      </c>
      <c r="H817" s="2220">
        <v>12</v>
      </c>
      <c r="L817" s="2217"/>
      <c r="M817" s="2221"/>
      <c r="T817" s="2222"/>
      <c r="AT817" s="2218" t="s">
        <v>3303</v>
      </c>
      <c r="AU817" s="2218" t="s">
        <v>134</v>
      </c>
      <c r="AV817" s="2216" t="s">
        <v>856</v>
      </c>
      <c r="AW817" s="2216" t="s">
        <v>3171</v>
      </c>
      <c r="AX817" s="2216" t="s">
        <v>133</v>
      </c>
      <c r="AY817" s="2218" t="s">
        <v>3285</v>
      </c>
    </row>
    <row r="818" spans="2:65" s="2070" customFormat="1" ht="33" customHeight="1">
      <c r="B818" s="2164"/>
      <c r="C818" s="4614" t="s">
        <v>4053</v>
      </c>
      <c r="D818" s="4614" t="s">
        <v>135</v>
      </c>
      <c r="E818" s="4615" t="s">
        <v>11287</v>
      </c>
      <c r="F818" s="4616" t="s">
        <v>11288</v>
      </c>
      <c r="G818" s="4617" t="s">
        <v>155</v>
      </c>
      <c r="H818" s="4618">
        <v>12</v>
      </c>
      <c r="I818" s="4619"/>
      <c r="J818" s="4619">
        <f>ROUND(I818*H818,2)</f>
        <v>0</v>
      </c>
      <c r="K818" s="4616" t="s">
        <v>142</v>
      </c>
      <c r="L818" s="2223"/>
      <c r="M818" s="2224" t="s">
        <v>3146</v>
      </c>
      <c r="N818" s="2225" t="s">
        <v>3181</v>
      </c>
      <c r="O818" s="2191">
        <v>0</v>
      </c>
      <c r="P818" s="2191">
        <f>O818*H818</f>
        <v>0</v>
      </c>
      <c r="Q818" s="2191">
        <v>1.95E-2</v>
      </c>
      <c r="R818" s="2191">
        <f>Q818*H818</f>
        <v>0.23399999999999999</v>
      </c>
      <c r="S818" s="2191">
        <v>0</v>
      </c>
      <c r="T818" s="2192">
        <f>S818*H818</f>
        <v>0</v>
      </c>
      <c r="AR818" s="2193" t="s">
        <v>3389</v>
      </c>
      <c r="AT818" s="2193" t="s">
        <v>135</v>
      </c>
      <c r="AU818" s="2193" t="s">
        <v>134</v>
      </c>
      <c r="AY818" s="2056" t="s">
        <v>3285</v>
      </c>
      <c r="BE818" s="2194">
        <f>IF(N818="základní",J818,0)</f>
        <v>0</v>
      </c>
      <c r="BF818" s="2194">
        <f>IF(N818="snížená",J818,0)</f>
        <v>0</v>
      </c>
      <c r="BG818" s="2194">
        <f>IF(N818="zákl. přenesená",J818,0)</f>
        <v>0</v>
      </c>
      <c r="BH818" s="2194">
        <f>IF(N818="sníž. přenesená",J818,0)</f>
        <v>0</v>
      </c>
      <c r="BI818" s="2194">
        <f>IF(N818="nulová",J818,0)</f>
        <v>0</v>
      </c>
      <c r="BJ818" s="2056" t="s">
        <v>134</v>
      </c>
      <c r="BK818" s="2194">
        <f>ROUND(I818*H818,2)</f>
        <v>0</v>
      </c>
      <c r="BL818" s="2056" t="s">
        <v>2894</v>
      </c>
      <c r="BM818" s="2193" t="s">
        <v>11289</v>
      </c>
    </row>
    <row r="819" spans="2:65" s="2070" customFormat="1" ht="24.2" customHeight="1">
      <c r="B819" s="2164"/>
      <c r="C819" s="4608" t="s">
        <v>4060</v>
      </c>
      <c r="D819" s="4608" t="s">
        <v>3286</v>
      </c>
      <c r="E819" s="4609" t="s">
        <v>11290</v>
      </c>
      <c r="F819" s="4610" t="s">
        <v>11291</v>
      </c>
      <c r="G819" s="4611" t="s">
        <v>155</v>
      </c>
      <c r="H819" s="4612">
        <v>51</v>
      </c>
      <c r="I819" s="4613"/>
      <c r="J819" s="4613">
        <f>ROUND(I819*H819,2)</f>
        <v>0</v>
      </c>
      <c r="K819" s="4610" t="s">
        <v>142</v>
      </c>
      <c r="L819" s="2071"/>
      <c r="M819" s="2190" t="s">
        <v>3146</v>
      </c>
      <c r="N819" s="2163" t="s">
        <v>3181</v>
      </c>
      <c r="O819" s="2191">
        <v>3.3039999999999998</v>
      </c>
      <c r="P819" s="2191">
        <f>O819*H819</f>
        <v>168.50399999999999</v>
      </c>
      <c r="Q819" s="2191">
        <v>0</v>
      </c>
      <c r="R819" s="2191">
        <f>Q819*H819</f>
        <v>0</v>
      </c>
      <c r="S819" s="2191">
        <v>0</v>
      </c>
      <c r="T819" s="2192">
        <f>S819*H819</f>
        <v>0</v>
      </c>
      <c r="AR819" s="2193" t="s">
        <v>2894</v>
      </c>
      <c r="AT819" s="2193" t="s">
        <v>3286</v>
      </c>
      <c r="AU819" s="2193" t="s">
        <v>134</v>
      </c>
      <c r="AY819" s="2056" t="s">
        <v>3285</v>
      </c>
      <c r="BE819" s="2194">
        <f>IF(N819="základní",J819,0)</f>
        <v>0</v>
      </c>
      <c r="BF819" s="2194">
        <f>IF(N819="snížená",J819,0)</f>
        <v>0</v>
      </c>
      <c r="BG819" s="2194">
        <f>IF(N819="zákl. přenesená",J819,0)</f>
        <v>0</v>
      </c>
      <c r="BH819" s="2194">
        <f>IF(N819="sníž. přenesená",J819,0)</f>
        <v>0</v>
      </c>
      <c r="BI819" s="2194">
        <f>IF(N819="nulová",J819,0)</f>
        <v>0</v>
      </c>
      <c r="BJ819" s="2056" t="s">
        <v>134</v>
      </c>
      <c r="BK819" s="2194">
        <f>ROUND(I819*H819,2)</f>
        <v>0</v>
      </c>
      <c r="BL819" s="2056" t="s">
        <v>2894</v>
      </c>
      <c r="BM819" s="2193" t="s">
        <v>11292</v>
      </c>
    </row>
    <row r="820" spans="2:65" s="2209" customFormat="1">
      <c r="B820" s="2210"/>
      <c r="D820" s="2197" t="s">
        <v>3303</v>
      </c>
      <c r="E820" s="2211" t="s">
        <v>3146</v>
      </c>
      <c r="F820" s="2212" t="s">
        <v>133</v>
      </c>
      <c r="H820" s="2213">
        <v>1</v>
      </c>
      <c r="L820" s="2210"/>
      <c r="M820" s="2214"/>
      <c r="T820" s="2215"/>
      <c r="AT820" s="2211" t="s">
        <v>3303</v>
      </c>
      <c r="AU820" s="2211" t="s">
        <v>134</v>
      </c>
      <c r="AV820" s="2209" t="s">
        <v>134</v>
      </c>
      <c r="AW820" s="2209" t="s">
        <v>3171</v>
      </c>
      <c r="AX820" s="2209" t="s">
        <v>3213</v>
      </c>
      <c r="AY820" s="2211" t="s">
        <v>3285</v>
      </c>
    </row>
    <row r="821" spans="2:65" s="2209" customFormat="1">
      <c r="B821" s="2210"/>
      <c r="D821" s="2197" t="s">
        <v>3303</v>
      </c>
      <c r="E821" s="2211" t="s">
        <v>3146</v>
      </c>
      <c r="F821" s="2212" t="s">
        <v>11293</v>
      </c>
      <c r="H821" s="2213">
        <v>12</v>
      </c>
      <c r="L821" s="2210"/>
      <c r="M821" s="2214"/>
      <c r="T821" s="2215"/>
      <c r="AT821" s="2211" t="s">
        <v>3303</v>
      </c>
      <c r="AU821" s="2211" t="s">
        <v>134</v>
      </c>
      <c r="AV821" s="2209" t="s">
        <v>134</v>
      </c>
      <c r="AW821" s="2209" t="s">
        <v>3171</v>
      </c>
      <c r="AX821" s="2209" t="s">
        <v>3213</v>
      </c>
      <c r="AY821" s="2211" t="s">
        <v>3285</v>
      </c>
    </row>
    <row r="822" spans="2:65" s="2209" customFormat="1">
      <c r="B822" s="2210"/>
      <c r="D822" s="2197" t="s">
        <v>3303</v>
      </c>
      <c r="E822" s="2211" t="s">
        <v>3146</v>
      </c>
      <c r="F822" s="2212" t="s">
        <v>11294</v>
      </c>
      <c r="H822" s="2213">
        <v>19</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11295</v>
      </c>
      <c r="H823" s="2213">
        <v>19</v>
      </c>
      <c r="L823" s="2210"/>
      <c r="M823" s="2214"/>
      <c r="T823" s="2215"/>
      <c r="AT823" s="2211" t="s">
        <v>3303</v>
      </c>
      <c r="AU823" s="2211" t="s">
        <v>134</v>
      </c>
      <c r="AV823" s="2209" t="s">
        <v>134</v>
      </c>
      <c r="AW823" s="2209" t="s">
        <v>3171</v>
      </c>
      <c r="AX823" s="2209" t="s">
        <v>3213</v>
      </c>
      <c r="AY823" s="2211" t="s">
        <v>3285</v>
      </c>
    </row>
    <row r="824" spans="2:65" s="2216" customFormat="1">
      <c r="B824" s="2217"/>
      <c r="D824" s="2197" t="s">
        <v>3303</v>
      </c>
      <c r="E824" s="2218" t="s">
        <v>3146</v>
      </c>
      <c r="F824" s="2219" t="s">
        <v>3306</v>
      </c>
      <c r="H824" s="2220">
        <v>51</v>
      </c>
      <c r="L824" s="2217"/>
      <c r="M824" s="2221"/>
      <c r="T824" s="2222"/>
      <c r="AT824" s="2218" t="s">
        <v>3303</v>
      </c>
      <c r="AU824" s="2218" t="s">
        <v>134</v>
      </c>
      <c r="AV824" s="2216" t="s">
        <v>856</v>
      </c>
      <c r="AW824" s="2216" t="s">
        <v>3171</v>
      </c>
      <c r="AX824" s="2216" t="s">
        <v>133</v>
      </c>
      <c r="AY824" s="2218" t="s">
        <v>3285</v>
      </c>
    </row>
    <row r="825" spans="2:65" s="2070" customFormat="1" ht="33" customHeight="1">
      <c r="B825" s="2164"/>
      <c r="C825" s="4614" t="s">
        <v>4067</v>
      </c>
      <c r="D825" s="4614" t="s">
        <v>135</v>
      </c>
      <c r="E825" s="4615" t="s">
        <v>11296</v>
      </c>
      <c r="F825" s="4616" t="s">
        <v>11297</v>
      </c>
      <c r="G825" s="4617" t="s">
        <v>155</v>
      </c>
      <c r="H825" s="4618">
        <v>51</v>
      </c>
      <c r="I825" s="4619"/>
      <c r="J825" s="4619">
        <f>ROUND(I825*H825,2)</f>
        <v>0</v>
      </c>
      <c r="K825" s="4616" t="s">
        <v>142</v>
      </c>
      <c r="L825" s="2223"/>
      <c r="M825" s="2224" t="s">
        <v>3146</v>
      </c>
      <c r="N825" s="2225" t="s">
        <v>3181</v>
      </c>
      <c r="O825" s="2191">
        <v>0</v>
      </c>
      <c r="P825" s="2191">
        <f>O825*H825</f>
        <v>0</v>
      </c>
      <c r="Q825" s="2191">
        <v>2.2499999999999999E-2</v>
      </c>
      <c r="R825" s="2191">
        <f>Q825*H825</f>
        <v>1.1475</v>
      </c>
      <c r="S825" s="2191">
        <v>0</v>
      </c>
      <c r="T825" s="2192">
        <f>S825*H825</f>
        <v>0</v>
      </c>
      <c r="AR825" s="2193" t="s">
        <v>3389</v>
      </c>
      <c r="AT825" s="2193" t="s">
        <v>135</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11298</v>
      </c>
    </row>
    <row r="826" spans="2:65" s="2070" customFormat="1" ht="24.2" customHeight="1">
      <c r="B826" s="2164"/>
      <c r="C826" s="4608" t="s">
        <v>4072</v>
      </c>
      <c r="D826" s="4608" t="s">
        <v>3286</v>
      </c>
      <c r="E826" s="4609" t="s">
        <v>11299</v>
      </c>
      <c r="F826" s="4610" t="s">
        <v>11300</v>
      </c>
      <c r="G826" s="4611" t="s">
        <v>155</v>
      </c>
      <c r="H826" s="4612">
        <v>2</v>
      </c>
      <c r="I826" s="4613"/>
      <c r="J826" s="4613">
        <f>ROUND(I826*H826,2)</f>
        <v>0</v>
      </c>
      <c r="K826" s="4610" t="s">
        <v>142</v>
      </c>
      <c r="L826" s="2071"/>
      <c r="M826" s="2190" t="s">
        <v>3146</v>
      </c>
      <c r="N826" s="2163" t="s">
        <v>3181</v>
      </c>
      <c r="O826" s="2191">
        <v>3.5270000000000001</v>
      </c>
      <c r="P826" s="2191">
        <f>O826*H826</f>
        <v>7.0540000000000003</v>
      </c>
      <c r="Q826" s="2191">
        <v>0</v>
      </c>
      <c r="R826" s="2191">
        <f>Q826*H826</f>
        <v>0</v>
      </c>
      <c r="S826" s="2191">
        <v>0</v>
      </c>
      <c r="T826" s="2192">
        <f>S826*H826</f>
        <v>0</v>
      </c>
      <c r="AR826" s="2193" t="s">
        <v>2894</v>
      </c>
      <c r="AT826" s="2193" t="s">
        <v>3286</v>
      </c>
      <c r="AU826" s="2193" t="s">
        <v>134</v>
      </c>
      <c r="AY826" s="2056" t="s">
        <v>3285</v>
      </c>
      <c r="BE826" s="2194">
        <f>IF(N826="základní",J826,0)</f>
        <v>0</v>
      </c>
      <c r="BF826" s="2194">
        <f>IF(N826="snížená",J826,0)</f>
        <v>0</v>
      </c>
      <c r="BG826" s="2194">
        <f>IF(N826="zákl. přenesená",J826,0)</f>
        <v>0</v>
      </c>
      <c r="BH826" s="2194">
        <f>IF(N826="sníž. přenesená",J826,0)</f>
        <v>0</v>
      </c>
      <c r="BI826" s="2194">
        <f>IF(N826="nulová",J826,0)</f>
        <v>0</v>
      </c>
      <c r="BJ826" s="2056" t="s">
        <v>134</v>
      </c>
      <c r="BK826" s="2194">
        <f>ROUND(I826*H826,2)</f>
        <v>0</v>
      </c>
      <c r="BL826" s="2056" t="s">
        <v>2894</v>
      </c>
      <c r="BM826" s="2193" t="s">
        <v>11301</v>
      </c>
    </row>
    <row r="827" spans="2:65" s="2209" customFormat="1">
      <c r="B827" s="2210"/>
      <c r="D827" s="2197" t="s">
        <v>3303</v>
      </c>
      <c r="E827" s="2211" t="s">
        <v>3146</v>
      </c>
      <c r="F827" s="2212" t="s">
        <v>134</v>
      </c>
      <c r="H827" s="2213">
        <v>2</v>
      </c>
      <c r="L827" s="2210"/>
      <c r="M827" s="2214"/>
      <c r="T827" s="2215"/>
      <c r="AT827" s="2211" t="s">
        <v>3303</v>
      </c>
      <c r="AU827" s="2211" t="s">
        <v>134</v>
      </c>
      <c r="AV827" s="2209" t="s">
        <v>134</v>
      </c>
      <c r="AW827" s="2209" t="s">
        <v>3171</v>
      </c>
      <c r="AX827" s="2209" t="s">
        <v>3213</v>
      </c>
      <c r="AY827" s="2211" t="s">
        <v>3285</v>
      </c>
    </row>
    <row r="828" spans="2:65" s="2216" customFormat="1">
      <c r="B828" s="2217"/>
      <c r="D828" s="2197" t="s">
        <v>3303</v>
      </c>
      <c r="E828" s="2218" t="s">
        <v>3146</v>
      </c>
      <c r="F828" s="2219" t="s">
        <v>3306</v>
      </c>
      <c r="H828" s="2220">
        <v>2</v>
      </c>
      <c r="L828" s="2217"/>
      <c r="M828" s="2221"/>
      <c r="T828" s="2222"/>
      <c r="AT828" s="2218" t="s">
        <v>3303</v>
      </c>
      <c r="AU828" s="2218" t="s">
        <v>134</v>
      </c>
      <c r="AV828" s="2216" t="s">
        <v>856</v>
      </c>
      <c r="AW828" s="2216" t="s">
        <v>3171</v>
      </c>
      <c r="AX828" s="2216" t="s">
        <v>133</v>
      </c>
      <c r="AY828" s="2218" t="s">
        <v>3285</v>
      </c>
    </row>
    <row r="829" spans="2:65" s="2070" customFormat="1" ht="33" customHeight="1">
      <c r="B829" s="2164"/>
      <c r="C829" s="4614" t="s">
        <v>4082</v>
      </c>
      <c r="D829" s="4614" t="s">
        <v>135</v>
      </c>
      <c r="E829" s="4615" t="s">
        <v>11302</v>
      </c>
      <c r="F829" s="4616" t="s">
        <v>11303</v>
      </c>
      <c r="G829" s="4617" t="s">
        <v>155</v>
      </c>
      <c r="H829" s="4618">
        <v>2</v>
      </c>
      <c r="I829" s="4619"/>
      <c r="J829" s="4619">
        <f>ROUND(I829*H829,2)</f>
        <v>0</v>
      </c>
      <c r="K829" s="4616" t="s">
        <v>142</v>
      </c>
      <c r="L829" s="2223"/>
      <c r="M829" s="2224" t="s">
        <v>3146</v>
      </c>
      <c r="N829" s="2225" t="s">
        <v>3181</v>
      </c>
      <c r="O829" s="2191">
        <v>0</v>
      </c>
      <c r="P829" s="2191">
        <f>O829*H829</f>
        <v>0</v>
      </c>
      <c r="Q829" s="2191">
        <v>0.04</v>
      </c>
      <c r="R829" s="2191">
        <f>Q829*H829</f>
        <v>0.08</v>
      </c>
      <c r="S829" s="2191">
        <v>0</v>
      </c>
      <c r="T829" s="2192">
        <f>S829*H829</f>
        <v>0</v>
      </c>
      <c r="AR829" s="2193" t="s">
        <v>3389</v>
      </c>
      <c r="AT829" s="2193" t="s">
        <v>135</v>
      </c>
      <c r="AU829" s="2193" t="s">
        <v>134</v>
      </c>
      <c r="AY829" s="2056" t="s">
        <v>3285</v>
      </c>
      <c r="BE829" s="2194">
        <f>IF(N829="základní",J829,0)</f>
        <v>0</v>
      </c>
      <c r="BF829" s="2194">
        <f>IF(N829="snížená",J829,0)</f>
        <v>0</v>
      </c>
      <c r="BG829" s="2194">
        <f>IF(N829="zákl. přenesená",J829,0)</f>
        <v>0</v>
      </c>
      <c r="BH829" s="2194">
        <f>IF(N829="sníž. přenesená",J829,0)</f>
        <v>0</v>
      </c>
      <c r="BI829" s="2194">
        <f>IF(N829="nulová",J829,0)</f>
        <v>0</v>
      </c>
      <c r="BJ829" s="2056" t="s">
        <v>134</v>
      </c>
      <c r="BK829" s="2194">
        <f>ROUND(I829*H829,2)</f>
        <v>0</v>
      </c>
      <c r="BL829" s="2056" t="s">
        <v>2894</v>
      </c>
      <c r="BM829" s="2193" t="s">
        <v>11304</v>
      </c>
    </row>
    <row r="830" spans="2:65" s="2070" customFormat="1" ht="33" customHeight="1">
      <c r="B830" s="2164"/>
      <c r="C830" s="4608" t="s">
        <v>4087</v>
      </c>
      <c r="D830" s="4608" t="s">
        <v>3286</v>
      </c>
      <c r="E830" s="4609" t="s">
        <v>11305</v>
      </c>
      <c r="F830" s="4610" t="s">
        <v>11306</v>
      </c>
      <c r="G830" s="4611" t="s">
        <v>155</v>
      </c>
      <c r="H830" s="4612">
        <v>47</v>
      </c>
      <c r="I830" s="4613"/>
      <c r="J830" s="4613">
        <f>ROUND(I830*H830,2)</f>
        <v>0</v>
      </c>
      <c r="K830" s="4610" t="s">
        <v>142</v>
      </c>
      <c r="L830" s="2071"/>
      <c r="M830" s="2190" t="s">
        <v>3146</v>
      </c>
      <c r="N830" s="2163" t="s">
        <v>3181</v>
      </c>
      <c r="O830" s="2191">
        <v>3.1659999999999999</v>
      </c>
      <c r="P830" s="2191">
        <f>O830*H830</f>
        <v>148.80199999999999</v>
      </c>
      <c r="Q830" s="2191">
        <v>0</v>
      </c>
      <c r="R830" s="2191">
        <f>Q830*H830</f>
        <v>0</v>
      </c>
      <c r="S830" s="2191">
        <v>0</v>
      </c>
      <c r="T830" s="2192">
        <f>S830*H830</f>
        <v>0</v>
      </c>
      <c r="AR830" s="2193" t="s">
        <v>2894</v>
      </c>
      <c r="AT830" s="2193" t="s">
        <v>3286</v>
      </c>
      <c r="AU830" s="2193" t="s">
        <v>134</v>
      </c>
      <c r="AY830" s="2056" t="s">
        <v>3285</v>
      </c>
      <c r="BE830" s="2194">
        <f>IF(N830="základní",J830,0)</f>
        <v>0</v>
      </c>
      <c r="BF830" s="2194">
        <f>IF(N830="snížená",J830,0)</f>
        <v>0</v>
      </c>
      <c r="BG830" s="2194">
        <f>IF(N830="zákl. přenesená",J830,0)</f>
        <v>0</v>
      </c>
      <c r="BH830" s="2194">
        <f>IF(N830="sníž. přenesená",J830,0)</f>
        <v>0</v>
      </c>
      <c r="BI830" s="2194">
        <f>IF(N830="nulová",J830,0)</f>
        <v>0</v>
      </c>
      <c r="BJ830" s="2056" t="s">
        <v>134</v>
      </c>
      <c r="BK830" s="2194">
        <f>ROUND(I830*H830,2)</f>
        <v>0</v>
      </c>
      <c r="BL830" s="2056" t="s">
        <v>2894</v>
      </c>
      <c r="BM830" s="2193" t="s">
        <v>11307</v>
      </c>
    </row>
    <row r="831" spans="2:65" s="2209" customFormat="1">
      <c r="B831" s="2210"/>
      <c r="D831" s="2197" t="s">
        <v>3303</v>
      </c>
      <c r="E831" s="2211" t="s">
        <v>3146</v>
      </c>
      <c r="F831" s="2212" t="s">
        <v>11308</v>
      </c>
      <c r="H831" s="2213">
        <v>19</v>
      </c>
      <c r="L831" s="2210"/>
      <c r="M831" s="2214"/>
      <c r="T831" s="2215"/>
      <c r="AT831" s="2211" t="s">
        <v>3303</v>
      </c>
      <c r="AU831" s="2211" t="s">
        <v>134</v>
      </c>
      <c r="AV831" s="2209" t="s">
        <v>134</v>
      </c>
      <c r="AW831" s="2209" t="s">
        <v>3171</v>
      </c>
      <c r="AX831" s="2209" t="s">
        <v>3213</v>
      </c>
      <c r="AY831" s="2211" t="s">
        <v>3285</v>
      </c>
    </row>
    <row r="832" spans="2:65" s="2209" customFormat="1">
      <c r="B832" s="2210"/>
      <c r="D832" s="2197" t="s">
        <v>3303</v>
      </c>
      <c r="E832" s="2211" t="s">
        <v>3146</v>
      </c>
      <c r="F832" s="2212" t="s">
        <v>11309</v>
      </c>
      <c r="H832" s="2213">
        <v>28</v>
      </c>
      <c r="L832" s="2210"/>
      <c r="M832" s="2214"/>
      <c r="T832" s="2215"/>
      <c r="AT832" s="2211" t="s">
        <v>3303</v>
      </c>
      <c r="AU832" s="2211" t="s">
        <v>134</v>
      </c>
      <c r="AV832" s="2209" t="s">
        <v>134</v>
      </c>
      <c r="AW832" s="2209" t="s">
        <v>3171</v>
      </c>
      <c r="AX832" s="2209" t="s">
        <v>3213</v>
      </c>
      <c r="AY832" s="2211" t="s">
        <v>3285</v>
      </c>
    </row>
    <row r="833" spans="2:65" s="2216" customFormat="1">
      <c r="B833" s="2217"/>
      <c r="D833" s="2197" t="s">
        <v>3303</v>
      </c>
      <c r="E833" s="2218" t="s">
        <v>3146</v>
      </c>
      <c r="F833" s="2219" t="s">
        <v>3306</v>
      </c>
      <c r="H833" s="2220">
        <v>47</v>
      </c>
      <c r="L833" s="2217"/>
      <c r="M833" s="2221"/>
      <c r="T833" s="2222"/>
      <c r="AT833" s="2218" t="s">
        <v>3303</v>
      </c>
      <c r="AU833" s="2218" t="s">
        <v>134</v>
      </c>
      <c r="AV833" s="2216" t="s">
        <v>856</v>
      </c>
      <c r="AW833" s="2216" t="s">
        <v>3171</v>
      </c>
      <c r="AX833" s="2216" t="s">
        <v>133</v>
      </c>
      <c r="AY833" s="2218" t="s">
        <v>3285</v>
      </c>
    </row>
    <row r="834" spans="2:65" s="2070" customFormat="1" ht="24.2" customHeight="1">
      <c r="B834" s="2164"/>
      <c r="C834" s="4614" t="s">
        <v>4094</v>
      </c>
      <c r="D834" s="4614" t="s">
        <v>135</v>
      </c>
      <c r="E834" s="4615" t="s">
        <v>11253</v>
      </c>
      <c r="F834" s="4616" t="s">
        <v>11254</v>
      </c>
      <c r="G834" s="4617" t="s">
        <v>155</v>
      </c>
      <c r="H834" s="4618">
        <v>11</v>
      </c>
      <c r="I834" s="4619"/>
      <c r="J834" s="4619">
        <f>ROUND(I834*H834,2)</f>
        <v>0</v>
      </c>
      <c r="K834" s="4616" t="s">
        <v>142</v>
      </c>
      <c r="L834" s="2223"/>
      <c r="M834" s="2224" t="s">
        <v>3146</v>
      </c>
      <c r="N834" s="2225" t="s">
        <v>3181</v>
      </c>
      <c r="O834" s="2191">
        <v>0</v>
      </c>
      <c r="P834" s="2191">
        <f>O834*H834</f>
        <v>0</v>
      </c>
      <c r="Q834" s="2191">
        <v>1.6E-2</v>
      </c>
      <c r="R834" s="2191">
        <f>Q834*H834</f>
        <v>0.17599999999999999</v>
      </c>
      <c r="S834" s="2191">
        <v>0</v>
      </c>
      <c r="T834" s="2192">
        <f>S834*H834</f>
        <v>0</v>
      </c>
      <c r="AR834" s="2193" t="s">
        <v>3389</v>
      </c>
      <c r="AT834" s="2193" t="s">
        <v>135</v>
      </c>
      <c r="AU834" s="2193" t="s">
        <v>134</v>
      </c>
      <c r="AY834" s="2056" t="s">
        <v>3285</v>
      </c>
      <c r="BE834" s="2194">
        <f>IF(N834="základní",J834,0)</f>
        <v>0</v>
      </c>
      <c r="BF834" s="2194">
        <f>IF(N834="snížená",J834,0)</f>
        <v>0</v>
      </c>
      <c r="BG834" s="2194">
        <f>IF(N834="zákl. přenesená",J834,0)</f>
        <v>0</v>
      </c>
      <c r="BH834" s="2194">
        <f>IF(N834="sníž. přenesená",J834,0)</f>
        <v>0</v>
      </c>
      <c r="BI834" s="2194">
        <f>IF(N834="nulová",J834,0)</f>
        <v>0</v>
      </c>
      <c r="BJ834" s="2056" t="s">
        <v>134</v>
      </c>
      <c r="BK834" s="2194">
        <f>ROUND(I834*H834,2)</f>
        <v>0</v>
      </c>
      <c r="BL834" s="2056" t="s">
        <v>2894</v>
      </c>
      <c r="BM834" s="2193" t="s">
        <v>11310</v>
      </c>
    </row>
    <row r="835" spans="2:65" s="2209" customFormat="1">
      <c r="B835" s="2210"/>
      <c r="D835" s="2197" t="s">
        <v>3303</v>
      </c>
      <c r="E835" s="2211" t="s">
        <v>3146</v>
      </c>
      <c r="F835" s="2212" t="s">
        <v>5098</v>
      </c>
      <c r="H835" s="2213">
        <v>11</v>
      </c>
      <c r="L835" s="2210"/>
      <c r="M835" s="2214"/>
      <c r="T835" s="2215"/>
      <c r="AT835" s="2211" t="s">
        <v>3303</v>
      </c>
      <c r="AU835" s="2211" t="s">
        <v>134</v>
      </c>
      <c r="AV835" s="2209" t="s">
        <v>134</v>
      </c>
      <c r="AW835" s="2209" t="s">
        <v>3171</v>
      </c>
      <c r="AX835" s="2209" t="s">
        <v>133</v>
      </c>
      <c r="AY835" s="2211" t="s">
        <v>3285</v>
      </c>
    </row>
    <row r="836" spans="2:65" s="2070" customFormat="1" ht="24.2" customHeight="1">
      <c r="B836" s="2164"/>
      <c r="C836" s="4614" t="s">
        <v>4098</v>
      </c>
      <c r="D836" s="4614" t="s">
        <v>135</v>
      </c>
      <c r="E836" s="4615" t="s">
        <v>11311</v>
      </c>
      <c r="F836" s="4616" t="s">
        <v>11312</v>
      </c>
      <c r="G836" s="4617" t="s">
        <v>155</v>
      </c>
      <c r="H836" s="4618">
        <v>1</v>
      </c>
      <c r="I836" s="4619"/>
      <c r="J836" s="4619">
        <f>ROUND(I836*H836,2)</f>
        <v>0</v>
      </c>
      <c r="K836" s="4616" t="s">
        <v>142</v>
      </c>
      <c r="L836" s="2223"/>
      <c r="M836" s="2224" t="s">
        <v>3146</v>
      </c>
      <c r="N836" s="2225" t="s">
        <v>3181</v>
      </c>
      <c r="O836" s="2191">
        <v>0</v>
      </c>
      <c r="P836" s="2191">
        <f>O836*H836</f>
        <v>0</v>
      </c>
      <c r="Q836" s="2191">
        <v>1.4500000000000001E-2</v>
      </c>
      <c r="R836" s="2191">
        <f>Q836*H836</f>
        <v>1.4500000000000001E-2</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11313</v>
      </c>
    </row>
    <row r="837" spans="2:65" s="2070" customFormat="1" ht="24.2" customHeight="1">
      <c r="B837" s="2164"/>
      <c r="C837" s="4614" t="s">
        <v>4103</v>
      </c>
      <c r="D837" s="4614" t="s">
        <v>135</v>
      </c>
      <c r="E837" s="4615" t="s">
        <v>11260</v>
      </c>
      <c r="F837" s="4616" t="s">
        <v>11261</v>
      </c>
      <c r="G837" s="4617" t="s">
        <v>155</v>
      </c>
      <c r="H837" s="4618">
        <v>35</v>
      </c>
      <c r="I837" s="4619"/>
      <c r="J837" s="4619">
        <f>ROUND(I837*H837,2)</f>
        <v>0</v>
      </c>
      <c r="K837" s="4616" t="s">
        <v>142</v>
      </c>
      <c r="L837" s="2223"/>
      <c r="M837" s="2224" t="s">
        <v>3146</v>
      </c>
      <c r="N837" s="2225" t="s">
        <v>3181</v>
      </c>
      <c r="O837" s="2191">
        <v>0</v>
      </c>
      <c r="P837" s="2191">
        <f>O837*H837</f>
        <v>0</v>
      </c>
      <c r="Q837" s="2191">
        <v>1.7000000000000001E-2</v>
      </c>
      <c r="R837" s="2191">
        <f>Q837*H837</f>
        <v>0.59500000000000008</v>
      </c>
      <c r="S837" s="2191">
        <v>0</v>
      </c>
      <c r="T837" s="2192">
        <f>S837*H837</f>
        <v>0</v>
      </c>
      <c r="AR837" s="2193" t="s">
        <v>3389</v>
      </c>
      <c r="AT837" s="2193" t="s">
        <v>135</v>
      </c>
      <c r="AU837" s="2193" t="s">
        <v>134</v>
      </c>
      <c r="AY837" s="2056" t="s">
        <v>3285</v>
      </c>
      <c r="BE837" s="2194">
        <f>IF(N837="základní",J837,0)</f>
        <v>0</v>
      </c>
      <c r="BF837" s="2194">
        <f>IF(N837="snížená",J837,0)</f>
        <v>0</v>
      </c>
      <c r="BG837" s="2194">
        <f>IF(N837="zákl. přenesená",J837,0)</f>
        <v>0</v>
      </c>
      <c r="BH837" s="2194">
        <f>IF(N837="sníž. přenesená",J837,0)</f>
        <v>0</v>
      </c>
      <c r="BI837" s="2194">
        <f>IF(N837="nulová",J837,0)</f>
        <v>0</v>
      </c>
      <c r="BJ837" s="2056" t="s">
        <v>134</v>
      </c>
      <c r="BK837" s="2194">
        <f>ROUND(I837*H837,2)</f>
        <v>0</v>
      </c>
      <c r="BL837" s="2056" t="s">
        <v>2894</v>
      </c>
      <c r="BM837" s="2193" t="s">
        <v>11314</v>
      </c>
    </row>
    <row r="838" spans="2:65" s="2209" customFormat="1">
      <c r="B838" s="2210"/>
      <c r="D838" s="2197" t="s">
        <v>3303</v>
      </c>
      <c r="E838" s="2211" t="s">
        <v>3146</v>
      </c>
      <c r="F838" s="2212" t="s">
        <v>11315</v>
      </c>
      <c r="H838" s="2213">
        <v>35</v>
      </c>
      <c r="L838" s="2210"/>
      <c r="M838" s="2214"/>
      <c r="T838" s="2215"/>
      <c r="AT838" s="2211" t="s">
        <v>3303</v>
      </c>
      <c r="AU838" s="2211" t="s">
        <v>134</v>
      </c>
      <c r="AV838" s="2209" t="s">
        <v>134</v>
      </c>
      <c r="AW838" s="2209" t="s">
        <v>3171</v>
      </c>
      <c r="AX838" s="2209" t="s">
        <v>133</v>
      </c>
      <c r="AY838" s="2211" t="s">
        <v>3285</v>
      </c>
    </row>
    <row r="839" spans="2:65" s="2070" customFormat="1" ht="16.5" customHeight="1">
      <c r="B839" s="2164"/>
      <c r="C839" s="4608" t="s">
        <v>4107</v>
      </c>
      <c r="D839" s="4608" t="s">
        <v>3286</v>
      </c>
      <c r="E839" s="4609" t="s">
        <v>11316</v>
      </c>
      <c r="F839" s="4610" t="s">
        <v>11317</v>
      </c>
      <c r="G839" s="4611" t="s">
        <v>155</v>
      </c>
      <c r="H839" s="4612">
        <v>121</v>
      </c>
      <c r="I839" s="4613"/>
      <c r="J839" s="4613">
        <f>ROUND(I839*H839,2)</f>
        <v>0</v>
      </c>
      <c r="K839" s="4610" t="s">
        <v>3146</v>
      </c>
      <c r="L839" s="2071"/>
      <c r="M839" s="2190" t="s">
        <v>3146</v>
      </c>
      <c r="N839" s="2163" t="s">
        <v>3181</v>
      </c>
      <c r="O839" s="2191">
        <v>0.26</v>
      </c>
      <c r="P839" s="2191">
        <f>O839*H839</f>
        <v>31.46</v>
      </c>
      <c r="Q839" s="2191">
        <v>0</v>
      </c>
      <c r="R839" s="2191">
        <f>Q839*H839</f>
        <v>0</v>
      </c>
      <c r="S839" s="2191">
        <v>0</v>
      </c>
      <c r="T839" s="2192">
        <f>S839*H839</f>
        <v>0</v>
      </c>
      <c r="AR839" s="2193" t="s">
        <v>2894</v>
      </c>
      <c r="AT839" s="2193" t="s">
        <v>3286</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11318</v>
      </c>
    </row>
    <row r="840" spans="2:65" s="2070" customFormat="1" ht="16.5" customHeight="1">
      <c r="B840" s="2164"/>
      <c r="C840" s="4608" t="s">
        <v>4113</v>
      </c>
      <c r="D840" s="4608" t="s">
        <v>3286</v>
      </c>
      <c r="E840" s="4609" t="s">
        <v>11319</v>
      </c>
      <c r="F840" s="4610" t="s">
        <v>11320</v>
      </c>
      <c r="G840" s="4611" t="s">
        <v>155</v>
      </c>
      <c r="H840" s="4612">
        <v>1079.338</v>
      </c>
      <c r="I840" s="4613"/>
      <c r="J840" s="4613">
        <f>ROUND(I840*H840,2)</f>
        <v>0</v>
      </c>
      <c r="K840" s="4610" t="s">
        <v>142</v>
      </c>
      <c r="L840" s="2071"/>
      <c r="M840" s="2190" t="s">
        <v>3146</v>
      </c>
      <c r="N840" s="2163" t="s">
        <v>3181</v>
      </c>
      <c r="O840" s="2191">
        <v>0.26</v>
      </c>
      <c r="P840" s="2191">
        <f>O840*H840</f>
        <v>280.62788</v>
      </c>
      <c r="Q840" s="2191">
        <v>0</v>
      </c>
      <c r="R840" s="2191">
        <f>Q840*H840</f>
        <v>0</v>
      </c>
      <c r="S840" s="2191">
        <v>0</v>
      </c>
      <c r="T840" s="2192">
        <f>S840*H840</f>
        <v>0</v>
      </c>
      <c r="AR840" s="2193" t="s">
        <v>2894</v>
      </c>
      <c r="AT840" s="2193" t="s">
        <v>3286</v>
      </c>
      <c r="AU840" s="2193" t="s">
        <v>134</v>
      </c>
      <c r="AY840" s="2056" t="s">
        <v>3285</v>
      </c>
      <c r="BE840" s="2194">
        <f>IF(N840="základní",J840,0)</f>
        <v>0</v>
      </c>
      <c r="BF840" s="2194">
        <f>IF(N840="snížená",J840,0)</f>
        <v>0</v>
      </c>
      <c r="BG840" s="2194">
        <f>IF(N840="zákl. přenesená",J840,0)</f>
        <v>0</v>
      </c>
      <c r="BH840" s="2194">
        <f>IF(N840="sníž. přenesená",J840,0)</f>
        <v>0</v>
      </c>
      <c r="BI840" s="2194">
        <f>IF(N840="nulová",J840,0)</f>
        <v>0</v>
      </c>
      <c r="BJ840" s="2056" t="s">
        <v>134</v>
      </c>
      <c r="BK840" s="2194">
        <f>ROUND(I840*H840,2)</f>
        <v>0</v>
      </c>
      <c r="BL840" s="2056" t="s">
        <v>2894</v>
      </c>
      <c r="BM840" s="2193" t="s">
        <v>11321</v>
      </c>
    </row>
    <row r="841" spans="2:65" s="2070" customFormat="1" ht="16.5" customHeight="1">
      <c r="B841" s="2164"/>
      <c r="C841" s="4614" t="s">
        <v>4119</v>
      </c>
      <c r="D841" s="4614" t="s">
        <v>135</v>
      </c>
      <c r="E841" s="4615" t="s">
        <v>11322</v>
      </c>
      <c r="F841" s="4616" t="s">
        <v>11323</v>
      </c>
      <c r="G841" s="4617" t="s">
        <v>611</v>
      </c>
      <c r="H841" s="4618">
        <v>79.230999999999995</v>
      </c>
      <c r="I841" s="4619"/>
      <c r="J841" s="4619">
        <f>ROUND(I841*H841,2)</f>
        <v>0</v>
      </c>
      <c r="K841" s="4616" t="s">
        <v>3146</v>
      </c>
      <c r="L841" s="2223"/>
      <c r="M841" s="2224" t="s">
        <v>3146</v>
      </c>
      <c r="N841" s="2225" t="s">
        <v>3181</v>
      </c>
      <c r="O841" s="2191">
        <v>0</v>
      </c>
      <c r="P841" s="2191">
        <f>O841*H841</f>
        <v>0</v>
      </c>
      <c r="Q841" s="2191">
        <v>5.9999999999999995E-4</v>
      </c>
      <c r="R841" s="2191">
        <f>Q841*H841</f>
        <v>4.7538599999999993E-2</v>
      </c>
      <c r="S841" s="2191">
        <v>0</v>
      </c>
      <c r="T841" s="2192">
        <f>S841*H841</f>
        <v>0</v>
      </c>
      <c r="AR841" s="2193" t="s">
        <v>3389</v>
      </c>
      <c r="AT841" s="2193" t="s">
        <v>135</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11324</v>
      </c>
    </row>
    <row r="842" spans="2:65" s="2209" customFormat="1" ht="22.5">
      <c r="B842" s="2210"/>
      <c r="D842" s="2197" t="s">
        <v>3303</v>
      </c>
      <c r="E842" s="2211" t="s">
        <v>3146</v>
      </c>
      <c r="F842" s="2212" t="s">
        <v>11325</v>
      </c>
      <c r="H842" s="2213">
        <v>3.86</v>
      </c>
      <c r="L842" s="2210"/>
      <c r="M842" s="2214"/>
      <c r="T842" s="2215"/>
      <c r="AT842" s="2211" t="s">
        <v>3303</v>
      </c>
      <c r="AU842" s="2211" t="s">
        <v>134</v>
      </c>
      <c r="AV842" s="2209" t="s">
        <v>134</v>
      </c>
      <c r="AW842" s="2209" t="s">
        <v>3171</v>
      </c>
      <c r="AX842" s="2209" t="s">
        <v>3213</v>
      </c>
      <c r="AY842" s="2211" t="s">
        <v>3285</v>
      </c>
    </row>
    <row r="843" spans="2:65" s="2209" customFormat="1" ht="33.75">
      <c r="B843" s="2210"/>
      <c r="D843" s="2197" t="s">
        <v>3303</v>
      </c>
      <c r="E843" s="2211" t="s">
        <v>3146</v>
      </c>
      <c r="F843" s="2212" t="s">
        <v>11326</v>
      </c>
      <c r="H843" s="2213">
        <v>9.6</v>
      </c>
      <c r="L843" s="2210"/>
      <c r="M843" s="2214"/>
      <c r="T843" s="2215"/>
      <c r="AT843" s="2211" t="s">
        <v>3303</v>
      </c>
      <c r="AU843" s="2211" t="s">
        <v>134</v>
      </c>
      <c r="AV843" s="2209" t="s">
        <v>134</v>
      </c>
      <c r="AW843" s="2209" t="s">
        <v>3171</v>
      </c>
      <c r="AX843" s="2209" t="s">
        <v>3213</v>
      </c>
      <c r="AY843" s="2211" t="s">
        <v>3285</v>
      </c>
    </row>
    <row r="844" spans="2:65" s="2209" customFormat="1">
      <c r="B844" s="2210"/>
      <c r="D844" s="2197" t="s">
        <v>3303</v>
      </c>
      <c r="E844" s="2211" t="s">
        <v>3146</v>
      </c>
      <c r="F844" s="2212" t="s">
        <v>11327</v>
      </c>
      <c r="H844" s="2213">
        <v>2</v>
      </c>
      <c r="L844" s="2210"/>
      <c r="M844" s="2214"/>
      <c r="T844" s="2215"/>
      <c r="AT844" s="2211" t="s">
        <v>3303</v>
      </c>
      <c r="AU844" s="2211" t="s">
        <v>134</v>
      </c>
      <c r="AV844" s="2209" t="s">
        <v>134</v>
      </c>
      <c r="AW844" s="2209" t="s">
        <v>3171</v>
      </c>
      <c r="AX844" s="2209" t="s">
        <v>3213</v>
      </c>
      <c r="AY844" s="2211" t="s">
        <v>3285</v>
      </c>
    </row>
    <row r="845" spans="2:65" s="2209" customFormat="1" ht="33.75">
      <c r="B845" s="2210"/>
      <c r="D845" s="2197" t="s">
        <v>3303</v>
      </c>
      <c r="E845" s="2211" t="s">
        <v>3146</v>
      </c>
      <c r="F845" s="2212" t="s">
        <v>11328</v>
      </c>
      <c r="H845" s="2213">
        <v>11.848000000000001</v>
      </c>
      <c r="L845" s="2210"/>
      <c r="M845" s="2214"/>
      <c r="T845" s="2215"/>
      <c r="AT845" s="2211" t="s">
        <v>3303</v>
      </c>
      <c r="AU845" s="2211" t="s">
        <v>134</v>
      </c>
      <c r="AV845" s="2209" t="s">
        <v>134</v>
      </c>
      <c r="AW845" s="2209" t="s">
        <v>3171</v>
      </c>
      <c r="AX845" s="2209" t="s">
        <v>3213</v>
      </c>
      <c r="AY845" s="2211" t="s">
        <v>3285</v>
      </c>
    </row>
    <row r="846" spans="2:65" s="2209" customFormat="1" ht="22.5">
      <c r="B846" s="2210"/>
      <c r="D846" s="2197" t="s">
        <v>3303</v>
      </c>
      <c r="E846" s="2211" t="s">
        <v>3146</v>
      </c>
      <c r="F846" s="2212" t="s">
        <v>11329</v>
      </c>
      <c r="H846" s="2213">
        <v>21.6</v>
      </c>
      <c r="L846" s="2210"/>
      <c r="M846" s="2214"/>
      <c r="T846" s="2215"/>
      <c r="AT846" s="2211" t="s">
        <v>3303</v>
      </c>
      <c r="AU846" s="2211" t="s">
        <v>134</v>
      </c>
      <c r="AV846" s="2209" t="s">
        <v>134</v>
      </c>
      <c r="AW846" s="2209" t="s">
        <v>3171</v>
      </c>
      <c r="AX846" s="2209" t="s">
        <v>3213</v>
      </c>
      <c r="AY846" s="2211" t="s">
        <v>3285</v>
      </c>
    </row>
    <row r="847" spans="2:65" s="2209" customFormat="1" ht="22.5">
      <c r="B847" s="2210"/>
      <c r="D847" s="2197" t="s">
        <v>3303</v>
      </c>
      <c r="E847" s="2211" t="s">
        <v>3146</v>
      </c>
      <c r="F847" s="2212" t="s">
        <v>11330</v>
      </c>
      <c r="H847" s="2213">
        <v>5.68</v>
      </c>
      <c r="L847" s="2210"/>
      <c r="M847" s="2214"/>
      <c r="T847" s="2215"/>
      <c r="AT847" s="2211" t="s">
        <v>3303</v>
      </c>
      <c r="AU847" s="2211" t="s">
        <v>134</v>
      </c>
      <c r="AV847" s="2209" t="s">
        <v>134</v>
      </c>
      <c r="AW847" s="2209" t="s">
        <v>3171</v>
      </c>
      <c r="AX847" s="2209" t="s">
        <v>3213</v>
      </c>
      <c r="AY847" s="2211" t="s">
        <v>3285</v>
      </c>
    </row>
    <row r="848" spans="2:65" s="2202" customFormat="1">
      <c r="B848" s="2203"/>
      <c r="D848" s="2197" t="s">
        <v>3303</v>
      </c>
      <c r="E848" s="2204" t="s">
        <v>3146</v>
      </c>
      <c r="F848" s="2205" t="s">
        <v>3305</v>
      </c>
      <c r="H848" s="2206">
        <v>54.588000000000001</v>
      </c>
      <c r="L848" s="2203"/>
      <c r="M848" s="2207"/>
      <c r="T848" s="2208"/>
      <c r="AT848" s="2204" t="s">
        <v>3303</v>
      </c>
      <c r="AU848" s="2204" t="s">
        <v>134</v>
      </c>
      <c r="AV848" s="2202" t="s">
        <v>854</v>
      </c>
      <c r="AW848" s="2202" t="s">
        <v>3171</v>
      </c>
      <c r="AX848" s="2202" t="s">
        <v>3213</v>
      </c>
      <c r="AY848" s="2204" t="s">
        <v>3285</v>
      </c>
    </row>
    <row r="849" spans="2:65" s="2195" customFormat="1">
      <c r="B849" s="2196"/>
      <c r="D849" s="2197" t="s">
        <v>3303</v>
      </c>
      <c r="E849" s="2198" t="s">
        <v>3146</v>
      </c>
      <c r="F849" s="2199" t="s">
        <v>11331</v>
      </c>
      <c r="H849" s="2198" t="s">
        <v>3146</v>
      </c>
      <c r="L849" s="2196"/>
      <c r="M849" s="2200"/>
      <c r="T849" s="2201"/>
      <c r="AT849" s="2198" t="s">
        <v>3303</v>
      </c>
      <c r="AU849" s="2198" t="s">
        <v>134</v>
      </c>
      <c r="AV849" s="2195" t="s">
        <v>133</v>
      </c>
      <c r="AW849" s="2195" t="s">
        <v>3171</v>
      </c>
      <c r="AX849" s="2195" t="s">
        <v>3213</v>
      </c>
      <c r="AY849" s="2198" t="s">
        <v>3285</v>
      </c>
    </row>
    <row r="850" spans="2:65" s="2209" customFormat="1">
      <c r="B850" s="2210"/>
      <c r="D850" s="2197" t="s">
        <v>3303</v>
      </c>
      <c r="E850" s="2211" t="s">
        <v>3146</v>
      </c>
      <c r="F850" s="2212" t="s">
        <v>11332</v>
      </c>
      <c r="H850" s="2213">
        <v>17.440000000000001</v>
      </c>
      <c r="L850" s="2210"/>
      <c r="M850" s="2214"/>
      <c r="T850" s="2215"/>
      <c r="AT850" s="2211" t="s">
        <v>3303</v>
      </c>
      <c r="AU850" s="2211" t="s">
        <v>134</v>
      </c>
      <c r="AV850" s="2209" t="s">
        <v>134</v>
      </c>
      <c r="AW850" s="2209" t="s">
        <v>3171</v>
      </c>
      <c r="AX850" s="2209" t="s">
        <v>3213</v>
      </c>
      <c r="AY850" s="2211" t="s">
        <v>3285</v>
      </c>
    </row>
    <row r="851" spans="2:65" s="2202" customFormat="1">
      <c r="B851" s="2203"/>
      <c r="D851" s="2197" t="s">
        <v>3303</v>
      </c>
      <c r="E851" s="2204" t="s">
        <v>3146</v>
      </c>
      <c r="F851" s="2205" t="s">
        <v>3305</v>
      </c>
      <c r="H851" s="2206">
        <v>17.440000000000001</v>
      </c>
      <c r="L851" s="2203"/>
      <c r="M851" s="2207"/>
      <c r="T851" s="2208"/>
      <c r="AT851" s="2204" t="s">
        <v>3303</v>
      </c>
      <c r="AU851" s="2204" t="s">
        <v>134</v>
      </c>
      <c r="AV851" s="2202" t="s">
        <v>854</v>
      </c>
      <c r="AW851" s="2202" t="s">
        <v>3171</v>
      </c>
      <c r="AX851" s="2202" t="s">
        <v>3213</v>
      </c>
      <c r="AY851" s="2204" t="s">
        <v>3285</v>
      </c>
    </row>
    <row r="852" spans="2:65" s="2216" customFormat="1">
      <c r="B852" s="2217"/>
      <c r="D852" s="2197" t="s">
        <v>3303</v>
      </c>
      <c r="E852" s="2218" t="s">
        <v>3146</v>
      </c>
      <c r="F852" s="2219" t="s">
        <v>3306</v>
      </c>
      <c r="H852" s="2220">
        <v>72.028000000000006</v>
      </c>
      <c r="L852" s="2217"/>
      <c r="M852" s="2221"/>
      <c r="T852" s="2222"/>
      <c r="AT852" s="2218" t="s">
        <v>3303</v>
      </c>
      <c r="AU852" s="2218" t="s">
        <v>134</v>
      </c>
      <c r="AV852" s="2216" t="s">
        <v>856</v>
      </c>
      <c r="AW852" s="2216" t="s">
        <v>3171</v>
      </c>
      <c r="AX852" s="2216" t="s">
        <v>133</v>
      </c>
      <c r="AY852" s="2218" t="s">
        <v>3285</v>
      </c>
    </row>
    <row r="853" spans="2:65" s="2209" customFormat="1">
      <c r="B853" s="2210"/>
      <c r="D853" s="2197" t="s">
        <v>3303</v>
      </c>
      <c r="F853" s="2212" t="s">
        <v>11333</v>
      </c>
      <c r="H853" s="2213">
        <v>79.230999999999995</v>
      </c>
      <c r="L853" s="2210"/>
      <c r="M853" s="2214"/>
      <c r="T853" s="2215"/>
      <c r="AT853" s="2211" t="s">
        <v>3303</v>
      </c>
      <c r="AU853" s="2211" t="s">
        <v>134</v>
      </c>
      <c r="AV853" s="2209" t="s">
        <v>134</v>
      </c>
      <c r="AW853" s="2209" t="s">
        <v>3148</v>
      </c>
      <c r="AX853" s="2209" t="s">
        <v>133</v>
      </c>
      <c r="AY853" s="2211" t="s">
        <v>3285</v>
      </c>
    </row>
    <row r="854" spans="2:65" s="2070" customFormat="1" ht="16.5" customHeight="1">
      <c r="B854" s="2164"/>
      <c r="C854" s="4608" t="s">
        <v>4123</v>
      </c>
      <c r="D854" s="4608" t="s">
        <v>3286</v>
      </c>
      <c r="E854" s="4609" t="s">
        <v>11334</v>
      </c>
      <c r="F854" s="4610" t="s">
        <v>11335</v>
      </c>
      <c r="G854" s="4611" t="s">
        <v>155</v>
      </c>
      <c r="H854" s="4612">
        <v>168</v>
      </c>
      <c r="I854" s="4613"/>
      <c r="J854" s="4613">
        <f>ROUND(I854*H854,2)</f>
        <v>0</v>
      </c>
      <c r="K854" s="4610" t="s">
        <v>142</v>
      </c>
      <c r="L854" s="2071"/>
      <c r="M854" s="2190" t="s">
        <v>3146</v>
      </c>
      <c r="N854" s="2163" t="s">
        <v>3181</v>
      </c>
      <c r="O854" s="2191">
        <v>0.20899999999999999</v>
      </c>
      <c r="P854" s="2191">
        <f>O854*H854</f>
        <v>35.112000000000002</v>
      </c>
      <c r="Q854" s="2191">
        <v>0</v>
      </c>
      <c r="R854" s="2191">
        <f>Q854*H854</f>
        <v>0</v>
      </c>
      <c r="S854" s="2191">
        <v>0</v>
      </c>
      <c r="T854" s="2192">
        <f>S854*H854</f>
        <v>0</v>
      </c>
      <c r="AR854" s="2193" t="s">
        <v>2894</v>
      </c>
      <c r="AT854" s="2193" t="s">
        <v>3286</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11336</v>
      </c>
    </row>
    <row r="855" spans="2:65" s="2209" customFormat="1">
      <c r="B855" s="2210"/>
      <c r="D855" s="2197" t="s">
        <v>3303</v>
      </c>
      <c r="E855" s="2211" t="s">
        <v>3146</v>
      </c>
      <c r="F855" s="2212" t="s">
        <v>11337</v>
      </c>
      <c r="H855" s="2213">
        <v>121</v>
      </c>
      <c r="L855" s="2210"/>
      <c r="M855" s="2214"/>
      <c r="T855" s="2215"/>
      <c r="AT855" s="2211" t="s">
        <v>3303</v>
      </c>
      <c r="AU855" s="2211" t="s">
        <v>134</v>
      </c>
      <c r="AV855" s="2209" t="s">
        <v>134</v>
      </c>
      <c r="AW855" s="2209" t="s">
        <v>3171</v>
      </c>
      <c r="AX855" s="2209" t="s">
        <v>3213</v>
      </c>
      <c r="AY855" s="2211" t="s">
        <v>3285</v>
      </c>
    </row>
    <row r="856" spans="2:65" s="2209" customFormat="1">
      <c r="B856" s="2210"/>
      <c r="D856" s="2197" t="s">
        <v>3303</v>
      </c>
      <c r="E856" s="2211" t="s">
        <v>3146</v>
      </c>
      <c r="F856" s="2212" t="s">
        <v>3472</v>
      </c>
      <c r="H856" s="2213">
        <v>47</v>
      </c>
      <c r="L856" s="2210"/>
      <c r="M856" s="2214"/>
      <c r="T856" s="2215"/>
      <c r="AT856" s="2211" t="s">
        <v>3303</v>
      </c>
      <c r="AU856" s="2211" t="s">
        <v>134</v>
      </c>
      <c r="AV856" s="2209" t="s">
        <v>134</v>
      </c>
      <c r="AW856" s="2209" t="s">
        <v>3171</v>
      </c>
      <c r="AX856" s="2209" t="s">
        <v>3213</v>
      </c>
      <c r="AY856" s="2211" t="s">
        <v>3285</v>
      </c>
    </row>
    <row r="857" spans="2:65" s="2216" customFormat="1">
      <c r="B857" s="2217"/>
      <c r="D857" s="2197" t="s">
        <v>3303</v>
      </c>
      <c r="E857" s="2218" t="s">
        <v>3146</v>
      </c>
      <c r="F857" s="2219" t="s">
        <v>3306</v>
      </c>
      <c r="H857" s="2220">
        <v>168</v>
      </c>
      <c r="L857" s="2217"/>
      <c r="M857" s="2221"/>
      <c r="T857" s="2222"/>
      <c r="AT857" s="2218" t="s">
        <v>3303</v>
      </c>
      <c r="AU857" s="2218" t="s">
        <v>134</v>
      </c>
      <c r="AV857" s="2216" t="s">
        <v>856</v>
      </c>
      <c r="AW857" s="2216" t="s">
        <v>3171</v>
      </c>
      <c r="AX857" s="2216" t="s">
        <v>133</v>
      </c>
      <c r="AY857" s="2218" t="s">
        <v>3285</v>
      </c>
    </row>
    <row r="858" spans="2:65" s="2070" customFormat="1" ht="24.2" customHeight="1">
      <c r="B858" s="2164"/>
      <c r="C858" s="4614" t="s">
        <v>4128</v>
      </c>
      <c r="D858" s="4614" t="s">
        <v>135</v>
      </c>
      <c r="E858" s="4615" t="s">
        <v>11338</v>
      </c>
      <c r="F858" s="4616" t="s">
        <v>11339</v>
      </c>
      <c r="G858" s="4617" t="s">
        <v>155</v>
      </c>
      <c r="H858" s="4618">
        <v>168</v>
      </c>
      <c r="I858" s="4619"/>
      <c r="J858" s="4619">
        <f>ROUND(I858*H858,2)</f>
        <v>0</v>
      </c>
      <c r="K858" s="4616" t="s">
        <v>142</v>
      </c>
      <c r="L858" s="2223"/>
      <c r="M858" s="2224" t="s">
        <v>3146</v>
      </c>
      <c r="N858" s="2225" t="s">
        <v>3181</v>
      </c>
      <c r="O858" s="2191">
        <v>0</v>
      </c>
      <c r="P858" s="2191">
        <f>O858*H858</f>
        <v>0</v>
      </c>
      <c r="Q858" s="2191">
        <v>1.4999999999999999E-4</v>
      </c>
      <c r="R858" s="2191">
        <f>Q858*H858</f>
        <v>2.5199999999999997E-2</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11340</v>
      </c>
    </row>
    <row r="859" spans="2:65" s="2070" customFormat="1" ht="21.75" customHeight="1">
      <c r="B859" s="2164"/>
      <c r="C859" s="4608" t="s">
        <v>4135</v>
      </c>
      <c r="D859" s="4608" t="s">
        <v>3286</v>
      </c>
      <c r="E859" s="4609" t="s">
        <v>11341</v>
      </c>
      <c r="F859" s="4610" t="s">
        <v>11342</v>
      </c>
      <c r="G859" s="4611" t="s">
        <v>155</v>
      </c>
      <c r="H859" s="4612">
        <v>121</v>
      </c>
      <c r="I859" s="4613"/>
      <c r="J859" s="4613">
        <f>ROUND(I859*H859,2)</f>
        <v>0</v>
      </c>
      <c r="K859" s="4610" t="s">
        <v>142</v>
      </c>
      <c r="L859" s="2071"/>
      <c r="M859" s="2190" t="s">
        <v>3146</v>
      </c>
      <c r="N859" s="2163" t="s">
        <v>3181</v>
      </c>
      <c r="O859" s="2191">
        <v>0.33500000000000002</v>
      </c>
      <c r="P859" s="2191">
        <f>O859*H859</f>
        <v>40.535000000000004</v>
      </c>
      <c r="Q859" s="2191">
        <v>0</v>
      </c>
      <c r="R859" s="2191">
        <f>Q859*H859</f>
        <v>0</v>
      </c>
      <c r="S859" s="2191">
        <v>0</v>
      </c>
      <c r="T859" s="2192">
        <f>S859*H859</f>
        <v>0</v>
      </c>
      <c r="AR859" s="2193" t="s">
        <v>2894</v>
      </c>
      <c r="AT859" s="2193" t="s">
        <v>3286</v>
      </c>
      <c r="AU859" s="2193" t="s">
        <v>134</v>
      </c>
      <c r="AY859" s="2056" t="s">
        <v>3285</v>
      </c>
      <c r="BE859" s="2194">
        <f>IF(N859="základní",J859,0)</f>
        <v>0</v>
      </c>
      <c r="BF859" s="2194">
        <f>IF(N859="snížená",J859,0)</f>
        <v>0</v>
      </c>
      <c r="BG859" s="2194">
        <f>IF(N859="zákl. přenesená",J859,0)</f>
        <v>0</v>
      </c>
      <c r="BH859" s="2194">
        <f>IF(N859="sníž. přenesená",J859,0)</f>
        <v>0</v>
      </c>
      <c r="BI859" s="2194">
        <f>IF(N859="nulová",J859,0)</f>
        <v>0</v>
      </c>
      <c r="BJ859" s="2056" t="s">
        <v>134</v>
      </c>
      <c r="BK859" s="2194">
        <f>ROUND(I859*H859,2)</f>
        <v>0</v>
      </c>
      <c r="BL859" s="2056" t="s">
        <v>2894</v>
      </c>
      <c r="BM859" s="2193" t="s">
        <v>11343</v>
      </c>
    </row>
    <row r="860" spans="2:65" s="2070" customFormat="1" ht="16.5" customHeight="1">
      <c r="B860" s="2164"/>
      <c r="C860" s="4614" t="s">
        <v>4139</v>
      </c>
      <c r="D860" s="4614" t="s">
        <v>135</v>
      </c>
      <c r="E860" s="4615" t="s">
        <v>11344</v>
      </c>
      <c r="F860" s="4616" t="s">
        <v>11345</v>
      </c>
      <c r="G860" s="4617" t="s">
        <v>155</v>
      </c>
      <c r="H860" s="4618">
        <v>121</v>
      </c>
      <c r="I860" s="4619"/>
      <c r="J860" s="4619">
        <f>ROUND(I860*H860,2)</f>
        <v>0</v>
      </c>
      <c r="K860" s="4616" t="s">
        <v>142</v>
      </c>
      <c r="L860" s="2223"/>
      <c r="M860" s="2224" t="s">
        <v>3146</v>
      </c>
      <c r="N860" s="2225" t="s">
        <v>3181</v>
      </c>
      <c r="O860" s="2191">
        <v>0</v>
      </c>
      <c r="P860" s="2191">
        <f>O860*H860</f>
        <v>0</v>
      </c>
      <c r="Q860" s="2191">
        <v>2.2000000000000001E-3</v>
      </c>
      <c r="R860" s="2191">
        <f>Q860*H860</f>
        <v>0.26619999999999999</v>
      </c>
      <c r="S860" s="2191">
        <v>0</v>
      </c>
      <c r="T860" s="2192">
        <f>S860*H860</f>
        <v>0</v>
      </c>
      <c r="AR860" s="2193" t="s">
        <v>3389</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11346</v>
      </c>
    </row>
    <row r="861" spans="2:65" s="2070" customFormat="1" ht="24.2" customHeight="1">
      <c r="B861" s="2164"/>
      <c r="C861" s="4608" t="s">
        <v>4143</v>
      </c>
      <c r="D861" s="4608" t="s">
        <v>3286</v>
      </c>
      <c r="E861" s="4609" t="s">
        <v>5171</v>
      </c>
      <c r="F861" s="4610" t="s">
        <v>5172</v>
      </c>
      <c r="G861" s="4611" t="s">
        <v>155</v>
      </c>
      <c r="H861" s="4612">
        <v>12</v>
      </c>
      <c r="I861" s="4613"/>
      <c r="J861" s="4613">
        <f>ROUND(I861*H861,2)</f>
        <v>0</v>
      </c>
      <c r="K861" s="4610" t="s">
        <v>142</v>
      </c>
      <c r="L861" s="2071"/>
      <c r="M861" s="2190" t="s">
        <v>3146</v>
      </c>
      <c r="N861" s="2163" t="s">
        <v>3181</v>
      </c>
      <c r="O861" s="2191">
        <v>0.379</v>
      </c>
      <c r="P861" s="2191">
        <f>O861*H861</f>
        <v>4.548</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5173</v>
      </c>
    </row>
    <row r="862" spans="2:65" s="2209" customFormat="1">
      <c r="B862" s="2210"/>
      <c r="D862" s="2197" t="s">
        <v>3303</v>
      </c>
      <c r="E862" s="2211" t="s">
        <v>3146</v>
      </c>
      <c r="F862" s="2212" t="s">
        <v>5174</v>
      </c>
      <c r="H862" s="2213">
        <v>12</v>
      </c>
      <c r="L862" s="2210"/>
      <c r="M862" s="2214"/>
      <c r="T862" s="2215"/>
      <c r="AT862" s="2211" t="s">
        <v>3303</v>
      </c>
      <c r="AU862" s="2211" t="s">
        <v>134</v>
      </c>
      <c r="AV862" s="2209" t="s">
        <v>134</v>
      </c>
      <c r="AW862" s="2209" t="s">
        <v>3171</v>
      </c>
      <c r="AX862" s="2209" t="s">
        <v>133</v>
      </c>
      <c r="AY862" s="2211" t="s">
        <v>3285</v>
      </c>
    </row>
    <row r="863" spans="2:65" s="2070" customFormat="1" ht="16.5" customHeight="1">
      <c r="B863" s="2164"/>
      <c r="C863" s="4614" t="s">
        <v>4147</v>
      </c>
      <c r="D863" s="4614" t="s">
        <v>135</v>
      </c>
      <c r="E863" s="4615" t="s">
        <v>5175</v>
      </c>
      <c r="F863" s="4616" t="s">
        <v>5176</v>
      </c>
      <c r="G863" s="4617" t="s">
        <v>155</v>
      </c>
      <c r="H863" s="4618">
        <v>12</v>
      </c>
      <c r="I863" s="4619"/>
      <c r="J863" s="4619">
        <f>ROUND(I863*H863,2)</f>
        <v>0</v>
      </c>
      <c r="K863" s="4616" t="s">
        <v>142</v>
      </c>
      <c r="L863" s="2223"/>
      <c r="M863" s="2224" t="s">
        <v>3146</v>
      </c>
      <c r="N863" s="2225" t="s">
        <v>3181</v>
      </c>
      <c r="O863" s="2191">
        <v>0</v>
      </c>
      <c r="P863" s="2191">
        <f>O863*H863</f>
        <v>0</v>
      </c>
      <c r="Q863" s="2191">
        <v>2.2000000000000001E-3</v>
      </c>
      <c r="R863" s="2191">
        <f>Q863*H863</f>
        <v>2.64E-2</v>
      </c>
      <c r="S863" s="2191">
        <v>0</v>
      </c>
      <c r="T863" s="2192">
        <f>S863*H863</f>
        <v>0</v>
      </c>
      <c r="AR863" s="2193" t="s">
        <v>3389</v>
      </c>
      <c r="AT863" s="2193" t="s">
        <v>135</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5177</v>
      </c>
    </row>
    <row r="864" spans="2:65" s="2070" customFormat="1" ht="16.5" customHeight="1">
      <c r="B864" s="2164"/>
      <c r="C864" s="4608" t="s">
        <v>4151</v>
      </c>
      <c r="D864" s="4608" t="s">
        <v>3286</v>
      </c>
      <c r="E864" s="4609" t="s">
        <v>5178</v>
      </c>
      <c r="F864" s="4610" t="s">
        <v>5179</v>
      </c>
      <c r="G864" s="4611" t="s">
        <v>155</v>
      </c>
      <c r="H864" s="4612">
        <v>12</v>
      </c>
      <c r="I864" s="4613"/>
      <c r="J864" s="4613">
        <f>ROUND(I864*H864,2)</f>
        <v>0</v>
      </c>
      <c r="K864" s="4610" t="s">
        <v>3146</v>
      </c>
      <c r="L864" s="2071"/>
      <c r="M864" s="2190" t="s">
        <v>3146</v>
      </c>
      <c r="N864" s="2163" t="s">
        <v>3181</v>
      </c>
      <c r="O864" s="2191">
        <v>0.81499999999999995</v>
      </c>
      <c r="P864" s="2191">
        <f>O864*H864</f>
        <v>9.7799999999999994</v>
      </c>
      <c r="Q864" s="2191">
        <v>0</v>
      </c>
      <c r="R864" s="2191">
        <f>Q864*H864</f>
        <v>0</v>
      </c>
      <c r="S864" s="2191">
        <v>0</v>
      </c>
      <c r="T864" s="2192">
        <f>S864*H864</f>
        <v>0</v>
      </c>
      <c r="AR864" s="2193" t="s">
        <v>2894</v>
      </c>
      <c r="AT864" s="2193" t="s">
        <v>3286</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5180</v>
      </c>
    </row>
    <row r="865" spans="2:65" s="2070" customFormat="1" ht="16.5" customHeight="1">
      <c r="B865" s="2164"/>
      <c r="C865" s="4614" t="s">
        <v>4155</v>
      </c>
      <c r="D865" s="4614" t="s">
        <v>135</v>
      </c>
      <c r="E865" s="4615" t="s">
        <v>5181</v>
      </c>
      <c r="F865" s="4616" t="s">
        <v>5182</v>
      </c>
      <c r="G865" s="4617" t="s">
        <v>155</v>
      </c>
      <c r="H865" s="4618">
        <v>12</v>
      </c>
      <c r="I865" s="4619"/>
      <c r="J865" s="4619">
        <f>ROUND(I865*H865,2)</f>
        <v>0</v>
      </c>
      <c r="K865" s="4616" t="s">
        <v>3146</v>
      </c>
      <c r="L865" s="2223"/>
      <c r="M865" s="2224" t="s">
        <v>3146</v>
      </c>
      <c r="N865" s="2225" t="s">
        <v>3181</v>
      </c>
      <c r="O865" s="2191">
        <v>0</v>
      </c>
      <c r="P865" s="2191">
        <f>O865*H865</f>
        <v>0</v>
      </c>
      <c r="Q865" s="2191">
        <v>2.0000000000000001E-4</v>
      </c>
      <c r="R865" s="2191">
        <f>Q865*H865</f>
        <v>2.4000000000000002E-3</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5183</v>
      </c>
    </row>
    <row r="866" spans="2:65" s="2070" customFormat="1" ht="24.2" customHeight="1">
      <c r="B866" s="2164"/>
      <c r="C866" s="4608" t="s">
        <v>4159</v>
      </c>
      <c r="D866" s="4608" t="s">
        <v>3286</v>
      </c>
      <c r="E866" s="4609" t="s">
        <v>5184</v>
      </c>
      <c r="F866" s="4610" t="s">
        <v>5185</v>
      </c>
      <c r="G866" s="4611" t="s">
        <v>155</v>
      </c>
      <c r="H866" s="4612">
        <v>4</v>
      </c>
      <c r="I866" s="4613"/>
      <c r="J866" s="4613">
        <f>ROUND(I866*H866,2)</f>
        <v>0</v>
      </c>
      <c r="K866" s="4610" t="s">
        <v>142</v>
      </c>
      <c r="L866" s="2071"/>
      <c r="M866" s="2190" t="s">
        <v>3146</v>
      </c>
      <c r="N866" s="2163" t="s">
        <v>3181</v>
      </c>
      <c r="O866" s="2191">
        <v>0.81499999999999995</v>
      </c>
      <c r="P866" s="2191">
        <f>O866*H866</f>
        <v>3.26</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5186</v>
      </c>
    </row>
    <row r="867" spans="2:65" s="2195" customFormat="1">
      <c r="B867" s="2196"/>
      <c r="D867" s="2197" t="s">
        <v>3303</v>
      </c>
      <c r="E867" s="2198" t="s">
        <v>3146</v>
      </c>
      <c r="F867" s="2199" t="s">
        <v>5187</v>
      </c>
      <c r="H867" s="2198" t="s">
        <v>3146</v>
      </c>
      <c r="L867" s="2196"/>
      <c r="M867" s="2200"/>
      <c r="T867" s="2201"/>
      <c r="AT867" s="2198" t="s">
        <v>3303</v>
      </c>
      <c r="AU867" s="2198" t="s">
        <v>134</v>
      </c>
      <c r="AV867" s="2195" t="s">
        <v>133</v>
      </c>
      <c r="AW867" s="2195" t="s">
        <v>3171</v>
      </c>
      <c r="AX867" s="2195" t="s">
        <v>3213</v>
      </c>
      <c r="AY867" s="2198" t="s">
        <v>3285</v>
      </c>
    </row>
    <row r="868" spans="2:65" s="2209" customFormat="1">
      <c r="B868" s="2210"/>
      <c r="D868" s="2197" t="s">
        <v>3303</v>
      </c>
      <c r="E868" s="2211" t="s">
        <v>3146</v>
      </c>
      <c r="F868" s="2212" t="s">
        <v>4752</v>
      </c>
      <c r="H868" s="2213">
        <v>4</v>
      </c>
      <c r="L868" s="2210"/>
      <c r="M868" s="2214"/>
      <c r="T868" s="2215"/>
      <c r="AT868" s="2211" t="s">
        <v>3303</v>
      </c>
      <c r="AU868" s="2211" t="s">
        <v>134</v>
      </c>
      <c r="AV868" s="2209" t="s">
        <v>134</v>
      </c>
      <c r="AW868" s="2209" t="s">
        <v>3171</v>
      </c>
      <c r="AX868" s="2209" t="s">
        <v>3213</v>
      </c>
      <c r="AY868" s="2211" t="s">
        <v>3285</v>
      </c>
    </row>
    <row r="869" spans="2:65" s="2216" customFormat="1">
      <c r="B869" s="2217"/>
      <c r="D869" s="2197" t="s">
        <v>3303</v>
      </c>
      <c r="E869" s="2218" t="s">
        <v>3146</v>
      </c>
      <c r="F869" s="2219" t="s">
        <v>3306</v>
      </c>
      <c r="H869" s="2220">
        <v>4</v>
      </c>
      <c r="L869" s="2217"/>
      <c r="M869" s="2221"/>
      <c r="T869" s="2222"/>
      <c r="AT869" s="2218" t="s">
        <v>3303</v>
      </c>
      <c r="AU869" s="2218" t="s">
        <v>134</v>
      </c>
      <c r="AV869" s="2216" t="s">
        <v>856</v>
      </c>
      <c r="AW869" s="2216" t="s">
        <v>3171</v>
      </c>
      <c r="AX869" s="2216" t="s">
        <v>133</v>
      </c>
      <c r="AY869" s="2218" t="s">
        <v>3285</v>
      </c>
    </row>
    <row r="870" spans="2:65" s="2070" customFormat="1" ht="24.2" customHeight="1">
      <c r="B870" s="2164"/>
      <c r="C870" s="4614" t="s">
        <v>4163</v>
      </c>
      <c r="D870" s="4614" t="s">
        <v>135</v>
      </c>
      <c r="E870" s="4615" t="s">
        <v>5188</v>
      </c>
      <c r="F870" s="4616" t="s">
        <v>5189</v>
      </c>
      <c r="G870" s="4617" t="s">
        <v>155</v>
      </c>
      <c r="H870" s="4618">
        <v>4</v>
      </c>
      <c r="I870" s="4619"/>
      <c r="J870" s="4619">
        <f>ROUND(I870*H870,2)</f>
        <v>0</v>
      </c>
      <c r="K870" s="4616" t="s">
        <v>142</v>
      </c>
      <c r="L870" s="2223"/>
      <c r="M870" s="2224" t="s">
        <v>3146</v>
      </c>
      <c r="N870" s="2225" t="s">
        <v>3181</v>
      </c>
      <c r="O870" s="2191">
        <v>0</v>
      </c>
      <c r="P870" s="2191">
        <f>O870*H870</f>
        <v>0</v>
      </c>
      <c r="Q870" s="2191">
        <v>2.9999999999999997E-4</v>
      </c>
      <c r="R870" s="2191">
        <f>Q870*H870</f>
        <v>1.1999999999999999E-3</v>
      </c>
      <c r="S870" s="2191">
        <v>0</v>
      </c>
      <c r="T870" s="2192">
        <f>S870*H870</f>
        <v>0</v>
      </c>
      <c r="AR870" s="2193" t="s">
        <v>3389</v>
      </c>
      <c r="AT870" s="2193" t="s">
        <v>135</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5190</v>
      </c>
    </row>
    <row r="871" spans="2:65" s="2070" customFormat="1" ht="24.2" customHeight="1">
      <c r="B871" s="2164"/>
      <c r="C871" s="4608" t="s">
        <v>4169</v>
      </c>
      <c r="D871" s="4608" t="s">
        <v>3286</v>
      </c>
      <c r="E871" s="4609" t="s">
        <v>5191</v>
      </c>
      <c r="F871" s="4610" t="s">
        <v>5192</v>
      </c>
      <c r="G871" s="4611" t="s">
        <v>141</v>
      </c>
      <c r="H871" s="4612">
        <v>193.92</v>
      </c>
      <c r="I871" s="4613"/>
      <c r="J871" s="4613">
        <f>ROUND(I871*H871,2)</f>
        <v>0</v>
      </c>
      <c r="K871" s="4610" t="s">
        <v>142</v>
      </c>
      <c r="L871" s="2071"/>
      <c r="M871" s="2190" t="s">
        <v>3146</v>
      </c>
      <c r="N871" s="2163" t="s">
        <v>3181</v>
      </c>
      <c r="O871" s="2191">
        <v>0.52100000000000002</v>
      </c>
      <c r="P871" s="2191">
        <f>O871*H871</f>
        <v>101.03232</v>
      </c>
      <c r="Q871" s="2191">
        <v>0</v>
      </c>
      <c r="R871" s="2191">
        <f>Q871*H871</f>
        <v>0</v>
      </c>
      <c r="S871" s="2191">
        <v>0</v>
      </c>
      <c r="T871" s="2192">
        <f>S871*H871</f>
        <v>0</v>
      </c>
      <c r="AR871" s="2193" t="s">
        <v>2894</v>
      </c>
      <c r="AT871" s="2193" t="s">
        <v>3286</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5193</v>
      </c>
    </row>
    <row r="872" spans="2:65" s="2195" customFormat="1">
      <c r="B872" s="2196"/>
      <c r="D872" s="2197" t="s">
        <v>3303</v>
      </c>
      <c r="E872" s="2198" t="s">
        <v>3146</v>
      </c>
      <c r="F872" s="2199" t="s">
        <v>5049</v>
      </c>
      <c r="H872" s="2198" t="s">
        <v>3146</v>
      </c>
      <c r="L872" s="2196"/>
      <c r="M872" s="2200"/>
      <c r="T872" s="2201"/>
      <c r="AT872" s="2198" t="s">
        <v>3303</v>
      </c>
      <c r="AU872" s="2198" t="s">
        <v>134</v>
      </c>
      <c r="AV872" s="2195" t="s">
        <v>133</v>
      </c>
      <c r="AW872" s="2195" t="s">
        <v>3171</v>
      </c>
      <c r="AX872" s="2195" t="s">
        <v>3213</v>
      </c>
      <c r="AY872" s="2198" t="s">
        <v>3285</v>
      </c>
    </row>
    <row r="873" spans="2:65" s="2209" customFormat="1">
      <c r="B873" s="2210"/>
      <c r="D873" s="2197" t="s">
        <v>3303</v>
      </c>
      <c r="E873" s="2211" t="s">
        <v>3146</v>
      </c>
      <c r="F873" s="2212" t="s">
        <v>5050</v>
      </c>
      <c r="H873" s="2213">
        <v>6</v>
      </c>
      <c r="L873" s="2210"/>
      <c r="M873" s="2214"/>
      <c r="T873" s="2215"/>
      <c r="AT873" s="2211" t="s">
        <v>3303</v>
      </c>
      <c r="AU873" s="2211" t="s">
        <v>134</v>
      </c>
      <c r="AV873" s="2209" t="s">
        <v>134</v>
      </c>
      <c r="AW873" s="2209" t="s">
        <v>3171</v>
      </c>
      <c r="AX873" s="2209" t="s">
        <v>3213</v>
      </c>
      <c r="AY873" s="2211" t="s">
        <v>3285</v>
      </c>
    </row>
    <row r="874" spans="2:65" s="2195" customFormat="1">
      <c r="B874" s="2196"/>
      <c r="D874" s="2197" t="s">
        <v>3303</v>
      </c>
      <c r="E874" s="2198" t="s">
        <v>3146</v>
      </c>
      <c r="F874" s="2199" t="s">
        <v>5051</v>
      </c>
      <c r="H874" s="2198" t="s">
        <v>3146</v>
      </c>
      <c r="L874" s="2196"/>
      <c r="M874" s="2200"/>
      <c r="T874" s="2201"/>
      <c r="AT874" s="2198" t="s">
        <v>3303</v>
      </c>
      <c r="AU874" s="2198" t="s">
        <v>134</v>
      </c>
      <c r="AV874" s="2195" t="s">
        <v>133</v>
      </c>
      <c r="AW874" s="2195" t="s">
        <v>3171</v>
      </c>
      <c r="AX874" s="2195" t="s">
        <v>3213</v>
      </c>
      <c r="AY874" s="2198" t="s">
        <v>3285</v>
      </c>
    </row>
    <row r="875" spans="2:65" s="2209" customFormat="1">
      <c r="B875" s="2210"/>
      <c r="D875" s="2197" t="s">
        <v>3303</v>
      </c>
      <c r="E875" s="2211" t="s">
        <v>3146</v>
      </c>
      <c r="F875" s="2212" t="s">
        <v>5052</v>
      </c>
      <c r="H875" s="2213">
        <v>4.8</v>
      </c>
      <c r="L875" s="2210"/>
      <c r="M875" s="2214"/>
      <c r="T875" s="2215"/>
      <c r="AT875" s="2211" t="s">
        <v>3303</v>
      </c>
      <c r="AU875" s="2211" t="s">
        <v>134</v>
      </c>
      <c r="AV875" s="2209" t="s">
        <v>134</v>
      </c>
      <c r="AW875" s="2209" t="s">
        <v>3171</v>
      </c>
      <c r="AX875" s="2209" t="s">
        <v>3213</v>
      </c>
      <c r="AY875" s="2211" t="s">
        <v>3285</v>
      </c>
    </row>
    <row r="876" spans="2:65" s="2195" customFormat="1">
      <c r="B876" s="2196"/>
      <c r="D876" s="2197" t="s">
        <v>3303</v>
      </c>
      <c r="E876" s="2198" t="s">
        <v>3146</v>
      </c>
      <c r="F876" s="2199" t="s">
        <v>5053</v>
      </c>
      <c r="H876" s="2198" t="s">
        <v>3146</v>
      </c>
      <c r="L876" s="2196"/>
      <c r="M876" s="2200"/>
      <c r="T876" s="2201"/>
      <c r="AT876" s="2198" t="s">
        <v>3303</v>
      </c>
      <c r="AU876" s="2198" t="s">
        <v>134</v>
      </c>
      <c r="AV876" s="2195" t="s">
        <v>133</v>
      </c>
      <c r="AW876" s="2195" t="s">
        <v>3171</v>
      </c>
      <c r="AX876" s="2195" t="s">
        <v>3213</v>
      </c>
      <c r="AY876" s="2198" t="s">
        <v>3285</v>
      </c>
    </row>
    <row r="877" spans="2:65" s="2209" customFormat="1" ht="22.5">
      <c r="B877" s="2210"/>
      <c r="D877" s="2197" t="s">
        <v>3303</v>
      </c>
      <c r="E877" s="2211" t="s">
        <v>3146</v>
      </c>
      <c r="F877" s="2212" t="s">
        <v>5054</v>
      </c>
      <c r="H877" s="2213">
        <v>183.12</v>
      </c>
      <c r="L877" s="2210"/>
      <c r="M877" s="2214"/>
      <c r="T877" s="2215"/>
      <c r="AT877" s="2211" t="s">
        <v>3303</v>
      </c>
      <c r="AU877" s="2211" t="s">
        <v>134</v>
      </c>
      <c r="AV877" s="2209" t="s">
        <v>134</v>
      </c>
      <c r="AW877" s="2209" t="s">
        <v>3171</v>
      </c>
      <c r="AX877" s="2209" t="s">
        <v>3213</v>
      </c>
      <c r="AY877" s="2211" t="s">
        <v>3285</v>
      </c>
    </row>
    <row r="878" spans="2:65" s="2216" customFormat="1">
      <c r="B878" s="2217"/>
      <c r="D878" s="2197" t="s">
        <v>3303</v>
      </c>
      <c r="E878" s="2218" t="s">
        <v>3146</v>
      </c>
      <c r="F878" s="2219" t="s">
        <v>3306</v>
      </c>
      <c r="H878" s="2220">
        <v>193.92</v>
      </c>
      <c r="L878" s="2217"/>
      <c r="M878" s="2221"/>
      <c r="T878" s="2222"/>
      <c r="AT878" s="2218" t="s">
        <v>3303</v>
      </c>
      <c r="AU878" s="2218" t="s">
        <v>134</v>
      </c>
      <c r="AV878" s="2216" t="s">
        <v>856</v>
      </c>
      <c r="AW878" s="2216" t="s">
        <v>3171</v>
      </c>
      <c r="AX878" s="2216" t="s">
        <v>133</v>
      </c>
      <c r="AY878" s="2218" t="s">
        <v>3285</v>
      </c>
    </row>
    <row r="879" spans="2:65" s="2070" customFormat="1" ht="24.2" customHeight="1">
      <c r="B879" s="2164"/>
      <c r="C879" s="4614" t="s">
        <v>4173</v>
      </c>
      <c r="D879" s="4614" t="s">
        <v>135</v>
      </c>
      <c r="E879" s="4615" t="s">
        <v>5194</v>
      </c>
      <c r="F879" s="4616" t="s">
        <v>5195</v>
      </c>
      <c r="G879" s="4617" t="s">
        <v>141</v>
      </c>
      <c r="H879" s="4618">
        <v>232.70400000000001</v>
      </c>
      <c r="I879" s="4619"/>
      <c r="J879" s="4619">
        <f>ROUND(I879*H879,2)</f>
        <v>0</v>
      </c>
      <c r="K879" s="4616" t="s">
        <v>142</v>
      </c>
      <c r="L879" s="2223"/>
      <c r="M879" s="2224" t="s">
        <v>3146</v>
      </c>
      <c r="N879" s="2225" t="s">
        <v>3181</v>
      </c>
      <c r="O879" s="2191">
        <v>0</v>
      </c>
      <c r="P879" s="2191">
        <f>O879*H879</f>
        <v>0</v>
      </c>
      <c r="Q879" s="2191">
        <v>7.0000000000000001E-3</v>
      </c>
      <c r="R879" s="2191">
        <f>Q879*H879</f>
        <v>1.6289280000000002</v>
      </c>
      <c r="S879" s="2191">
        <v>0</v>
      </c>
      <c r="T879" s="2192">
        <f>S879*H879</f>
        <v>0</v>
      </c>
      <c r="AR879" s="2193" t="s">
        <v>3389</v>
      </c>
      <c r="AT879" s="2193" t="s">
        <v>135</v>
      </c>
      <c r="AU879" s="2193" t="s">
        <v>134</v>
      </c>
      <c r="AY879" s="2056" t="s">
        <v>3285</v>
      </c>
      <c r="BE879" s="2194">
        <f>IF(N879="základní",J879,0)</f>
        <v>0</v>
      </c>
      <c r="BF879" s="2194">
        <f>IF(N879="snížená",J879,0)</f>
        <v>0</v>
      </c>
      <c r="BG879" s="2194">
        <f>IF(N879="zákl. přenesená",J879,0)</f>
        <v>0</v>
      </c>
      <c r="BH879" s="2194">
        <f>IF(N879="sníž. přenesená",J879,0)</f>
        <v>0</v>
      </c>
      <c r="BI879" s="2194">
        <f>IF(N879="nulová",J879,0)</f>
        <v>0</v>
      </c>
      <c r="BJ879" s="2056" t="s">
        <v>134</v>
      </c>
      <c r="BK879" s="2194">
        <f>ROUND(I879*H879,2)</f>
        <v>0</v>
      </c>
      <c r="BL879" s="2056" t="s">
        <v>2894</v>
      </c>
      <c r="BM879" s="2193" t="s">
        <v>5196</v>
      </c>
    </row>
    <row r="880" spans="2:65" s="2209" customFormat="1">
      <c r="B880" s="2210"/>
      <c r="D880" s="2197" t="s">
        <v>3303</v>
      </c>
      <c r="F880" s="2212" t="s">
        <v>5197</v>
      </c>
      <c r="H880" s="2213">
        <v>232.70400000000001</v>
      </c>
      <c r="L880" s="2210"/>
      <c r="M880" s="2214"/>
      <c r="T880" s="2215"/>
      <c r="AT880" s="2211" t="s">
        <v>3303</v>
      </c>
      <c r="AU880" s="2211" t="s">
        <v>134</v>
      </c>
      <c r="AV880" s="2209" t="s">
        <v>134</v>
      </c>
      <c r="AW880" s="2209" t="s">
        <v>3148</v>
      </c>
      <c r="AX880" s="2209" t="s">
        <v>133</v>
      </c>
      <c r="AY880" s="2211" t="s">
        <v>3285</v>
      </c>
    </row>
    <row r="881" spans="2:65" s="2070" customFormat="1" ht="16.5" customHeight="1">
      <c r="B881" s="2164"/>
      <c r="C881" s="4608" t="s">
        <v>4177</v>
      </c>
      <c r="D881" s="4608" t="s">
        <v>3286</v>
      </c>
      <c r="E881" s="4609" t="s">
        <v>5199</v>
      </c>
      <c r="F881" s="4610" t="s">
        <v>5200</v>
      </c>
      <c r="G881" s="4611" t="s">
        <v>155</v>
      </c>
      <c r="H881" s="4612">
        <v>1</v>
      </c>
      <c r="I881" s="4613"/>
      <c r="J881" s="4613">
        <f t="shared" ref="J881:J893" si="10">ROUND(I881*H881,2)</f>
        <v>0</v>
      </c>
      <c r="K881" s="4610" t="s">
        <v>3146</v>
      </c>
      <c r="L881" s="2071"/>
      <c r="M881" s="2190" t="s">
        <v>3146</v>
      </c>
      <c r="N881" s="2163" t="s">
        <v>3181</v>
      </c>
      <c r="O881" s="2191">
        <v>0.25</v>
      </c>
      <c r="P881" s="2191">
        <f t="shared" ref="P881:P893" si="11">O881*H881</f>
        <v>0.25</v>
      </c>
      <c r="Q881" s="2191">
        <v>0</v>
      </c>
      <c r="R881" s="2191">
        <f t="shared" ref="R881:R893" si="12">Q881*H881</f>
        <v>0</v>
      </c>
      <c r="S881" s="2191">
        <v>0</v>
      </c>
      <c r="T881" s="2192">
        <f t="shared" ref="T881:T893" si="13">S881*H881</f>
        <v>0</v>
      </c>
      <c r="AR881" s="2193" t="s">
        <v>2894</v>
      </c>
      <c r="AT881" s="2193" t="s">
        <v>3286</v>
      </c>
      <c r="AU881" s="2193" t="s">
        <v>134</v>
      </c>
      <c r="AY881" s="2056" t="s">
        <v>3285</v>
      </c>
      <c r="BE881" s="2194">
        <f t="shared" ref="BE881:BE893" si="14">IF(N881="základní",J881,0)</f>
        <v>0</v>
      </c>
      <c r="BF881" s="2194">
        <f t="shared" ref="BF881:BF893" si="15">IF(N881="snížená",J881,0)</f>
        <v>0</v>
      </c>
      <c r="BG881" s="2194">
        <f t="shared" ref="BG881:BG893" si="16">IF(N881="zákl. přenesená",J881,0)</f>
        <v>0</v>
      </c>
      <c r="BH881" s="2194">
        <f t="shared" ref="BH881:BH893" si="17">IF(N881="sníž. přenesená",J881,0)</f>
        <v>0</v>
      </c>
      <c r="BI881" s="2194">
        <f t="shared" ref="BI881:BI893" si="18">IF(N881="nulová",J881,0)</f>
        <v>0</v>
      </c>
      <c r="BJ881" s="2056" t="s">
        <v>134</v>
      </c>
      <c r="BK881" s="2194">
        <f t="shared" ref="BK881:BK893" si="19">ROUND(I881*H881,2)</f>
        <v>0</v>
      </c>
      <c r="BL881" s="2056" t="s">
        <v>2894</v>
      </c>
      <c r="BM881" s="2193" t="s">
        <v>5201</v>
      </c>
    </row>
    <row r="882" spans="2:65" s="2070" customFormat="1" ht="16.5" customHeight="1">
      <c r="B882" s="2164"/>
      <c r="C882" s="4608" t="s">
        <v>4183</v>
      </c>
      <c r="D882" s="4608" t="s">
        <v>3286</v>
      </c>
      <c r="E882" s="4609" t="s">
        <v>5203</v>
      </c>
      <c r="F882" s="4610" t="s">
        <v>5204</v>
      </c>
      <c r="G882" s="4611" t="s">
        <v>155</v>
      </c>
      <c r="H882" s="4612">
        <v>1</v>
      </c>
      <c r="I882" s="4613"/>
      <c r="J882" s="4613">
        <f t="shared" si="10"/>
        <v>0</v>
      </c>
      <c r="K882" s="4610" t="s">
        <v>3146</v>
      </c>
      <c r="L882" s="2071"/>
      <c r="M882" s="2190" t="s">
        <v>3146</v>
      </c>
      <c r="N882" s="2163" t="s">
        <v>3181</v>
      </c>
      <c r="O882" s="2191">
        <v>0.25</v>
      </c>
      <c r="P882" s="2191">
        <f t="shared" si="11"/>
        <v>0.25</v>
      </c>
      <c r="Q882" s="2191">
        <v>0</v>
      </c>
      <c r="R882" s="2191">
        <f t="shared" si="12"/>
        <v>0</v>
      </c>
      <c r="S882" s="2191">
        <v>0</v>
      </c>
      <c r="T882" s="2192">
        <f t="shared" si="13"/>
        <v>0</v>
      </c>
      <c r="AR882" s="2193" t="s">
        <v>2894</v>
      </c>
      <c r="AT882" s="2193" t="s">
        <v>3286</v>
      </c>
      <c r="AU882" s="2193" t="s">
        <v>134</v>
      </c>
      <c r="AY882" s="2056" t="s">
        <v>3285</v>
      </c>
      <c r="BE882" s="2194">
        <f t="shared" si="14"/>
        <v>0</v>
      </c>
      <c r="BF882" s="2194">
        <f t="shared" si="15"/>
        <v>0</v>
      </c>
      <c r="BG882" s="2194">
        <f t="shared" si="16"/>
        <v>0</v>
      </c>
      <c r="BH882" s="2194">
        <f t="shared" si="17"/>
        <v>0</v>
      </c>
      <c r="BI882" s="2194">
        <f t="shared" si="18"/>
        <v>0</v>
      </c>
      <c r="BJ882" s="2056" t="s">
        <v>134</v>
      </c>
      <c r="BK882" s="2194">
        <f t="shared" si="19"/>
        <v>0</v>
      </c>
      <c r="BL882" s="2056" t="s">
        <v>2894</v>
      </c>
      <c r="BM882" s="2193" t="s">
        <v>5205</v>
      </c>
    </row>
    <row r="883" spans="2:65" s="2070" customFormat="1" ht="16.5" customHeight="1">
      <c r="B883" s="2164"/>
      <c r="C883" s="4608" t="s">
        <v>4187</v>
      </c>
      <c r="D883" s="4608" t="s">
        <v>3286</v>
      </c>
      <c r="E883" s="4609" t="s">
        <v>5207</v>
      </c>
      <c r="F883" s="4610" t="s">
        <v>5208</v>
      </c>
      <c r="G883" s="4611" t="s">
        <v>155</v>
      </c>
      <c r="H883" s="4612">
        <v>1</v>
      </c>
      <c r="I883" s="4613"/>
      <c r="J883" s="4613">
        <f t="shared" si="10"/>
        <v>0</v>
      </c>
      <c r="K883" s="4610" t="s">
        <v>3146</v>
      </c>
      <c r="L883" s="2071"/>
      <c r="M883" s="2190" t="s">
        <v>3146</v>
      </c>
      <c r="N883" s="2163" t="s">
        <v>3181</v>
      </c>
      <c r="O883" s="2191">
        <v>0.25</v>
      </c>
      <c r="P883" s="2191">
        <f t="shared" si="11"/>
        <v>0.25</v>
      </c>
      <c r="Q883" s="2191">
        <v>0</v>
      </c>
      <c r="R883" s="2191">
        <f t="shared" si="12"/>
        <v>0</v>
      </c>
      <c r="S883" s="2191">
        <v>0</v>
      </c>
      <c r="T883" s="2192">
        <f t="shared" si="13"/>
        <v>0</v>
      </c>
      <c r="AR883" s="2193" t="s">
        <v>2894</v>
      </c>
      <c r="AT883" s="2193" t="s">
        <v>3286</v>
      </c>
      <c r="AU883" s="2193" t="s">
        <v>134</v>
      </c>
      <c r="AY883" s="2056" t="s">
        <v>3285</v>
      </c>
      <c r="BE883" s="2194">
        <f t="shared" si="14"/>
        <v>0</v>
      </c>
      <c r="BF883" s="2194">
        <f t="shared" si="15"/>
        <v>0</v>
      </c>
      <c r="BG883" s="2194">
        <f t="shared" si="16"/>
        <v>0</v>
      </c>
      <c r="BH883" s="2194">
        <f t="shared" si="17"/>
        <v>0</v>
      </c>
      <c r="BI883" s="2194">
        <f t="shared" si="18"/>
        <v>0</v>
      </c>
      <c r="BJ883" s="2056" t="s">
        <v>134</v>
      </c>
      <c r="BK883" s="2194">
        <f t="shared" si="19"/>
        <v>0</v>
      </c>
      <c r="BL883" s="2056" t="s">
        <v>2894</v>
      </c>
      <c r="BM883" s="2193" t="s">
        <v>5209</v>
      </c>
    </row>
    <row r="884" spans="2:65" s="2070" customFormat="1" ht="16.5" customHeight="1">
      <c r="B884" s="2164"/>
      <c r="C884" s="4608" t="s">
        <v>4198</v>
      </c>
      <c r="D884" s="4608" t="s">
        <v>3286</v>
      </c>
      <c r="E884" s="4609" t="s">
        <v>5211</v>
      </c>
      <c r="F884" s="4610" t="s">
        <v>5212</v>
      </c>
      <c r="G884" s="4611" t="s">
        <v>155</v>
      </c>
      <c r="H884" s="4612">
        <v>1</v>
      </c>
      <c r="I884" s="4613"/>
      <c r="J884" s="4613">
        <f t="shared" si="10"/>
        <v>0</v>
      </c>
      <c r="K884" s="4610" t="s">
        <v>3146</v>
      </c>
      <c r="L884" s="2071"/>
      <c r="M884" s="2190" t="s">
        <v>3146</v>
      </c>
      <c r="N884" s="2163" t="s">
        <v>3181</v>
      </c>
      <c r="O884" s="2191">
        <v>0.25</v>
      </c>
      <c r="P884" s="2191">
        <f t="shared" si="11"/>
        <v>0.25</v>
      </c>
      <c r="Q884" s="2191">
        <v>0</v>
      </c>
      <c r="R884" s="2191">
        <f t="shared" si="12"/>
        <v>0</v>
      </c>
      <c r="S884" s="2191">
        <v>0</v>
      </c>
      <c r="T884" s="2192">
        <f t="shared" si="13"/>
        <v>0</v>
      </c>
      <c r="AR884" s="2193" t="s">
        <v>2894</v>
      </c>
      <c r="AT884" s="2193" t="s">
        <v>3286</v>
      </c>
      <c r="AU884" s="2193" t="s">
        <v>134</v>
      </c>
      <c r="AY884" s="2056" t="s">
        <v>3285</v>
      </c>
      <c r="BE884" s="2194">
        <f t="shared" si="14"/>
        <v>0</v>
      </c>
      <c r="BF884" s="2194">
        <f t="shared" si="15"/>
        <v>0</v>
      </c>
      <c r="BG884" s="2194">
        <f t="shared" si="16"/>
        <v>0</v>
      </c>
      <c r="BH884" s="2194">
        <f t="shared" si="17"/>
        <v>0</v>
      </c>
      <c r="BI884" s="2194">
        <f t="shared" si="18"/>
        <v>0</v>
      </c>
      <c r="BJ884" s="2056" t="s">
        <v>134</v>
      </c>
      <c r="BK884" s="2194">
        <f t="shared" si="19"/>
        <v>0</v>
      </c>
      <c r="BL884" s="2056" t="s">
        <v>2894</v>
      </c>
      <c r="BM884" s="2193" t="s">
        <v>5213</v>
      </c>
    </row>
    <row r="885" spans="2:65" s="2070" customFormat="1" ht="16.5" customHeight="1">
      <c r="B885" s="2164"/>
      <c r="C885" s="4608" t="s">
        <v>4204</v>
      </c>
      <c r="D885" s="4608" t="s">
        <v>3286</v>
      </c>
      <c r="E885" s="4609" t="s">
        <v>5215</v>
      </c>
      <c r="F885" s="4610" t="s">
        <v>5216</v>
      </c>
      <c r="G885" s="4611" t="s">
        <v>155</v>
      </c>
      <c r="H885" s="4612">
        <v>1</v>
      </c>
      <c r="I885" s="4613"/>
      <c r="J885" s="4613">
        <f t="shared" si="10"/>
        <v>0</v>
      </c>
      <c r="K885" s="4610" t="s">
        <v>3146</v>
      </c>
      <c r="L885" s="2071"/>
      <c r="M885" s="2190" t="s">
        <v>3146</v>
      </c>
      <c r="N885" s="2163" t="s">
        <v>3181</v>
      </c>
      <c r="O885" s="2191">
        <v>0.25</v>
      </c>
      <c r="P885" s="2191">
        <f t="shared" si="11"/>
        <v>0.25</v>
      </c>
      <c r="Q885" s="2191">
        <v>0</v>
      </c>
      <c r="R885" s="2191">
        <f t="shared" si="12"/>
        <v>0</v>
      </c>
      <c r="S885" s="2191">
        <v>0</v>
      </c>
      <c r="T885" s="2192">
        <f t="shared" si="13"/>
        <v>0</v>
      </c>
      <c r="AR885" s="2193" t="s">
        <v>2894</v>
      </c>
      <c r="AT885" s="2193" t="s">
        <v>3286</v>
      </c>
      <c r="AU885" s="2193" t="s">
        <v>134</v>
      </c>
      <c r="AY885" s="2056" t="s">
        <v>3285</v>
      </c>
      <c r="BE885" s="2194">
        <f t="shared" si="14"/>
        <v>0</v>
      </c>
      <c r="BF885" s="2194">
        <f t="shared" si="15"/>
        <v>0</v>
      </c>
      <c r="BG885" s="2194">
        <f t="shared" si="16"/>
        <v>0</v>
      </c>
      <c r="BH885" s="2194">
        <f t="shared" si="17"/>
        <v>0</v>
      </c>
      <c r="BI885" s="2194">
        <f t="shared" si="18"/>
        <v>0</v>
      </c>
      <c r="BJ885" s="2056" t="s">
        <v>134</v>
      </c>
      <c r="BK885" s="2194">
        <f t="shared" si="19"/>
        <v>0</v>
      </c>
      <c r="BL885" s="2056" t="s">
        <v>2894</v>
      </c>
      <c r="BM885" s="2193" t="s">
        <v>5217</v>
      </c>
    </row>
    <row r="886" spans="2:65" s="2070" customFormat="1" ht="16.5" customHeight="1">
      <c r="B886" s="2164"/>
      <c r="C886" s="4608" t="s">
        <v>4209</v>
      </c>
      <c r="D886" s="4608" t="s">
        <v>3286</v>
      </c>
      <c r="E886" s="4609" t="s">
        <v>5219</v>
      </c>
      <c r="F886" s="4610" t="s">
        <v>5220</v>
      </c>
      <c r="G886" s="4611" t="s">
        <v>155</v>
      </c>
      <c r="H886" s="4612">
        <v>1</v>
      </c>
      <c r="I886" s="4613"/>
      <c r="J886" s="4613">
        <f t="shared" si="10"/>
        <v>0</v>
      </c>
      <c r="K886" s="4610" t="s">
        <v>3146</v>
      </c>
      <c r="L886" s="2071"/>
      <c r="M886" s="2190" t="s">
        <v>3146</v>
      </c>
      <c r="N886" s="2163" t="s">
        <v>3181</v>
      </c>
      <c r="O886" s="2191">
        <v>0.25</v>
      </c>
      <c r="P886" s="2191">
        <f t="shared" si="11"/>
        <v>0.25</v>
      </c>
      <c r="Q886" s="2191">
        <v>0</v>
      </c>
      <c r="R886" s="2191">
        <f t="shared" si="12"/>
        <v>0</v>
      </c>
      <c r="S886" s="2191">
        <v>0</v>
      </c>
      <c r="T886" s="2192">
        <f t="shared" si="13"/>
        <v>0</v>
      </c>
      <c r="AR886" s="2193" t="s">
        <v>2894</v>
      </c>
      <c r="AT886" s="2193" t="s">
        <v>3286</v>
      </c>
      <c r="AU886" s="2193" t="s">
        <v>134</v>
      </c>
      <c r="AY886" s="2056" t="s">
        <v>3285</v>
      </c>
      <c r="BE886" s="2194">
        <f t="shared" si="14"/>
        <v>0</v>
      </c>
      <c r="BF886" s="2194">
        <f t="shared" si="15"/>
        <v>0</v>
      </c>
      <c r="BG886" s="2194">
        <f t="shared" si="16"/>
        <v>0</v>
      </c>
      <c r="BH886" s="2194">
        <f t="shared" si="17"/>
        <v>0</v>
      </c>
      <c r="BI886" s="2194">
        <f t="shared" si="18"/>
        <v>0</v>
      </c>
      <c r="BJ886" s="2056" t="s">
        <v>134</v>
      </c>
      <c r="BK886" s="2194">
        <f t="shared" si="19"/>
        <v>0</v>
      </c>
      <c r="BL886" s="2056" t="s">
        <v>2894</v>
      </c>
      <c r="BM886" s="2193" t="s">
        <v>5221</v>
      </c>
    </row>
    <row r="887" spans="2:65" s="2070" customFormat="1" ht="16.5" customHeight="1">
      <c r="B887" s="2164"/>
      <c r="C887" s="4608" t="s">
        <v>2092</v>
      </c>
      <c r="D887" s="4608" t="s">
        <v>3286</v>
      </c>
      <c r="E887" s="4609" t="s">
        <v>5223</v>
      </c>
      <c r="F887" s="4610" t="s">
        <v>5224</v>
      </c>
      <c r="G887" s="4611" t="s">
        <v>155</v>
      </c>
      <c r="H887" s="4612">
        <v>1</v>
      </c>
      <c r="I887" s="4613"/>
      <c r="J887" s="4613">
        <f t="shared" si="10"/>
        <v>0</v>
      </c>
      <c r="K887" s="4610" t="s">
        <v>3146</v>
      </c>
      <c r="L887" s="2071"/>
      <c r="M887" s="2190" t="s">
        <v>3146</v>
      </c>
      <c r="N887" s="2163" t="s">
        <v>3181</v>
      </c>
      <c r="O887" s="2191">
        <v>0.25</v>
      </c>
      <c r="P887" s="2191">
        <f t="shared" si="11"/>
        <v>0.25</v>
      </c>
      <c r="Q887" s="2191">
        <v>0</v>
      </c>
      <c r="R887" s="2191">
        <f t="shared" si="12"/>
        <v>0</v>
      </c>
      <c r="S887" s="2191">
        <v>0</v>
      </c>
      <c r="T887" s="2192">
        <f t="shared" si="13"/>
        <v>0</v>
      </c>
      <c r="AR887" s="2193" t="s">
        <v>2894</v>
      </c>
      <c r="AT887" s="2193" t="s">
        <v>3286</v>
      </c>
      <c r="AU887" s="2193" t="s">
        <v>134</v>
      </c>
      <c r="AY887" s="2056" t="s">
        <v>3285</v>
      </c>
      <c r="BE887" s="2194">
        <f t="shared" si="14"/>
        <v>0</v>
      </c>
      <c r="BF887" s="2194">
        <f t="shared" si="15"/>
        <v>0</v>
      </c>
      <c r="BG887" s="2194">
        <f t="shared" si="16"/>
        <v>0</v>
      </c>
      <c r="BH887" s="2194">
        <f t="shared" si="17"/>
        <v>0</v>
      </c>
      <c r="BI887" s="2194">
        <f t="shared" si="18"/>
        <v>0</v>
      </c>
      <c r="BJ887" s="2056" t="s">
        <v>134</v>
      </c>
      <c r="BK887" s="2194">
        <f t="shared" si="19"/>
        <v>0</v>
      </c>
      <c r="BL887" s="2056" t="s">
        <v>2894</v>
      </c>
      <c r="BM887" s="2193" t="s">
        <v>5225</v>
      </c>
    </row>
    <row r="888" spans="2:65" s="2070" customFormat="1" ht="16.5" customHeight="1">
      <c r="B888" s="2164"/>
      <c r="C888" s="4608" t="s">
        <v>4222</v>
      </c>
      <c r="D888" s="4608" t="s">
        <v>3286</v>
      </c>
      <c r="E888" s="4609" t="s">
        <v>5227</v>
      </c>
      <c r="F888" s="4610" t="s">
        <v>5228</v>
      </c>
      <c r="G888" s="4611" t="s">
        <v>155</v>
      </c>
      <c r="H888" s="4612">
        <v>1</v>
      </c>
      <c r="I888" s="4613"/>
      <c r="J888" s="4613">
        <f t="shared" si="10"/>
        <v>0</v>
      </c>
      <c r="K888" s="4610" t="s">
        <v>3146</v>
      </c>
      <c r="L888" s="2071"/>
      <c r="M888" s="2190" t="s">
        <v>3146</v>
      </c>
      <c r="N888" s="2163" t="s">
        <v>3181</v>
      </c>
      <c r="O888" s="2191">
        <v>0.25</v>
      </c>
      <c r="P888" s="2191">
        <f t="shared" si="11"/>
        <v>0.25</v>
      </c>
      <c r="Q888" s="2191">
        <v>0</v>
      </c>
      <c r="R888" s="2191">
        <f t="shared" si="12"/>
        <v>0</v>
      </c>
      <c r="S888" s="2191">
        <v>0</v>
      </c>
      <c r="T888" s="2192">
        <f t="shared" si="13"/>
        <v>0</v>
      </c>
      <c r="AR888" s="2193" t="s">
        <v>2894</v>
      </c>
      <c r="AT888" s="2193" t="s">
        <v>3286</v>
      </c>
      <c r="AU888" s="2193" t="s">
        <v>134</v>
      </c>
      <c r="AY888" s="2056" t="s">
        <v>3285</v>
      </c>
      <c r="BE888" s="2194">
        <f t="shared" si="14"/>
        <v>0</v>
      </c>
      <c r="BF888" s="2194">
        <f t="shared" si="15"/>
        <v>0</v>
      </c>
      <c r="BG888" s="2194">
        <f t="shared" si="16"/>
        <v>0</v>
      </c>
      <c r="BH888" s="2194">
        <f t="shared" si="17"/>
        <v>0</v>
      </c>
      <c r="BI888" s="2194">
        <f t="shared" si="18"/>
        <v>0</v>
      </c>
      <c r="BJ888" s="2056" t="s">
        <v>134</v>
      </c>
      <c r="BK888" s="2194">
        <f t="shared" si="19"/>
        <v>0</v>
      </c>
      <c r="BL888" s="2056" t="s">
        <v>2894</v>
      </c>
      <c r="BM888" s="2193" t="s">
        <v>5229</v>
      </c>
    </row>
    <row r="889" spans="2:65" s="2070" customFormat="1" ht="16.5" customHeight="1">
      <c r="B889" s="2164"/>
      <c r="C889" s="4608" t="s">
        <v>4226</v>
      </c>
      <c r="D889" s="4608" t="s">
        <v>3286</v>
      </c>
      <c r="E889" s="4609" t="s">
        <v>5231</v>
      </c>
      <c r="F889" s="4610" t="s">
        <v>5232</v>
      </c>
      <c r="G889" s="4611" t="s">
        <v>155</v>
      </c>
      <c r="H889" s="4612">
        <v>1</v>
      </c>
      <c r="I889" s="4613"/>
      <c r="J889" s="4613">
        <f t="shared" si="10"/>
        <v>0</v>
      </c>
      <c r="K889" s="4610" t="s">
        <v>3146</v>
      </c>
      <c r="L889" s="2071"/>
      <c r="M889" s="2190" t="s">
        <v>3146</v>
      </c>
      <c r="N889" s="2163" t="s">
        <v>3181</v>
      </c>
      <c r="O889" s="2191">
        <v>0.25</v>
      </c>
      <c r="P889" s="2191">
        <f t="shared" si="11"/>
        <v>0.25</v>
      </c>
      <c r="Q889" s="2191">
        <v>0</v>
      </c>
      <c r="R889" s="2191">
        <f t="shared" si="12"/>
        <v>0</v>
      </c>
      <c r="S889" s="2191">
        <v>0</v>
      </c>
      <c r="T889" s="2192">
        <f t="shared" si="13"/>
        <v>0</v>
      </c>
      <c r="AR889" s="2193" t="s">
        <v>2894</v>
      </c>
      <c r="AT889" s="2193" t="s">
        <v>3286</v>
      </c>
      <c r="AU889" s="2193" t="s">
        <v>134</v>
      </c>
      <c r="AY889" s="2056" t="s">
        <v>3285</v>
      </c>
      <c r="BE889" s="2194">
        <f t="shared" si="14"/>
        <v>0</v>
      </c>
      <c r="BF889" s="2194">
        <f t="shared" si="15"/>
        <v>0</v>
      </c>
      <c r="BG889" s="2194">
        <f t="shared" si="16"/>
        <v>0</v>
      </c>
      <c r="BH889" s="2194">
        <f t="shared" si="17"/>
        <v>0</v>
      </c>
      <c r="BI889" s="2194">
        <f t="shared" si="18"/>
        <v>0</v>
      </c>
      <c r="BJ889" s="2056" t="s">
        <v>134</v>
      </c>
      <c r="BK889" s="2194">
        <f t="shared" si="19"/>
        <v>0</v>
      </c>
      <c r="BL889" s="2056" t="s">
        <v>2894</v>
      </c>
      <c r="BM889" s="2193" t="s">
        <v>5233</v>
      </c>
    </row>
    <row r="890" spans="2:65" s="2070" customFormat="1" ht="16.5" customHeight="1">
      <c r="B890" s="2164"/>
      <c r="C890" s="4608" t="s">
        <v>4230</v>
      </c>
      <c r="D890" s="4608" t="s">
        <v>3286</v>
      </c>
      <c r="E890" s="4609" t="s">
        <v>5235</v>
      </c>
      <c r="F890" s="4610" t="s">
        <v>5236</v>
      </c>
      <c r="G890" s="4611" t="s">
        <v>155</v>
      </c>
      <c r="H890" s="4612">
        <v>1</v>
      </c>
      <c r="I890" s="4613"/>
      <c r="J890" s="4613">
        <f t="shared" si="10"/>
        <v>0</v>
      </c>
      <c r="K890" s="4610" t="s">
        <v>3146</v>
      </c>
      <c r="L890" s="2071"/>
      <c r="M890" s="2190" t="s">
        <v>3146</v>
      </c>
      <c r="N890" s="2163" t="s">
        <v>3181</v>
      </c>
      <c r="O890" s="2191">
        <v>0.25</v>
      </c>
      <c r="P890" s="2191">
        <f t="shared" si="11"/>
        <v>0.25</v>
      </c>
      <c r="Q890" s="2191">
        <v>0</v>
      </c>
      <c r="R890" s="2191">
        <f t="shared" si="12"/>
        <v>0</v>
      </c>
      <c r="S890" s="2191">
        <v>0</v>
      </c>
      <c r="T890" s="2192">
        <f t="shared" si="13"/>
        <v>0</v>
      </c>
      <c r="AR890" s="2193" t="s">
        <v>2894</v>
      </c>
      <c r="AT890" s="2193" t="s">
        <v>3286</v>
      </c>
      <c r="AU890" s="2193" t="s">
        <v>134</v>
      </c>
      <c r="AY890" s="2056" t="s">
        <v>3285</v>
      </c>
      <c r="BE890" s="2194">
        <f t="shared" si="14"/>
        <v>0</v>
      </c>
      <c r="BF890" s="2194">
        <f t="shared" si="15"/>
        <v>0</v>
      </c>
      <c r="BG890" s="2194">
        <f t="shared" si="16"/>
        <v>0</v>
      </c>
      <c r="BH890" s="2194">
        <f t="shared" si="17"/>
        <v>0</v>
      </c>
      <c r="BI890" s="2194">
        <f t="shared" si="18"/>
        <v>0</v>
      </c>
      <c r="BJ890" s="2056" t="s">
        <v>134</v>
      </c>
      <c r="BK890" s="2194">
        <f t="shared" si="19"/>
        <v>0</v>
      </c>
      <c r="BL890" s="2056" t="s">
        <v>2894</v>
      </c>
      <c r="BM890" s="2193" t="s">
        <v>5237</v>
      </c>
    </row>
    <row r="891" spans="2:65" s="2070" customFormat="1" ht="16.5" customHeight="1">
      <c r="B891" s="2164"/>
      <c r="C891" s="4608" t="s">
        <v>4234</v>
      </c>
      <c r="D891" s="4608" t="s">
        <v>3286</v>
      </c>
      <c r="E891" s="4609" t="s">
        <v>5239</v>
      </c>
      <c r="F891" s="4610" t="s">
        <v>5240</v>
      </c>
      <c r="G891" s="4611" t="s">
        <v>155</v>
      </c>
      <c r="H891" s="4612">
        <v>1</v>
      </c>
      <c r="I891" s="4613"/>
      <c r="J891" s="4613">
        <f t="shared" si="10"/>
        <v>0</v>
      </c>
      <c r="K891" s="4610" t="s">
        <v>3146</v>
      </c>
      <c r="L891" s="2071"/>
      <c r="M891" s="2190" t="s">
        <v>3146</v>
      </c>
      <c r="N891" s="2163" t="s">
        <v>3181</v>
      </c>
      <c r="O891" s="2191">
        <v>0.25</v>
      </c>
      <c r="P891" s="2191">
        <f t="shared" si="11"/>
        <v>0.25</v>
      </c>
      <c r="Q891" s="2191">
        <v>0</v>
      </c>
      <c r="R891" s="2191">
        <f t="shared" si="12"/>
        <v>0</v>
      </c>
      <c r="S891" s="2191">
        <v>0</v>
      </c>
      <c r="T891" s="2192">
        <f t="shared" si="13"/>
        <v>0</v>
      </c>
      <c r="AR891" s="2193" t="s">
        <v>2894</v>
      </c>
      <c r="AT891" s="2193" t="s">
        <v>3286</v>
      </c>
      <c r="AU891" s="2193" t="s">
        <v>134</v>
      </c>
      <c r="AY891" s="2056" t="s">
        <v>3285</v>
      </c>
      <c r="BE891" s="2194">
        <f t="shared" si="14"/>
        <v>0</v>
      </c>
      <c r="BF891" s="2194">
        <f t="shared" si="15"/>
        <v>0</v>
      </c>
      <c r="BG891" s="2194">
        <f t="shared" si="16"/>
        <v>0</v>
      </c>
      <c r="BH891" s="2194">
        <f t="shared" si="17"/>
        <v>0</v>
      </c>
      <c r="BI891" s="2194">
        <f t="shared" si="18"/>
        <v>0</v>
      </c>
      <c r="BJ891" s="2056" t="s">
        <v>134</v>
      </c>
      <c r="BK891" s="2194">
        <f t="shared" si="19"/>
        <v>0</v>
      </c>
      <c r="BL891" s="2056" t="s">
        <v>2894</v>
      </c>
      <c r="BM891" s="2193" t="s">
        <v>5241</v>
      </c>
    </row>
    <row r="892" spans="2:65" s="2070" customFormat="1" ht="16.5" customHeight="1">
      <c r="B892" s="2164"/>
      <c r="C892" s="4608" t="s">
        <v>4238</v>
      </c>
      <c r="D892" s="4608" t="s">
        <v>3286</v>
      </c>
      <c r="E892" s="4609" t="s">
        <v>5243</v>
      </c>
      <c r="F892" s="4610" t="s">
        <v>5244</v>
      </c>
      <c r="G892" s="4611" t="s">
        <v>155</v>
      </c>
      <c r="H892" s="4612">
        <v>1</v>
      </c>
      <c r="I892" s="4613"/>
      <c r="J892" s="4613">
        <f t="shared" si="10"/>
        <v>0</v>
      </c>
      <c r="K892" s="4610" t="s">
        <v>3146</v>
      </c>
      <c r="L892" s="2071"/>
      <c r="M892" s="2190" t="s">
        <v>3146</v>
      </c>
      <c r="N892" s="2163" t="s">
        <v>3181</v>
      </c>
      <c r="O892" s="2191">
        <v>0.25</v>
      </c>
      <c r="P892" s="2191">
        <f t="shared" si="11"/>
        <v>0.25</v>
      </c>
      <c r="Q892" s="2191">
        <v>0</v>
      </c>
      <c r="R892" s="2191">
        <f t="shared" si="12"/>
        <v>0</v>
      </c>
      <c r="S892" s="2191">
        <v>0</v>
      </c>
      <c r="T892" s="2192">
        <f t="shared" si="13"/>
        <v>0</v>
      </c>
      <c r="AR892" s="2193" t="s">
        <v>2894</v>
      </c>
      <c r="AT892" s="2193" t="s">
        <v>3286</v>
      </c>
      <c r="AU892" s="2193" t="s">
        <v>134</v>
      </c>
      <c r="AY892" s="2056" t="s">
        <v>3285</v>
      </c>
      <c r="BE892" s="2194">
        <f t="shared" si="14"/>
        <v>0</v>
      </c>
      <c r="BF892" s="2194">
        <f t="shared" si="15"/>
        <v>0</v>
      </c>
      <c r="BG892" s="2194">
        <f t="shared" si="16"/>
        <v>0</v>
      </c>
      <c r="BH892" s="2194">
        <f t="shared" si="17"/>
        <v>0</v>
      </c>
      <c r="BI892" s="2194">
        <f t="shared" si="18"/>
        <v>0</v>
      </c>
      <c r="BJ892" s="2056" t="s">
        <v>134</v>
      </c>
      <c r="BK892" s="2194">
        <f t="shared" si="19"/>
        <v>0</v>
      </c>
      <c r="BL892" s="2056" t="s">
        <v>2894</v>
      </c>
      <c r="BM892" s="2193" t="s">
        <v>5245</v>
      </c>
    </row>
    <row r="893" spans="2:65" s="2070" customFormat="1" ht="16.5" customHeight="1">
      <c r="B893" s="2164"/>
      <c r="C893" s="4608" t="s">
        <v>4244</v>
      </c>
      <c r="D893" s="4608" t="s">
        <v>3286</v>
      </c>
      <c r="E893" s="4609" t="s">
        <v>5246</v>
      </c>
      <c r="F893" s="4610" t="s">
        <v>5247</v>
      </c>
      <c r="G893" s="4611" t="s">
        <v>155</v>
      </c>
      <c r="H893" s="4612">
        <v>1</v>
      </c>
      <c r="I893" s="4613"/>
      <c r="J893" s="4613">
        <f t="shared" si="10"/>
        <v>0</v>
      </c>
      <c r="K893" s="4610" t="s">
        <v>3146</v>
      </c>
      <c r="L893" s="2071"/>
      <c r="M893" s="2190" t="s">
        <v>3146</v>
      </c>
      <c r="N893" s="2163" t="s">
        <v>3181</v>
      </c>
      <c r="O893" s="2191">
        <v>1.47</v>
      </c>
      <c r="P893" s="2191">
        <f t="shared" si="11"/>
        <v>1.47</v>
      </c>
      <c r="Q893" s="2191">
        <v>0</v>
      </c>
      <c r="R893" s="2191">
        <f t="shared" si="12"/>
        <v>0</v>
      </c>
      <c r="S893" s="2191">
        <v>0</v>
      </c>
      <c r="T893" s="2192">
        <f t="shared" si="13"/>
        <v>0</v>
      </c>
      <c r="AR893" s="2193" t="s">
        <v>2894</v>
      </c>
      <c r="AT893" s="2193" t="s">
        <v>3286</v>
      </c>
      <c r="AU893" s="2193" t="s">
        <v>134</v>
      </c>
      <c r="AY893" s="2056" t="s">
        <v>3285</v>
      </c>
      <c r="BE893" s="2194">
        <f t="shared" si="14"/>
        <v>0</v>
      </c>
      <c r="BF893" s="2194">
        <f t="shared" si="15"/>
        <v>0</v>
      </c>
      <c r="BG893" s="2194">
        <f t="shared" si="16"/>
        <v>0</v>
      </c>
      <c r="BH893" s="2194">
        <f t="shared" si="17"/>
        <v>0</v>
      </c>
      <c r="BI893" s="2194">
        <f t="shared" si="18"/>
        <v>0</v>
      </c>
      <c r="BJ893" s="2056" t="s">
        <v>134</v>
      </c>
      <c r="BK893" s="2194">
        <f t="shared" si="19"/>
        <v>0</v>
      </c>
      <c r="BL893" s="2056" t="s">
        <v>2894</v>
      </c>
      <c r="BM893" s="2193" t="s">
        <v>5248</v>
      </c>
    </row>
    <row r="894" spans="2:65" s="2209" customFormat="1">
      <c r="B894" s="2210"/>
      <c r="D894" s="2197" t="s">
        <v>3303</v>
      </c>
      <c r="E894" s="2211" t="s">
        <v>3146</v>
      </c>
      <c r="F894" s="2212" t="s">
        <v>5249</v>
      </c>
      <c r="H894" s="2213">
        <v>1</v>
      </c>
      <c r="L894" s="2210"/>
      <c r="M894" s="2214"/>
      <c r="T894" s="2215"/>
      <c r="AT894" s="2211" t="s">
        <v>3303</v>
      </c>
      <c r="AU894" s="2211" t="s">
        <v>134</v>
      </c>
      <c r="AV894" s="2209" t="s">
        <v>134</v>
      </c>
      <c r="AW894" s="2209" t="s">
        <v>3171</v>
      </c>
      <c r="AX894" s="2209" t="s">
        <v>3213</v>
      </c>
      <c r="AY894" s="2211" t="s">
        <v>3285</v>
      </c>
    </row>
    <row r="895" spans="2:65" s="2216" customFormat="1">
      <c r="B895" s="2217"/>
      <c r="D895" s="2197" t="s">
        <v>3303</v>
      </c>
      <c r="E895" s="2218" t="s">
        <v>3146</v>
      </c>
      <c r="F895" s="2219" t="s">
        <v>3306</v>
      </c>
      <c r="H895" s="2220">
        <v>1</v>
      </c>
      <c r="L895" s="2217"/>
      <c r="M895" s="2221"/>
      <c r="T895" s="2222"/>
      <c r="AT895" s="2218" t="s">
        <v>3303</v>
      </c>
      <c r="AU895" s="2218" t="s">
        <v>134</v>
      </c>
      <c r="AV895" s="2216" t="s">
        <v>856</v>
      </c>
      <c r="AW895" s="2216" t="s">
        <v>3171</v>
      </c>
      <c r="AX895" s="2216" t="s">
        <v>133</v>
      </c>
      <c r="AY895" s="2218" t="s">
        <v>3285</v>
      </c>
    </row>
    <row r="896" spans="2:65" s="2070" customFormat="1" ht="33" customHeight="1">
      <c r="B896" s="2164"/>
      <c r="C896" s="4614" t="s">
        <v>4248</v>
      </c>
      <c r="D896" s="4614" t="s">
        <v>135</v>
      </c>
      <c r="E896" s="4615" t="s">
        <v>5250</v>
      </c>
      <c r="F896" s="4616" t="s">
        <v>5251</v>
      </c>
      <c r="G896" s="4617" t="s">
        <v>155</v>
      </c>
      <c r="H896" s="4618">
        <v>1</v>
      </c>
      <c r="I896" s="4619"/>
      <c r="J896" s="4619">
        <f>ROUND(I896*H896,2)</f>
        <v>0</v>
      </c>
      <c r="K896" s="4616" t="s">
        <v>3146</v>
      </c>
      <c r="L896" s="2223"/>
      <c r="M896" s="2224" t="s">
        <v>3146</v>
      </c>
      <c r="N896" s="2225" t="s">
        <v>3181</v>
      </c>
      <c r="O896" s="2191">
        <v>0</v>
      </c>
      <c r="P896" s="2191">
        <f>O896*H896</f>
        <v>0</v>
      </c>
      <c r="Q896" s="2191">
        <v>3.2399999999999998E-2</v>
      </c>
      <c r="R896" s="2191">
        <f>Q896*H896</f>
        <v>3.2399999999999998E-2</v>
      </c>
      <c r="S896" s="2191">
        <v>0</v>
      </c>
      <c r="T896" s="2192">
        <f>S896*H896</f>
        <v>0</v>
      </c>
      <c r="AR896" s="2193" t="s">
        <v>3389</v>
      </c>
      <c r="AT896" s="2193" t="s">
        <v>135</v>
      </c>
      <c r="AU896" s="2193" t="s">
        <v>134</v>
      </c>
      <c r="AY896" s="2056" t="s">
        <v>3285</v>
      </c>
      <c r="BE896" s="2194">
        <f>IF(N896="základní",J896,0)</f>
        <v>0</v>
      </c>
      <c r="BF896" s="2194">
        <f>IF(N896="snížená",J896,0)</f>
        <v>0</v>
      </c>
      <c r="BG896" s="2194">
        <f>IF(N896="zákl. přenesená",J896,0)</f>
        <v>0</v>
      </c>
      <c r="BH896" s="2194">
        <f>IF(N896="sníž. přenesená",J896,0)</f>
        <v>0</v>
      </c>
      <c r="BI896" s="2194">
        <f>IF(N896="nulová",J896,0)</f>
        <v>0</v>
      </c>
      <c r="BJ896" s="2056" t="s">
        <v>134</v>
      </c>
      <c r="BK896" s="2194">
        <f>ROUND(I896*H896,2)</f>
        <v>0</v>
      </c>
      <c r="BL896" s="2056" t="s">
        <v>2894</v>
      </c>
      <c r="BM896" s="2193" t="s">
        <v>5252</v>
      </c>
    </row>
    <row r="897" spans="2:65" s="2209" customFormat="1">
      <c r="B897" s="2210"/>
      <c r="D897" s="2197" t="s">
        <v>3303</v>
      </c>
      <c r="E897" s="2211" t="s">
        <v>3146</v>
      </c>
      <c r="F897" s="2212" t="s">
        <v>5249</v>
      </c>
      <c r="H897" s="2213">
        <v>1</v>
      </c>
      <c r="L897" s="2210"/>
      <c r="M897" s="2214"/>
      <c r="T897" s="2215"/>
      <c r="AT897" s="2211" t="s">
        <v>3303</v>
      </c>
      <c r="AU897" s="2211" t="s">
        <v>134</v>
      </c>
      <c r="AV897" s="2209" t="s">
        <v>134</v>
      </c>
      <c r="AW897" s="2209" t="s">
        <v>3171</v>
      </c>
      <c r="AX897" s="2209" t="s">
        <v>133</v>
      </c>
      <c r="AY897" s="2211" t="s">
        <v>3285</v>
      </c>
    </row>
    <row r="898" spans="2:65" s="2070" customFormat="1" ht="24.2" customHeight="1">
      <c r="B898" s="2164"/>
      <c r="C898" s="4608" t="s">
        <v>4252</v>
      </c>
      <c r="D898" s="4608" t="s">
        <v>3286</v>
      </c>
      <c r="E898" s="4609" t="s">
        <v>11347</v>
      </c>
      <c r="F898" s="4610" t="s">
        <v>11348</v>
      </c>
      <c r="G898" s="4611" t="s">
        <v>302</v>
      </c>
      <c r="H898" s="4612">
        <v>6.8479999999999999</v>
      </c>
      <c r="I898" s="4613"/>
      <c r="J898" s="4613">
        <f>ROUND(I898*H898,2)</f>
        <v>0</v>
      </c>
      <c r="K898" s="4610" t="s">
        <v>142</v>
      </c>
      <c r="L898" s="2071"/>
      <c r="M898" s="2190" t="s">
        <v>3146</v>
      </c>
      <c r="N898" s="2163" t="s">
        <v>3181</v>
      </c>
      <c r="O898" s="2191">
        <v>2.4470000000000001</v>
      </c>
      <c r="P898" s="2191">
        <f>O898*H898</f>
        <v>16.757055999999999</v>
      </c>
      <c r="Q898" s="2191">
        <v>0</v>
      </c>
      <c r="R898" s="2191">
        <f>Q898*H898</f>
        <v>0</v>
      </c>
      <c r="S898" s="2191">
        <v>0</v>
      </c>
      <c r="T898" s="2192">
        <f>S898*H898</f>
        <v>0</v>
      </c>
      <c r="AR898" s="2193" t="s">
        <v>2894</v>
      </c>
      <c r="AT898" s="2193" t="s">
        <v>3286</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11349</v>
      </c>
    </row>
    <row r="899" spans="2:65" s="2070" customFormat="1" ht="24.2" customHeight="1">
      <c r="B899" s="2164"/>
      <c r="C899" s="4608" t="s">
        <v>4256</v>
      </c>
      <c r="D899" s="4608" t="s">
        <v>3286</v>
      </c>
      <c r="E899" s="4609" t="s">
        <v>11350</v>
      </c>
      <c r="F899" s="4610" t="s">
        <v>11351</v>
      </c>
      <c r="G899" s="4611" t="s">
        <v>302</v>
      </c>
      <c r="H899" s="4612">
        <v>6.8479999999999999</v>
      </c>
      <c r="I899" s="4613"/>
      <c r="J899" s="4613">
        <f>ROUND(I899*H899,2)</f>
        <v>0</v>
      </c>
      <c r="K899" s="4610" t="s">
        <v>142</v>
      </c>
      <c r="L899" s="2071"/>
      <c r="M899" s="2190" t="s">
        <v>3146</v>
      </c>
      <c r="N899" s="2163" t="s">
        <v>3181</v>
      </c>
      <c r="O899" s="2191">
        <v>1.45</v>
      </c>
      <c r="P899" s="2191">
        <f>O899*H899</f>
        <v>9.9295999999999989</v>
      </c>
      <c r="Q899" s="2191">
        <v>0</v>
      </c>
      <c r="R899" s="2191">
        <f>Q899*H899</f>
        <v>0</v>
      </c>
      <c r="S899" s="2191">
        <v>0</v>
      </c>
      <c r="T899" s="2192">
        <f>S899*H899</f>
        <v>0</v>
      </c>
      <c r="AR899" s="2193" t="s">
        <v>2894</v>
      </c>
      <c r="AT899" s="2193" t="s">
        <v>3286</v>
      </c>
      <c r="AU899" s="2193" t="s">
        <v>134</v>
      </c>
      <c r="AY899" s="2056" t="s">
        <v>3285</v>
      </c>
      <c r="BE899" s="2194">
        <f>IF(N899="základní",J899,0)</f>
        <v>0</v>
      </c>
      <c r="BF899" s="2194">
        <f>IF(N899="snížená",J899,0)</f>
        <v>0</v>
      </c>
      <c r="BG899" s="2194">
        <f>IF(N899="zákl. přenesená",J899,0)</f>
        <v>0</v>
      </c>
      <c r="BH899" s="2194">
        <f>IF(N899="sníž. přenesená",J899,0)</f>
        <v>0</v>
      </c>
      <c r="BI899" s="2194">
        <f>IF(N899="nulová",J899,0)</f>
        <v>0</v>
      </c>
      <c r="BJ899" s="2056" t="s">
        <v>134</v>
      </c>
      <c r="BK899" s="2194">
        <f>ROUND(I899*H899,2)</f>
        <v>0</v>
      </c>
      <c r="BL899" s="2056" t="s">
        <v>2894</v>
      </c>
      <c r="BM899" s="2193" t="s">
        <v>11352</v>
      </c>
    </row>
    <row r="900" spans="2:65" s="2178" customFormat="1" ht="22.9" customHeight="1">
      <c r="B900" s="2179"/>
      <c r="D900" s="2180" t="s">
        <v>3212</v>
      </c>
      <c r="E900" s="2188" t="s">
        <v>2823</v>
      </c>
      <c r="F900" s="2188" t="s">
        <v>2822</v>
      </c>
      <c r="J900" s="2189">
        <f>BK900</f>
        <v>0</v>
      </c>
      <c r="L900" s="2179"/>
      <c r="M900" s="2183"/>
      <c r="P900" s="2184">
        <f>SUM(P901:P1604)</f>
        <v>2377.8057740000008</v>
      </c>
      <c r="R900" s="2184">
        <f>SUM(R901:R1604)</f>
        <v>29.24509664</v>
      </c>
      <c r="T900" s="2185">
        <f>SUM(T901:T1604)</f>
        <v>0</v>
      </c>
      <c r="AR900" s="2180" t="s">
        <v>134</v>
      </c>
      <c r="AT900" s="2186" t="s">
        <v>3212</v>
      </c>
      <c r="AU900" s="2186" t="s">
        <v>133</v>
      </c>
      <c r="AY900" s="2180" t="s">
        <v>3285</v>
      </c>
      <c r="BK900" s="2187">
        <f>SUM(BK901:BK1604)</f>
        <v>0</v>
      </c>
    </row>
    <row r="901" spans="2:65" s="2070" customFormat="1" ht="21.75" customHeight="1">
      <c r="B901" s="2164"/>
      <c r="C901" s="4608" t="s">
        <v>2724</v>
      </c>
      <c r="D901" s="4608" t="s">
        <v>3286</v>
      </c>
      <c r="E901" s="4609" t="s">
        <v>5268</v>
      </c>
      <c r="F901" s="4610" t="s">
        <v>5269</v>
      </c>
      <c r="G901" s="4611" t="s">
        <v>611</v>
      </c>
      <c r="H901" s="4612">
        <v>210</v>
      </c>
      <c r="I901" s="4613"/>
      <c r="J901" s="4613">
        <f>ROUND(I901*H901,2)</f>
        <v>0</v>
      </c>
      <c r="K901" s="4610" t="s">
        <v>3146</v>
      </c>
      <c r="L901" s="2071"/>
      <c r="M901" s="2190" t="s">
        <v>3146</v>
      </c>
      <c r="N901" s="2163" t="s">
        <v>3181</v>
      </c>
      <c r="O901" s="2191">
        <v>0</v>
      </c>
      <c r="P901" s="2191">
        <f>O901*H901</f>
        <v>0</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5270</v>
      </c>
    </row>
    <row r="902" spans="2:65" s="2209" customFormat="1">
      <c r="B902" s="2210"/>
      <c r="D902" s="2197" t="s">
        <v>3303</v>
      </c>
      <c r="E902" s="2211" t="s">
        <v>3146</v>
      </c>
      <c r="F902" s="2212" t="s">
        <v>5271</v>
      </c>
      <c r="H902" s="2213">
        <v>210</v>
      </c>
      <c r="L902" s="2210"/>
      <c r="M902" s="2214"/>
      <c r="T902" s="2215"/>
      <c r="AT902" s="2211" t="s">
        <v>3303</v>
      </c>
      <c r="AU902" s="2211" t="s">
        <v>134</v>
      </c>
      <c r="AV902" s="2209" t="s">
        <v>134</v>
      </c>
      <c r="AW902" s="2209" t="s">
        <v>3171</v>
      </c>
      <c r="AX902" s="2209" t="s">
        <v>133</v>
      </c>
      <c r="AY902" s="2211" t="s">
        <v>3285</v>
      </c>
    </row>
    <row r="903" spans="2:65" s="2070" customFormat="1" ht="24.2" customHeight="1">
      <c r="B903" s="2164"/>
      <c r="C903" s="4608" t="s">
        <v>5782</v>
      </c>
      <c r="D903" s="4608" t="s">
        <v>3286</v>
      </c>
      <c r="E903" s="4609" t="s">
        <v>5272</v>
      </c>
      <c r="F903" s="4610" t="s">
        <v>5273</v>
      </c>
      <c r="G903" s="4611" t="s">
        <v>141</v>
      </c>
      <c r="H903" s="4612">
        <v>12</v>
      </c>
      <c r="I903" s="4613"/>
      <c r="J903" s="4613">
        <f>ROUND(I903*H903,2)</f>
        <v>0</v>
      </c>
      <c r="K903" s="4610" t="s">
        <v>142</v>
      </c>
      <c r="L903" s="2071"/>
      <c r="M903" s="2190" t="s">
        <v>3146</v>
      </c>
      <c r="N903" s="2163" t="s">
        <v>3181</v>
      </c>
      <c r="O903" s="2191">
        <v>0.72599999999999998</v>
      </c>
      <c r="P903" s="2191">
        <f>O903*H903</f>
        <v>8.7119999999999997</v>
      </c>
      <c r="Q903" s="2191">
        <v>3.0000000000000001E-5</v>
      </c>
      <c r="R903" s="2191">
        <f>Q903*H903</f>
        <v>3.6000000000000002E-4</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5274</v>
      </c>
    </row>
    <row r="904" spans="2:65" s="2070" customFormat="1" ht="21.75" customHeight="1">
      <c r="B904" s="2164"/>
      <c r="C904" s="4614" t="s">
        <v>5786</v>
      </c>
      <c r="D904" s="4614" t="s">
        <v>135</v>
      </c>
      <c r="E904" s="4615" t="s">
        <v>5275</v>
      </c>
      <c r="F904" s="4616" t="s">
        <v>5276</v>
      </c>
      <c r="G904" s="4617" t="s">
        <v>611</v>
      </c>
      <c r="H904" s="4618">
        <v>3</v>
      </c>
      <c r="I904" s="4619"/>
      <c r="J904" s="4619">
        <f>ROUND(I904*H904,2)</f>
        <v>0</v>
      </c>
      <c r="K904" s="4616" t="s">
        <v>142</v>
      </c>
      <c r="L904" s="2223"/>
      <c r="M904" s="2224" t="s">
        <v>3146</v>
      </c>
      <c r="N904" s="2225" t="s">
        <v>3181</v>
      </c>
      <c r="O904" s="2191">
        <v>0</v>
      </c>
      <c r="P904" s="2191">
        <f>O904*H904</f>
        <v>0</v>
      </c>
      <c r="Q904" s="2191">
        <v>7.4999999999999997E-3</v>
      </c>
      <c r="R904" s="2191">
        <f>Q904*H904</f>
        <v>2.2499999999999999E-2</v>
      </c>
      <c r="S904" s="2191">
        <v>0</v>
      </c>
      <c r="T904" s="2192">
        <f>S904*H904</f>
        <v>0</v>
      </c>
      <c r="AR904" s="2193" t="s">
        <v>3389</v>
      </c>
      <c r="AT904" s="2193" t="s">
        <v>135</v>
      </c>
      <c r="AU904" s="2193" t="s">
        <v>134</v>
      </c>
      <c r="AY904" s="2056" t="s">
        <v>3285</v>
      </c>
      <c r="BE904" s="2194">
        <f>IF(N904="základní",J904,0)</f>
        <v>0</v>
      </c>
      <c r="BF904" s="2194">
        <f>IF(N904="snížená",J904,0)</f>
        <v>0</v>
      </c>
      <c r="BG904" s="2194">
        <f>IF(N904="zákl. přenesená",J904,0)</f>
        <v>0</v>
      </c>
      <c r="BH904" s="2194">
        <f>IF(N904="sníž. přenesená",J904,0)</f>
        <v>0</v>
      </c>
      <c r="BI904" s="2194">
        <f>IF(N904="nulová",J904,0)</f>
        <v>0</v>
      </c>
      <c r="BJ904" s="2056" t="s">
        <v>134</v>
      </c>
      <c r="BK904" s="2194">
        <f>ROUND(I904*H904,2)</f>
        <v>0</v>
      </c>
      <c r="BL904" s="2056" t="s">
        <v>2894</v>
      </c>
      <c r="BM904" s="2193" t="s">
        <v>5277</v>
      </c>
    </row>
    <row r="905" spans="2:65" s="2209" customFormat="1">
      <c r="B905" s="2210"/>
      <c r="D905" s="2197" t="s">
        <v>3303</v>
      </c>
      <c r="E905" s="2211" t="s">
        <v>3146</v>
      </c>
      <c r="F905" s="2212" t="s">
        <v>5278</v>
      </c>
      <c r="H905" s="2213">
        <v>3</v>
      </c>
      <c r="L905" s="2210"/>
      <c r="M905" s="2214"/>
      <c r="T905" s="2215"/>
      <c r="AT905" s="2211" t="s">
        <v>3303</v>
      </c>
      <c r="AU905" s="2211" t="s">
        <v>134</v>
      </c>
      <c r="AV905" s="2209" t="s">
        <v>134</v>
      </c>
      <c r="AW905" s="2209" t="s">
        <v>3171</v>
      </c>
      <c r="AX905" s="2209" t="s">
        <v>133</v>
      </c>
      <c r="AY905" s="2211" t="s">
        <v>3285</v>
      </c>
    </row>
    <row r="906" spans="2:65" s="2070" customFormat="1" ht="24.2" customHeight="1">
      <c r="B906" s="2164"/>
      <c r="C906" s="4608" t="s">
        <v>5792</v>
      </c>
      <c r="D906" s="4608" t="s">
        <v>3286</v>
      </c>
      <c r="E906" s="4609" t="s">
        <v>5279</v>
      </c>
      <c r="F906" s="4610" t="s">
        <v>5280</v>
      </c>
      <c r="G906" s="4611" t="s">
        <v>141</v>
      </c>
      <c r="H906" s="4612">
        <v>2.06</v>
      </c>
      <c r="I906" s="4613"/>
      <c r="J906" s="4613">
        <f>ROUND(I906*H906,2)</f>
        <v>0</v>
      </c>
      <c r="K906" s="4610" t="s">
        <v>142</v>
      </c>
      <c r="L906" s="2071"/>
      <c r="M906" s="2190" t="s">
        <v>3146</v>
      </c>
      <c r="N906" s="2163" t="s">
        <v>3181</v>
      </c>
      <c r="O906" s="2191">
        <v>0.86399999999999999</v>
      </c>
      <c r="P906" s="2191">
        <f>O906*H906</f>
        <v>1.7798400000000001</v>
      </c>
      <c r="Q906" s="2191">
        <v>6.0000000000000002E-5</v>
      </c>
      <c r="R906" s="2191">
        <f>Q906*H906</f>
        <v>1.236E-4</v>
      </c>
      <c r="S906" s="2191">
        <v>0</v>
      </c>
      <c r="T906" s="2192">
        <f>S906*H906</f>
        <v>0</v>
      </c>
      <c r="AR906" s="2193" t="s">
        <v>2894</v>
      </c>
      <c r="AT906" s="2193" t="s">
        <v>3286</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5281</v>
      </c>
    </row>
    <row r="907" spans="2:65" s="2195" customFormat="1">
      <c r="B907" s="2196"/>
      <c r="D907" s="2197" t="s">
        <v>3303</v>
      </c>
      <c r="E907" s="2198" t="s">
        <v>3146</v>
      </c>
      <c r="F907" s="2199" t="s">
        <v>5143</v>
      </c>
      <c r="H907" s="2198" t="s">
        <v>3146</v>
      </c>
      <c r="L907" s="2196"/>
      <c r="M907" s="2200"/>
      <c r="T907" s="2201"/>
      <c r="AT907" s="2198" t="s">
        <v>3303</v>
      </c>
      <c r="AU907" s="2198" t="s">
        <v>134</v>
      </c>
      <c r="AV907" s="2195" t="s">
        <v>133</v>
      </c>
      <c r="AW907" s="2195" t="s">
        <v>3171</v>
      </c>
      <c r="AX907" s="2195" t="s">
        <v>3213</v>
      </c>
      <c r="AY907" s="2198" t="s">
        <v>3285</v>
      </c>
    </row>
    <row r="908" spans="2:65" s="2209" customFormat="1">
      <c r="B908" s="2210"/>
      <c r="D908" s="2197" t="s">
        <v>3303</v>
      </c>
      <c r="E908" s="2211" t="s">
        <v>3146</v>
      </c>
      <c r="F908" s="2212" t="s">
        <v>5145</v>
      </c>
      <c r="H908" s="2213">
        <v>2.06</v>
      </c>
      <c r="L908" s="2210"/>
      <c r="M908" s="2214"/>
      <c r="T908" s="2215"/>
      <c r="AT908" s="2211" t="s">
        <v>3303</v>
      </c>
      <c r="AU908" s="2211" t="s">
        <v>134</v>
      </c>
      <c r="AV908" s="2209" t="s">
        <v>134</v>
      </c>
      <c r="AW908" s="2209" t="s">
        <v>3171</v>
      </c>
      <c r="AX908" s="2209" t="s">
        <v>133</v>
      </c>
      <c r="AY908" s="2211" t="s">
        <v>3285</v>
      </c>
    </row>
    <row r="909" spans="2:65" s="2070" customFormat="1" ht="33" customHeight="1">
      <c r="B909" s="2164"/>
      <c r="C909" s="4614" t="s">
        <v>5811</v>
      </c>
      <c r="D909" s="4614" t="s">
        <v>135</v>
      </c>
      <c r="E909" s="4615" t="s">
        <v>5282</v>
      </c>
      <c r="F909" s="4616" t="s">
        <v>5283</v>
      </c>
      <c r="G909" s="4617" t="s">
        <v>141</v>
      </c>
      <c r="H909" s="4618">
        <v>2.266</v>
      </c>
      <c r="I909" s="4619"/>
      <c r="J909" s="4619">
        <f>ROUND(I909*H909,2)</f>
        <v>0</v>
      </c>
      <c r="K909" s="4616" t="s">
        <v>3146</v>
      </c>
      <c r="L909" s="2223"/>
      <c r="M909" s="2224" t="s">
        <v>3146</v>
      </c>
      <c r="N909" s="2225" t="s">
        <v>3181</v>
      </c>
      <c r="O909" s="2191">
        <v>0</v>
      </c>
      <c r="P909" s="2191">
        <f>O909*H909</f>
        <v>0</v>
      </c>
      <c r="Q909" s="2191">
        <v>0</v>
      </c>
      <c r="R909" s="2191">
        <f>Q909*H909</f>
        <v>0</v>
      </c>
      <c r="S909" s="2191">
        <v>0</v>
      </c>
      <c r="T909" s="2192">
        <f>S909*H909</f>
        <v>0</v>
      </c>
      <c r="AR909" s="2193" t="s">
        <v>3389</v>
      </c>
      <c r="AT909" s="2193" t="s">
        <v>135</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5284</v>
      </c>
    </row>
    <row r="910" spans="2:65" s="2209" customFormat="1">
      <c r="B910" s="2210"/>
      <c r="D910" s="2197" t="s">
        <v>3303</v>
      </c>
      <c r="F910" s="2212" t="s">
        <v>5285</v>
      </c>
      <c r="H910" s="2213">
        <v>2.266</v>
      </c>
      <c r="L910" s="2210"/>
      <c r="M910" s="2214"/>
      <c r="T910" s="2215"/>
      <c r="AT910" s="2211" t="s">
        <v>3303</v>
      </c>
      <c r="AU910" s="2211" t="s">
        <v>134</v>
      </c>
      <c r="AV910" s="2209" t="s">
        <v>134</v>
      </c>
      <c r="AW910" s="2209" t="s">
        <v>3148</v>
      </c>
      <c r="AX910" s="2209" t="s">
        <v>133</v>
      </c>
      <c r="AY910" s="2211" t="s">
        <v>3285</v>
      </c>
    </row>
    <row r="911" spans="2:65" s="2070" customFormat="1" ht="24.2" customHeight="1">
      <c r="B911" s="2164"/>
      <c r="C911" s="4608" t="s">
        <v>5820</v>
      </c>
      <c r="D911" s="4608" t="s">
        <v>3286</v>
      </c>
      <c r="E911" s="4609" t="s">
        <v>5286</v>
      </c>
      <c r="F911" s="4610" t="s">
        <v>5287</v>
      </c>
      <c r="G911" s="4611" t="s">
        <v>141</v>
      </c>
      <c r="H911" s="4612">
        <v>49.5</v>
      </c>
      <c r="I911" s="4613"/>
      <c r="J911" s="4613">
        <f>ROUND(I911*H911,2)</f>
        <v>0</v>
      </c>
      <c r="K911" s="4610" t="s">
        <v>142</v>
      </c>
      <c r="L911" s="2071"/>
      <c r="M911" s="2190" t="s">
        <v>3146</v>
      </c>
      <c r="N911" s="2163" t="s">
        <v>3181</v>
      </c>
      <c r="O911" s="2191">
        <v>0.42699999999999999</v>
      </c>
      <c r="P911" s="2191">
        <f>O911*H911</f>
        <v>21.136499999999998</v>
      </c>
      <c r="Q911" s="2191">
        <v>0</v>
      </c>
      <c r="R911" s="2191">
        <f>Q911*H911</f>
        <v>0</v>
      </c>
      <c r="S911" s="2191">
        <v>0</v>
      </c>
      <c r="T911" s="2192">
        <f>S911*H911</f>
        <v>0</v>
      </c>
      <c r="AR911" s="2193" t="s">
        <v>2894</v>
      </c>
      <c r="AT911" s="2193" t="s">
        <v>3286</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5288</v>
      </c>
    </row>
    <row r="912" spans="2:65" s="2209" customFormat="1">
      <c r="B912" s="2210"/>
      <c r="D912" s="2197" t="s">
        <v>3303</v>
      </c>
      <c r="E912" s="2211" t="s">
        <v>3146</v>
      </c>
      <c r="F912" s="2212" t="s">
        <v>5289</v>
      </c>
      <c r="H912" s="2213">
        <v>49.5</v>
      </c>
      <c r="L912" s="2210"/>
      <c r="M912" s="2214"/>
      <c r="T912" s="2215"/>
      <c r="AT912" s="2211" t="s">
        <v>3303</v>
      </c>
      <c r="AU912" s="2211" t="s">
        <v>134</v>
      </c>
      <c r="AV912" s="2209" t="s">
        <v>134</v>
      </c>
      <c r="AW912" s="2209" t="s">
        <v>3171</v>
      </c>
      <c r="AX912" s="2209" t="s">
        <v>133</v>
      </c>
      <c r="AY912" s="2211" t="s">
        <v>3285</v>
      </c>
    </row>
    <row r="913" spans="2:65" s="2070" customFormat="1" ht="16.5" customHeight="1">
      <c r="B913" s="2164"/>
      <c r="C913" s="4614" t="s">
        <v>5198</v>
      </c>
      <c r="D913" s="4614" t="s">
        <v>135</v>
      </c>
      <c r="E913" s="4615" t="s">
        <v>5290</v>
      </c>
      <c r="F913" s="4616" t="s">
        <v>5291</v>
      </c>
      <c r="G913" s="4617" t="s">
        <v>141</v>
      </c>
      <c r="H913" s="4618">
        <v>56.924999999999997</v>
      </c>
      <c r="I913" s="4619"/>
      <c r="J913" s="4619">
        <f>ROUND(I913*H913,2)</f>
        <v>0</v>
      </c>
      <c r="K913" s="4616" t="s">
        <v>3146</v>
      </c>
      <c r="L913" s="2223"/>
      <c r="M913" s="2224" t="s">
        <v>3146</v>
      </c>
      <c r="N913" s="2225" t="s">
        <v>3181</v>
      </c>
      <c r="O913" s="2191">
        <v>0</v>
      </c>
      <c r="P913" s="2191">
        <f>O913*H913</f>
        <v>0</v>
      </c>
      <c r="Q913" s="2191">
        <v>2.5000000000000001E-3</v>
      </c>
      <c r="R913" s="2191">
        <f>Q913*H913</f>
        <v>0.14231250000000001</v>
      </c>
      <c r="S913" s="2191">
        <v>0</v>
      </c>
      <c r="T913" s="2192">
        <f>S913*H913</f>
        <v>0</v>
      </c>
      <c r="AR913" s="2193" t="s">
        <v>3389</v>
      </c>
      <c r="AT913" s="2193" t="s">
        <v>135</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5292</v>
      </c>
    </row>
    <row r="914" spans="2:65" s="2209" customFormat="1">
      <c r="B914" s="2210"/>
      <c r="D914" s="2197" t="s">
        <v>3303</v>
      </c>
      <c r="F914" s="2212" t="s">
        <v>5293</v>
      </c>
      <c r="H914" s="2213">
        <v>56.924999999999997</v>
      </c>
      <c r="L914" s="2210"/>
      <c r="M914" s="2214"/>
      <c r="T914" s="2215"/>
      <c r="AT914" s="2211" t="s">
        <v>3303</v>
      </c>
      <c r="AU914" s="2211" t="s">
        <v>134</v>
      </c>
      <c r="AV914" s="2209" t="s">
        <v>134</v>
      </c>
      <c r="AW914" s="2209" t="s">
        <v>3148</v>
      </c>
      <c r="AX914" s="2209" t="s">
        <v>133</v>
      </c>
      <c r="AY914" s="2211" t="s">
        <v>3285</v>
      </c>
    </row>
    <row r="915" spans="2:65" s="2070" customFormat="1" ht="16.5" customHeight="1">
      <c r="B915" s="2164"/>
      <c r="C915" s="4608" t="s">
        <v>5206</v>
      </c>
      <c r="D915" s="4608" t="s">
        <v>3286</v>
      </c>
      <c r="E915" s="4609" t="s">
        <v>5294</v>
      </c>
      <c r="F915" s="4610" t="s">
        <v>5295</v>
      </c>
      <c r="G915" s="4611" t="s">
        <v>141</v>
      </c>
      <c r="H915" s="4612">
        <v>222</v>
      </c>
      <c r="I915" s="4613"/>
      <c r="J915" s="4613">
        <f>ROUND(I915*H915,2)</f>
        <v>0</v>
      </c>
      <c r="K915" s="4610" t="s">
        <v>3146</v>
      </c>
      <c r="L915" s="2071"/>
      <c r="M915" s="2190" t="s">
        <v>3146</v>
      </c>
      <c r="N915" s="2163" t="s">
        <v>3181</v>
      </c>
      <c r="O915" s="2191">
        <v>0.42699999999999999</v>
      </c>
      <c r="P915" s="2191">
        <f>O915*H915</f>
        <v>94.793999999999997</v>
      </c>
      <c r="Q915" s="2191">
        <v>0</v>
      </c>
      <c r="R915" s="2191">
        <f>Q915*H915</f>
        <v>0</v>
      </c>
      <c r="S915" s="2191">
        <v>0</v>
      </c>
      <c r="T915" s="2192">
        <f>S915*H915</f>
        <v>0</v>
      </c>
      <c r="AR915" s="2193" t="s">
        <v>2894</v>
      </c>
      <c r="AT915" s="2193" t="s">
        <v>3286</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5296</v>
      </c>
    </row>
    <row r="916" spans="2:65" s="2195" customFormat="1">
      <c r="B916" s="2196"/>
      <c r="D916" s="2197" t="s">
        <v>3303</v>
      </c>
      <c r="E916" s="2198" t="s">
        <v>3146</v>
      </c>
      <c r="F916" s="2199" t="s">
        <v>5297</v>
      </c>
      <c r="H916" s="2198" t="s">
        <v>3146</v>
      </c>
      <c r="L916" s="2196"/>
      <c r="M916" s="2200"/>
      <c r="T916" s="2201"/>
      <c r="AT916" s="2198" t="s">
        <v>3303</v>
      </c>
      <c r="AU916" s="2198" t="s">
        <v>134</v>
      </c>
      <c r="AV916" s="2195" t="s">
        <v>133</v>
      </c>
      <c r="AW916" s="2195" t="s">
        <v>3171</v>
      </c>
      <c r="AX916" s="2195" t="s">
        <v>3213</v>
      </c>
      <c r="AY916" s="2198" t="s">
        <v>3285</v>
      </c>
    </row>
    <row r="917" spans="2:65" s="2209" customFormat="1">
      <c r="B917" s="2210"/>
      <c r="D917" s="2197" t="s">
        <v>3303</v>
      </c>
      <c r="E917" s="2211" t="s">
        <v>3146</v>
      </c>
      <c r="F917" s="2212" t="s">
        <v>5298</v>
      </c>
      <c r="H917" s="2213">
        <v>222</v>
      </c>
      <c r="L917" s="2210"/>
      <c r="M917" s="2214"/>
      <c r="T917" s="2215"/>
      <c r="AT917" s="2211" t="s">
        <v>3303</v>
      </c>
      <c r="AU917" s="2211" t="s">
        <v>134</v>
      </c>
      <c r="AV917" s="2209" t="s">
        <v>134</v>
      </c>
      <c r="AW917" s="2209" t="s">
        <v>3171</v>
      </c>
      <c r="AX917" s="2209" t="s">
        <v>3213</v>
      </c>
      <c r="AY917" s="2211" t="s">
        <v>3285</v>
      </c>
    </row>
    <row r="918" spans="2:65" s="2216" customFormat="1">
      <c r="B918" s="2217"/>
      <c r="D918" s="2197" t="s">
        <v>3303</v>
      </c>
      <c r="E918" s="2218" t="s">
        <v>3146</v>
      </c>
      <c r="F918" s="2219" t="s">
        <v>3306</v>
      </c>
      <c r="H918" s="2220">
        <v>222</v>
      </c>
      <c r="L918" s="2217"/>
      <c r="M918" s="2221"/>
      <c r="T918" s="2222"/>
      <c r="AT918" s="2218" t="s">
        <v>3303</v>
      </c>
      <c r="AU918" s="2218" t="s">
        <v>134</v>
      </c>
      <c r="AV918" s="2216" t="s">
        <v>856</v>
      </c>
      <c r="AW918" s="2216" t="s">
        <v>3171</v>
      </c>
      <c r="AX918" s="2216" t="s">
        <v>133</v>
      </c>
      <c r="AY918" s="2218" t="s">
        <v>3285</v>
      </c>
    </row>
    <row r="919" spans="2:65" s="2070" customFormat="1" ht="24.2" customHeight="1">
      <c r="B919" s="2164"/>
      <c r="C919" s="4614" t="s">
        <v>5210</v>
      </c>
      <c r="D919" s="4614" t="s">
        <v>135</v>
      </c>
      <c r="E919" s="4615" t="s">
        <v>5299</v>
      </c>
      <c r="F919" s="4616" t="s">
        <v>5300</v>
      </c>
      <c r="G919" s="4617" t="s">
        <v>141</v>
      </c>
      <c r="H919" s="4618">
        <v>255.3</v>
      </c>
      <c r="I919" s="4619"/>
      <c r="J919" s="4619">
        <f>ROUND(I919*H919,2)</f>
        <v>0</v>
      </c>
      <c r="K919" s="4616" t="s">
        <v>3146</v>
      </c>
      <c r="L919" s="2223"/>
      <c r="M919" s="2224" t="s">
        <v>3146</v>
      </c>
      <c r="N919" s="2225" t="s">
        <v>3181</v>
      </c>
      <c r="O919" s="2191">
        <v>0</v>
      </c>
      <c r="P919" s="2191">
        <f>O919*H919</f>
        <v>0</v>
      </c>
      <c r="Q919" s="2191">
        <v>3.7000000000000002E-3</v>
      </c>
      <c r="R919" s="2191">
        <f>Q919*H919</f>
        <v>0.94461000000000006</v>
      </c>
      <c r="S919" s="2191">
        <v>0</v>
      </c>
      <c r="T919" s="2192">
        <f>S919*H919</f>
        <v>0</v>
      </c>
      <c r="AR919" s="2193" t="s">
        <v>3389</v>
      </c>
      <c r="AT919" s="2193" t="s">
        <v>135</v>
      </c>
      <c r="AU919" s="2193" t="s">
        <v>134</v>
      </c>
      <c r="AY919" s="2056" t="s">
        <v>3285</v>
      </c>
      <c r="BE919" s="2194">
        <f>IF(N919="základní",J919,0)</f>
        <v>0</v>
      </c>
      <c r="BF919" s="2194">
        <f>IF(N919="snížená",J919,0)</f>
        <v>0</v>
      </c>
      <c r="BG919" s="2194">
        <f>IF(N919="zákl. přenesená",J919,0)</f>
        <v>0</v>
      </c>
      <c r="BH919" s="2194">
        <f>IF(N919="sníž. přenesená",J919,0)</f>
        <v>0</v>
      </c>
      <c r="BI919" s="2194">
        <f>IF(N919="nulová",J919,0)</f>
        <v>0</v>
      </c>
      <c r="BJ919" s="2056" t="s">
        <v>134</v>
      </c>
      <c r="BK919" s="2194">
        <f>ROUND(I919*H919,2)</f>
        <v>0</v>
      </c>
      <c r="BL919" s="2056" t="s">
        <v>2894</v>
      </c>
      <c r="BM919" s="2193" t="s">
        <v>5301</v>
      </c>
    </row>
    <row r="920" spans="2:65" s="2209" customFormat="1">
      <c r="B920" s="2210"/>
      <c r="D920" s="2197" t="s">
        <v>3303</v>
      </c>
      <c r="F920" s="2212" t="s">
        <v>5302</v>
      </c>
      <c r="H920" s="2213">
        <v>255.3</v>
      </c>
      <c r="L920" s="2210"/>
      <c r="M920" s="2214"/>
      <c r="T920" s="2215"/>
      <c r="AT920" s="2211" t="s">
        <v>3303</v>
      </c>
      <c r="AU920" s="2211" t="s">
        <v>134</v>
      </c>
      <c r="AV920" s="2209" t="s">
        <v>134</v>
      </c>
      <c r="AW920" s="2209" t="s">
        <v>3148</v>
      </c>
      <c r="AX920" s="2209" t="s">
        <v>133</v>
      </c>
      <c r="AY920" s="2211" t="s">
        <v>3285</v>
      </c>
    </row>
    <row r="921" spans="2:65" s="2070" customFormat="1" ht="21.75" customHeight="1">
      <c r="B921" s="2164"/>
      <c r="C921" s="4608" t="s">
        <v>5214</v>
      </c>
      <c r="D921" s="4608" t="s">
        <v>3286</v>
      </c>
      <c r="E921" s="4609" t="s">
        <v>5303</v>
      </c>
      <c r="F921" s="4610" t="s">
        <v>5304</v>
      </c>
      <c r="G921" s="4611" t="s">
        <v>141</v>
      </c>
      <c r="H921" s="4612">
        <v>18.3</v>
      </c>
      <c r="I921" s="4613"/>
      <c r="J921" s="4613">
        <f>ROUND(I921*H921,2)</f>
        <v>0</v>
      </c>
      <c r="K921" s="4610" t="s">
        <v>142</v>
      </c>
      <c r="L921" s="2071"/>
      <c r="M921" s="2190" t="s">
        <v>3146</v>
      </c>
      <c r="N921" s="2163" t="s">
        <v>3181</v>
      </c>
      <c r="O921" s="2191">
        <v>0.82</v>
      </c>
      <c r="P921" s="2191">
        <f>O921*H921</f>
        <v>15.006</v>
      </c>
      <c r="Q921" s="2191">
        <v>2.0000000000000001E-4</v>
      </c>
      <c r="R921" s="2191">
        <f>Q921*H921</f>
        <v>3.6600000000000005E-3</v>
      </c>
      <c r="S921" s="2191">
        <v>0</v>
      </c>
      <c r="T921" s="2192">
        <f>S921*H921</f>
        <v>0</v>
      </c>
      <c r="AR921" s="2193" t="s">
        <v>2894</v>
      </c>
      <c r="AT921" s="2193" t="s">
        <v>3286</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5305</v>
      </c>
    </row>
    <row r="922" spans="2:65" s="2195" customFormat="1">
      <c r="B922" s="2196"/>
      <c r="D922" s="2197" t="s">
        <v>3303</v>
      </c>
      <c r="E922" s="2198" t="s">
        <v>3146</v>
      </c>
      <c r="F922" s="2199" t="s">
        <v>5306</v>
      </c>
      <c r="H922" s="2198" t="s">
        <v>3146</v>
      </c>
      <c r="L922" s="2196"/>
      <c r="M922" s="2200"/>
      <c r="T922" s="2201"/>
      <c r="AT922" s="2198" t="s">
        <v>3303</v>
      </c>
      <c r="AU922" s="2198" t="s">
        <v>134</v>
      </c>
      <c r="AV922" s="2195" t="s">
        <v>133</v>
      </c>
      <c r="AW922" s="2195" t="s">
        <v>3171</v>
      </c>
      <c r="AX922" s="2195" t="s">
        <v>3213</v>
      </c>
      <c r="AY922" s="2198" t="s">
        <v>3285</v>
      </c>
    </row>
    <row r="923" spans="2:65" s="2209" customFormat="1">
      <c r="B923" s="2210"/>
      <c r="D923" s="2197" t="s">
        <v>3303</v>
      </c>
      <c r="E923" s="2211" t="s">
        <v>3146</v>
      </c>
      <c r="F923" s="2212" t="s">
        <v>5307</v>
      </c>
      <c r="H923" s="2213">
        <v>13.9</v>
      </c>
      <c r="L923" s="2210"/>
      <c r="M923" s="2214"/>
      <c r="T923" s="2215"/>
      <c r="AT923" s="2211" t="s">
        <v>3303</v>
      </c>
      <c r="AU923" s="2211" t="s">
        <v>134</v>
      </c>
      <c r="AV923" s="2209" t="s">
        <v>134</v>
      </c>
      <c r="AW923" s="2209" t="s">
        <v>3171</v>
      </c>
      <c r="AX923" s="2209" t="s">
        <v>3213</v>
      </c>
      <c r="AY923" s="2211" t="s">
        <v>3285</v>
      </c>
    </row>
    <row r="924" spans="2:65" s="2202" customFormat="1">
      <c r="B924" s="2203"/>
      <c r="D924" s="2197" t="s">
        <v>3303</v>
      </c>
      <c r="E924" s="2204" t="s">
        <v>3146</v>
      </c>
      <c r="F924" s="2205" t="s">
        <v>3305</v>
      </c>
      <c r="H924" s="2206">
        <v>13.9</v>
      </c>
      <c r="L924" s="2203"/>
      <c r="M924" s="2207"/>
      <c r="T924" s="2208"/>
      <c r="AT924" s="2204" t="s">
        <v>3303</v>
      </c>
      <c r="AU924" s="2204" t="s">
        <v>134</v>
      </c>
      <c r="AV924" s="2202" t="s">
        <v>854</v>
      </c>
      <c r="AW924" s="2202" t="s">
        <v>3171</v>
      </c>
      <c r="AX924" s="2202" t="s">
        <v>3213</v>
      </c>
      <c r="AY924" s="2204" t="s">
        <v>3285</v>
      </c>
    </row>
    <row r="925" spans="2:65" s="2195" customFormat="1">
      <c r="B925" s="2196"/>
      <c r="D925" s="2197" t="s">
        <v>3303</v>
      </c>
      <c r="E925" s="2198" t="s">
        <v>3146</v>
      </c>
      <c r="F925" s="2199" t="s">
        <v>5308</v>
      </c>
      <c r="H925" s="2198" t="s">
        <v>3146</v>
      </c>
      <c r="L925" s="2196"/>
      <c r="M925" s="2200"/>
      <c r="T925" s="2201"/>
      <c r="AT925" s="2198" t="s">
        <v>3303</v>
      </c>
      <c r="AU925" s="2198" t="s">
        <v>134</v>
      </c>
      <c r="AV925" s="2195" t="s">
        <v>133</v>
      </c>
      <c r="AW925" s="2195" t="s">
        <v>3171</v>
      </c>
      <c r="AX925" s="2195" t="s">
        <v>3213</v>
      </c>
      <c r="AY925" s="2198" t="s">
        <v>3285</v>
      </c>
    </row>
    <row r="926" spans="2:65" s="2209" customFormat="1">
      <c r="B926" s="2210"/>
      <c r="D926" s="2197" t="s">
        <v>3303</v>
      </c>
      <c r="E926" s="2211" t="s">
        <v>3146</v>
      </c>
      <c r="F926" s="2212" t="s">
        <v>5309</v>
      </c>
      <c r="H926" s="2213">
        <v>4.4000000000000004</v>
      </c>
      <c r="L926" s="2210"/>
      <c r="M926" s="2214"/>
      <c r="T926" s="2215"/>
      <c r="AT926" s="2211" t="s">
        <v>3303</v>
      </c>
      <c r="AU926" s="2211" t="s">
        <v>134</v>
      </c>
      <c r="AV926" s="2209" t="s">
        <v>134</v>
      </c>
      <c r="AW926" s="2209" t="s">
        <v>3171</v>
      </c>
      <c r="AX926" s="2209" t="s">
        <v>3213</v>
      </c>
      <c r="AY926" s="2211" t="s">
        <v>3285</v>
      </c>
    </row>
    <row r="927" spans="2:65" s="2202" customFormat="1">
      <c r="B927" s="2203"/>
      <c r="D927" s="2197" t="s">
        <v>3303</v>
      </c>
      <c r="E927" s="2204" t="s">
        <v>3146</v>
      </c>
      <c r="F927" s="2205" t="s">
        <v>3305</v>
      </c>
      <c r="H927" s="2206">
        <v>4.4000000000000004</v>
      </c>
      <c r="L927" s="2203"/>
      <c r="M927" s="2207"/>
      <c r="T927" s="2208"/>
      <c r="AT927" s="2204" t="s">
        <v>3303</v>
      </c>
      <c r="AU927" s="2204" t="s">
        <v>134</v>
      </c>
      <c r="AV927" s="2202" t="s">
        <v>854</v>
      </c>
      <c r="AW927" s="2202" t="s">
        <v>3171</v>
      </c>
      <c r="AX927" s="2202" t="s">
        <v>3213</v>
      </c>
      <c r="AY927" s="2204" t="s">
        <v>3285</v>
      </c>
    </row>
    <row r="928" spans="2:65" s="2216" customFormat="1">
      <c r="B928" s="2217"/>
      <c r="D928" s="2197" t="s">
        <v>3303</v>
      </c>
      <c r="E928" s="2218" t="s">
        <v>3146</v>
      </c>
      <c r="F928" s="2219" t="s">
        <v>3306</v>
      </c>
      <c r="H928" s="2220">
        <v>18.3</v>
      </c>
      <c r="L928" s="2217"/>
      <c r="M928" s="2221"/>
      <c r="T928" s="2222"/>
      <c r="AT928" s="2218" t="s">
        <v>3303</v>
      </c>
      <c r="AU928" s="2218" t="s">
        <v>134</v>
      </c>
      <c r="AV928" s="2216" t="s">
        <v>856</v>
      </c>
      <c r="AW928" s="2216" t="s">
        <v>3171</v>
      </c>
      <c r="AX928" s="2216" t="s">
        <v>133</v>
      </c>
      <c r="AY928" s="2218" t="s">
        <v>3285</v>
      </c>
    </row>
    <row r="929" spans="2:65" s="2070" customFormat="1" ht="33" customHeight="1">
      <c r="B929" s="2164"/>
      <c r="C929" s="4614" t="s">
        <v>5218</v>
      </c>
      <c r="D929" s="4614" t="s">
        <v>135</v>
      </c>
      <c r="E929" s="4615" t="s">
        <v>5310</v>
      </c>
      <c r="F929" s="4616" t="s">
        <v>5311</v>
      </c>
      <c r="G929" s="4617" t="s">
        <v>141</v>
      </c>
      <c r="H929" s="4618">
        <v>13.9</v>
      </c>
      <c r="I929" s="4619"/>
      <c r="J929" s="4619">
        <f>ROUND(I929*H929,2)</f>
        <v>0</v>
      </c>
      <c r="K929" s="4616" t="s">
        <v>3146</v>
      </c>
      <c r="L929" s="2223"/>
      <c r="M929" s="2224" t="s">
        <v>3146</v>
      </c>
      <c r="N929" s="2225" t="s">
        <v>3181</v>
      </c>
      <c r="O929" s="2191">
        <v>0</v>
      </c>
      <c r="P929" s="2191">
        <f>O929*H929</f>
        <v>0</v>
      </c>
      <c r="Q929" s="2191">
        <v>6.96E-3</v>
      </c>
      <c r="R929" s="2191">
        <f>Q929*H929</f>
        <v>9.6743999999999997E-2</v>
      </c>
      <c r="S929" s="2191">
        <v>0</v>
      </c>
      <c r="T929" s="2192">
        <f>S929*H929</f>
        <v>0</v>
      </c>
      <c r="AR929" s="2193" t="s">
        <v>3389</v>
      </c>
      <c r="AT929" s="2193" t="s">
        <v>135</v>
      </c>
      <c r="AU929" s="2193" t="s">
        <v>134</v>
      </c>
      <c r="AY929" s="2056" t="s">
        <v>3285</v>
      </c>
      <c r="BE929" s="2194">
        <f>IF(N929="základní",J929,0)</f>
        <v>0</v>
      </c>
      <c r="BF929" s="2194">
        <f>IF(N929="snížená",J929,0)</f>
        <v>0</v>
      </c>
      <c r="BG929" s="2194">
        <f>IF(N929="zákl. přenesená",J929,0)</f>
        <v>0</v>
      </c>
      <c r="BH929" s="2194">
        <f>IF(N929="sníž. přenesená",J929,0)</f>
        <v>0</v>
      </c>
      <c r="BI929" s="2194">
        <f>IF(N929="nulová",J929,0)</f>
        <v>0</v>
      </c>
      <c r="BJ929" s="2056" t="s">
        <v>134</v>
      </c>
      <c r="BK929" s="2194">
        <f>ROUND(I929*H929,2)</f>
        <v>0</v>
      </c>
      <c r="BL929" s="2056" t="s">
        <v>2894</v>
      </c>
      <c r="BM929" s="2193" t="s">
        <v>5312</v>
      </c>
    </row>
    <row r="930" spans="2:65" s="2070" customFormat="1" ht="24.2" customHeight="1">
      <c r="B930" s="2164"/>
      <c r="C930" s="4614" t="s">
        <v>5222</v>
      </c>
      <c r="D930" s="4614" t="s">
        <v>135</v>
      </c>
      <c r="E930" s="4615" t="s">
        <v>5313</v>
      </c>
      <c r="F930" s="4616" t="s">
        <v>5314</v>
      </c>
      <c r="G930" s="4617" t="s">
        <v>141</v>
      </c>
      <c r="H930" s="4618">
        <v>4.4000000000000004</v>
      </c>
      <c r="I930" s="4619"/>
      <c r="J930" s="4619">
        <f>ROUND(I930*H930,2)</f>
        <v>0</v>
      </c>
      <c r="K930" s="4616" t="s">
        <v>3146</v>
      </c>
      <c r="L930" s="2223"/>
      <c r="M930" s="2224" t="s">
        <v>3146</v>
      </c>
      <c r="N930" s="2225" t="s">
        <v>3181</v>
      </c>
      <c r="O930" s="2191">
        <v>0</v>
      </c>
      <c r="P930" s="2191">
        <f>O930*H930</f>
        <v>0</v>
      </c>
      <c r="Q930" s="2191">
        <v>0</v>
      </c>
      <c r="R930" s="2191">
        <f>Q930*H930</f>
        <v>0</v>
      </c>
      <c r="S930" s="2191">
        <v>0</v>
      </c>
      <c r="T930" s="2192">
        <f>S930*H930</f>
        <v>0</v>
      </c>
      <c r="AR930" s="2193" t="s">
        <v>3389</v>
      </c>
      <c r="AT930" s="2193" t="s">
        <v>135</v>
      </c>
      <c r="AU930" s="2193" t="s">
        <v>134</v>
      </c>
      <c r="AY930" s="2056" t="s">
        <v>3285</v>
      </c>
      <c r="BE930" s="2194">
        <f>IF(N930="základní",J930,0)</f>
        <v>0</v>
      </c>
      <c r="BF930" s="2194">
        <f>IF(N930="snížená",J930,0)</f>
        <v>0</v>
      </c>
      <c r="BG930" s="2194">
        <f>IF(N930="zákl. přenesená",J930,0)</f>
        <v>0</v>
      </c>
      <c r="BH930" s="2194">
        <f>IF(N930="sníž. přenesená",J930,0)</f>
        <v>0</v>
      </c>
      <c r="BI930" s="2194">
        <f>IF(N930="nulová",J930,0)</f>
        <v>0</v>
      </c>
      <c r="BJ930" s="2056" t="s">
        <v>134</v>
      </c>
      <c r="BK930" s="2194">
        <f>ROUND(I930*H930,2)</f>
        <v>0</v>
      </c>
      <c r="BL930" s="2056" t="s">
        <v>2894</v>
      </c>
      <c r="BM930" s="2193" t="s">
        <v>5315</v>
      </c>
    </row>
    <row r="931" spans="2:65" s="2195" customFormat="1">
      <c r="B931" s="2196"/>
      <c r="D931" s="2197" t="s">
        <v>3303</v>
      </c>
      <c r="E931" s="2198" t="s">
        <v>3146</v>
      </c>
      <c r="F931" s="2199" t="s">
        <v>5308</v>
      </c>
      <c r="H931" s="2198" t="s">
        <v>3146</v>
      </c>
      <c r="L931" s="2196"/>
      <c r="M931" s="2200"/>
      <c r="T931" s="2201"/>
      <c r="AT931" s="2198" t="s">
        <v>3303</v>
      </c>
      <c r="AU931" s="2198" t="s">
        <v>134</v>
      </c>
      <c r="AV931" s="2195" t="s">
        <v>133</v>
      </c>
      <c r="AW931" s="2195" t="s">
        <v>3171</v>
      </c>
      <c r="AX931" s="2195" t="s">
        <v>3213</v>
      </c>
      <c r="AY931" s="2198" t="s">
        <v>3285</v>
      </c>
    </row>
    <row r="932" spans="2:65" s="2209" customFormat="1">
      <c r="B932" s="2210"/>
      <c r="D932" s="2197" t="s">
        <v>3303</v>
      </c>
      <c r="E932" s="2211" t="s">
        <v>3146</v>
      </c>
      <c r="F932" s="2212" t="s">
        <v>5309</v>
      </c>
      <c r="H932" s="2213">
        <v>4.4000000000000004</v>
      </c>
      <c r="L932" s="2210"/>
      <c r="M932" s="2214"/>
      <c r="T932" s="2215"/>
      <c r="AT932" s="2211" t="s">
        <v>3303</v>
      </c>
      <c r="AU932" s="2211" t="s">
        <v>134</v>
      </c>
      <c r="AV932" s="2209" t="s">
        <v>134</v>
      </c>
      <c r="AW932" s="2209" t="s">
        <v>3171</v>
      </c>
      <c r="AX932" s="2209" t="s">
        <v>3213</v>
      </c>
      <c r="AY932" s="2211" t="s">
        <v>3285</v>
      </c>
    </row>
    <row r="933" spans="2:65" s="2216" customFormat="1">
      <c r="B933" s="2217"/>
      <c r="D933" s="2197" t="s">
        <v>3303</v>
      </c>
      <c r="E933" s="2218" t="s">
        <v>3146</v>
      </c>
      <c r="F933" s="2219" t="s">
        <v>3306</v>
      </c>
      <c r="H933" s="2220">
        <v>4.4000000000000004</v>
      </c>
      <c r="L933" s="2217"/>
      <c r="M933" s="2221"/>
      <c r="T933" s="2222"/>
      <c r="AT933" s="2218" t="s">
        <v>3303</v>
      </c>
      <c r="AU933" s="2218" t="s">
        <v>134</v>
      </c>
      <c r="AV933" s="2216" t="s">
        <v>856</v>
      </c>
      <c r="AW933" s="2216" t="s">
        <v>3171</v>
      </c>
      <c r="AX933" s="2216" t="s">
        <v>133</v>
      </c>
      <c r="AY933" s="2218" t="s">
        <v>3285</v>
      </c>
    </row>
    <row r="934" spans="2:65" s="2070" customFormat="1" ht="21.75" customHeight="1">
      <c r="B934" s="2164"/>
      <c r="C934" s="4608" t="s">
        <v>5226</v>
      </c>
      <c r="D934" s="4608" t="s">
        <v>3286</v>
      </c>
      <c r="E934" s="4609" t="s">
        <v>5316</v>
      </c>
      <c r="F934" s="4610" t="s">
        <v>5317</v>
      </c>
      <c r="G934" s="4611" t="s">
        <v>141</v>
      </c>
      <c r="H934" s="4612">
        <v>134.1</v>
      </c>
      <c r="I934" s="4613"/>
      <c r="J934" s="4613">
        <f>ROUND(I934*H934,2)</f>
        <v>0</v>
      </c>
      <c r="K934" s="4610" t="s">
        <v>142</v>
      </c>
      <c r="L934" s="2071"/>
      <c r="M934" s="2190" t="s">
        <v>3146</v>
      </c>
      <c r="N934" s="2163" t="s">
        <v>3181</v>
      </c>
      <c r="O934" s="2191">
        <v>0.56000000000000005</v>
      </c>
      <c r="P934" s="2191">
        <f>O934*H934</f>
        <v>75.096000000000004</v>
      </c>
      <c r="Q934" s="2191">
        <v>2.3000000000000001E-4</v>
      </c>
      <c r="R934" s="2191">
        <f>Q934*H934</f>
        <v>3.0842999999999999E-2</v>
      </c>
      <c r="S934" s="2191">
        <v>0</v>
      </c>
      <c r="T934" s="2192">
        <f>S934*H934</f>
        <v>0</v>
      </c>
      <c r="AR934" s="2193" t="s">
        <v>2894</v>
      </c>
      <c r="AT934" s="2193" t="s">
        <v>3286</v>
      </c>
      <c r="AU934" s="2193" t="s">
        <v>134</v>
      </c>
      <c r="AY934" s="2056" t="s">
        <v>3285</v>
      </c>
      <c r="BE934" s="2194">
        <f>IF(N934="základní",J934,0)</f>
        <v>0</v>
      </c>
      <c r="BF934" s="2194">
        <f>IF(N934="snížená",J934,0)</f>
        <v>0</v>
      </c>
      <c r="BG934" s="2194">
        <f>IF(N934="zákl. přenesená",J934,0)</f>
        <v>0</v>
      </c>
      <c r="BH934" s="2194">
        <f>IF(N934="sníž. přenesená",J934,0)</f>
        <v>0</v>
      </c>
      <c r="BI934" s="2194">
        <f>IF(N934="nulová",J934,0)</f>
        <v>0</v>
      </c>
      <c r="BJ934" s="2056" t="s">
        <v>134</v>
      </c>
      <c r="BK934" s="2194">
        <f>ROUND(I934*H934,2)</f>
        <v>0</v>
      </c>
      <c r="BL934" s="2056" t="s">
        <v>2894</v>
      </c>
      <c r="BM934" s="2193" t="s">
        <v>5318</v>
      </c>
    </row>
    <row r="935" spans="2:65" s="2195" customFormat="1">
      <c r="B935" s="2196"/>
      <c r="D935" s="2197" t="s">
        <v>3303</v>
      </c>
      <c r="E935" s="2198" t="s">
        <v>3146</v>
      </c>
      <c r="F935" s="2199" t="s">
        <v>5319</v>
      </c>
      <c r="H935" s="2198" t="s">
        <v>3146</v>
      </c>
      <c r="L935" s="2196"/>
      <c r="M935" s="2200"/>
      <c r="T935" s="2201"/>
      <c r="AT935" s="2198" t="s">
        <v>3303</v>
      </c>
      <c r="AU935" s="2198" t="s">
        <v>134</v>
      </c>
      <c r="AV935" s="2195" t="s">
        <v>133</v>
      </c>
      <c r="AW935" s="2195" t="s">
        <v>3171</v>
      </c>
      <c r="AX935" s="2195" t="s">
        <v>3213</v>
      </c>
      <c r="AY935" s="2198" t="s">
        <v>3285</v>
      </c>
    </row>
    <row r="936" spans="2:65" s="2209" customFormat="1">
      <c r="B936" s="2210"/>
      <c r="D936" s="2197" t="s">
        <v>3303</v>
      </c>
      <c r="E936" s="2211" t="s">
        <v>3146</v>
      </c>
      <c r="F936" s="2212" t="s">
        <v>5320</v>
      </c>
      <c r="H936" s="2213">
        <v>36</v>
      </c>
      <c r="L936" s="2210"/>
      <c r="M936" s="2214"/>
      <c r="T936" s="2215"/>
      <c r="AT936" s="2211" t="s">
        <v>3303</v>
      </c>
      <c r="AU936" s="2211" t="s">
        <v>134</v>
      </c>
      <c r="AV936" s="2209" t="s">
        <v>134</v>
      </c>
      <c r="AW936" s="2209" t="s">
        <v>3171</v>
      </c>
      <c r="AX936" s="2209" t="s">
        <v>3213</v>
      </c>
      <c r="AY936" s="2211" t="s">
        <v>3285</v>
      </c>
    </row>
    <row r="937" spans="2:65" s="2209" customFormat="1">
      <c r="B937" s="2210"/>
      <c r="D937" s="2197" t="s">
        <v>3303</v>
      </c>
      <c r="E937" s="2211" t="s">
        <v>3146</v>
      </c>
      <c r="F937" s="2212" t="s">
        <v>5321</v>
      </c>
      <c r="H937" s="2213">
        <v>1</v>
      </c>
      <c r="L937" s="2210"/>
      <c r="M937" s="2214"/>
      <c r="T937" s="2215"/>
      <c r="AT937" s="2211" t="s">
        <v>3303</v>
      </c>
      <c r="AU937" s="2211" t="s">
        <v>134</v>
      </c>
      <c r="AV937" s="2209" t="s">
        <v>134</v>
      </c>
      <c r="AW937" s="2209" t="s">
        <v>3171</v>
      </c>
      <c r="AX937" s="2209" t="s">
        <v>3213</v>
      </c>
      <c r="AY937" s="2211" t="s">
        <v>3285</v>
      </c>
    </row>
    <row r="938" spans="2:65" s="2209" customFormat="1">
      <c r="B938" s="2210"/>
      <c r="D938" s="2197" t="s">
        <v>3303</v>
      </c>
      <c r="E938" s="2211" t="s">
        <v>3146</v>
      </c>
      <c r="F938" s="2212" t="s">
        <v>5322</v>
      </c>
      <c r="H938" s="2213">
        <v>2</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5323</v>
      </c>
      <c r="H939" s="2213">
        <v>4</v>
      </c>
      <c r="L939" s="2210"/>
      <c r="M939" s="2214"/>
      <c r="T939" s="2215"/>
      <c r="AT939" s="2211" t="s">
        <v>3303</v>
      </c>
      <c r="AU939" s="2211" t="s">
        <v>134</v>
      </c>
      <c r="AV939" s="2209" t="s">
        <v>134</v>
      </c>
      <c r="AW939" s="2209" t="s">
        <v>3171</v>
      </c>
      <c r="AX939" s="2209" t="s">
        <v>3213</v>
      </c>
      <c r="AY939" s="2211" t="s">
        <v>3285</v>
      </c>
    </row>
    <row r="940" spans="2:65" s="2209" customFormat="1">
      <c r="B940" s="2210"/>
      <c r="D940" s="2197" t="s">
        <v>3303</v>
      </c>
      <c r="E940" s="2211" t="s">
        <v>3146</v>
      </c>
      <c r="F940" s="2212" t="s">
        <v>5324</v>
      </c>
      <c r="H940" s="2213">
        <v>30</v>
      </c>
      <c r="L940" s="2210"/>
      <c r="M940" s="2214"/>
      <c r="T940" s="2215"/>
      <c r="AT940" s="2211" t="s">
        <v>3303</v>
      </c>
      <c r="AU940" s="2211" t="s">
        <v>134</v>
      </c>
      <c r="AV940" s="2209" t="s">
        <v>134</v>
      </c>
      <c r="AW940" s="2209" t="s">
        <v>3171</v>
      </c>
      <c r="AX940" s="2209" t="s">
        <v>3213</v>
      </c>
      <c r="AY940" s="2211" t="s">
        <v>3285</v>
      </c>
    </row>
    <row r="941" spans="2:65" s="2209" customFormat="1">
      <c r="B941" s="2210"/>
      <c r="D941" s="2197" t="s">
        <v>3303</v>
      </c>
      <c r="E941" s="2211" t="s">
        <v>3146</v>
      </c>
      <c r="F941" s="2212" t="s">
        <v>5325</v>
      </c>
      <c r="H941" s="2213">
        <v>1.2</v>
      </c>
      <c r="L941" s="2210"/>
      <c r="M941" s="2214"/>
      <c r="T941" s="2215"/>
      <c r="AT941" s="2211" t="s">
        <v>3303</v>
      </c>
      <c r="AU941" s="2211" t="s">
        <v>134</v>
      </c>
      <c r="AV941" s="2209" t="s">
        <v>134</v>
      </c>
      <c r="AW941" s="2209" t="s">
        <v>3171</v>
      </c>
      <c r="AX941" s="2209" t="s">
        <v>3213</v>
      </c>
      <c r="AY941" s="2211" t="s">
        <v>3285</v>
      </c>
    </row>
    <row r="942" spans="2:65" s="2209" customFormat="1">
      <c r="B942" s="2210"/>
      <c r="D942" s="2197" t="s">
        <v>3303</v>
      </c>
      <c r="E942" s="2211" t="s">
        <v>3146</v>
      </c>
      <c r="F942" s="2212" t="s">
        <v>5326</v>
      </c>
      <c r="H942" s="2213">
        <v>6</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5322</v>
      </c>
      <c r="H943" s="2213">
        <v>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5327</v>
      </c>
      <c r="H944" s="2213">
        <v>2</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5328</v>
      </c>
      <c r="H945" s="2213">
        <v>10</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5322</v>
      </c>
      <c r="H946" s="2213">
        <v>2</v>
      </c>
      <c r="L946" s="2210"/>
      <c r="M946" s="2214"/>
      <c r="T946" s="2215"/>
      <c r="AT946" s="2211" t="s">
        <v>3303</v>
      </c>
      <c r="AU946" s="2211" t="s">
        <v>134</v>
      </c>
      <c r="AV946" s="2209" t="s">
        <v>134</v>
      </c>
      <c r="AW946" s="2209" t="s">
        <v>3171</v>
      </c>
      <c r="AX946" s="2209" t="s">
        <v>3213</v>
      </c>
      <c r="AY946" s="2211" t="s">
        <v>3285</v>
      </c>
    </row>
    <row r="947" spans="2:65" s="2209" customFormat="1">
      <c r="B947" s="2210"/>
      <c r="D947" s="2197" t="s">
        <v>3303</v>
      </c>
      <c r="E947" s="2211" t="s">
        <v>3146</v>
      </c>
      <c r="F947" s="2212" t="s">
        <v>5329</v>
      </c>
      <c r="H947" s="2213">
        <v>16</v>
      </c>
      <c r="L947" s="2210"/>
      <c r="M947" s="2214"/>
      <c r="T947" s="2215"/>
      <c r="AT947" s="2211" t="s">
        <v>3303</v>
      </c>
      <c r="AU947" s="2211" t="s">
        <v>134</v>
      </c>
      <c r="AV947" s="2209" t="s">
        <v>134</v>
      </c>
      <c r="AW947" s="2209" t="s">
        <v>3171</v>
      </c>
      <c r="AX947" s="2209" t="s">
        <v>3213</v>
      </c>
      <c r="AY947" s="2211" t="s">
        <v>3285</v>
      </c>
    </row>
    <row r="948" spans="2:65" s="2209" customFormat="1">
      <c r="B948" s="2210"/>
      <c r="D948" s="2197" t="s">
        <v>3303</v>
      </c>
      <c r="E948" s="2211" t="s">
        <v>3146</v>
      </c>
      <c r="F948" s="2212" t="s">
        <v>5322</v>
      </c>
      <c r="H948" s="2213">
        <v>2</v>
      </c>
      <c r="L948" s="2210"/>
      <c r="M948" s="2214"/>
      <c r="T948" s="2215"/>
      <c r="AT948" s="2211" t="s">
        <v>3303</v>
      </c>
      <c r="AU948" s="2211" t="s">
        <v>134</v>
      </c>
      <c r="AV948" s="2209" t="s">
        <v>134</v>
      </c>
      <c r="AW948" s="2209" t="s">
        <v>3171</v>
      </c>
      <c r="AX948" s="2209" t="s">
        <v>3213</v>
      </c>
      <c r="AY948" s="2211" t="s">
        <v>3285</v>
      </c>
    </row>
    <row r="949" spans="2:65" s="2209" customFormat="1">
      <c r="B949" s="2210"/>
      <c r="D949" s="2197" t="s">
        <v>3303</v>
      </c>
      <c r="E949" s="2211" t="s">
        <v>3146</v>
      </c>
      <c r="F949" s="2212" t="s">
        <v>5330</v>
      </c>
      <c r="H949" s="2213">
        <v>2.4</v>
      </c>
      <c r="L949" s="2210"/>
      <c r="M949" s="2214"/>
      <c r="T949" s="2215"/>
      <c r="AT949" s="2211" t="s">
        <v>3303</v>
      </c>
      <c r="AU949" s="2211" t="s">
        <v>134</v>
      </c>
      <c r="AV949" s="2209" t="s">
        <v>134</v>
      </c>
      <c r="AW949" s="2209" t="s">
        <v>3171</v>
      </c>
      <c r="AX949" s="2209" t="s">
        <v>3213</v>
      </c>
      <c r="AY949" s="2211" t="s">
        <v>3285</v>
      </c>
    </row>
    <row r="950" spans="2:65" s="2209" customFormat="1">
      <c r="B950" s="2210"/>
      <c r="D950" s="2197" t="s">
        <v>3303</v>
      </c>
      <c r="E950" s="2211" t="s">
        <v>3146</v>
      </c>
      <c r="F950" s="2212" t="s">
        <v>5326</v>
      </c>
      <c r="H950" s="2213">
        <v>6</v>
      </c>
      <c r="L950" s="2210"/>
      <c r="M950" s="2214"/>
      <c r="T950" s="2215"/>
      <c r="AT950" s="2211" t="s">
        <v>3303</v>
      </c>
      <c r="AU950" s="2211" t="s">
        <v>134</v>
      </c>
      <c r="AV950" s="2209" t="s">
        <v>134</v>
      </c>
      <c r="AW950" s="2209" t="s">
        <v>3171</v>
      </c>
      <c r="AX950" s="2209" t="s">
        <v>3213</v>
      </c>
      <c r="AY950" s="2211" t="s">
        <v>3285</v>
      </c>
    </row>
    <row r="951" spans="2:65" s="2209" customFormat="1">
      <c r="B951" s="2210"/>
      <c r="D951" s="2197" t="s">
        <v>3303</v>
      </c>
      <c r="E951" s="2211" t="s">
        <v>3146</v>
      </c>
      <c r="F951" s="2212" t="s">
        <v>5327</v>
      </c>
      <c r="H951" s="2213">
        <v>2</v>
      </c>
      <c r="L951" s="2210"/>
      <c r="M951" s="2214"/>
      <c r="T951" s="2215"/>
      <c r="AT951" s="2211" t="s">
        <v>3303</v>
      </c>
      <c r="AU951" s="2211" t="s">
        <v>134</v>
      </c>
      <c r="AV951" s="2209" t="s">
        <v>134</v>
      </c>
      <c r="AW951" s="2209" t="s">
        <v>3171</v>
      </c>
      <c r="AX951" s="2209" t="s">
        <v>3213</v>
      </c>
      <c r="AY951" s="2211" t="s">
        <v>3285</v>
      </c>
    </row>
    <row r="952" spans="2:65" s="2209" customFormat="1">
      <c r="B952" s="2210"/>
      <c r="D952" s="2197" t="s">
        <v>3303</v>
      </c>
      <c r="E952" s="2211" t="s">
        <v>3146</v>
      </c>
      <c r="F952" s="2212" t="s">
        <v>5331</v>
      </c>
      <c r="H952" s="2213">
        <v>7.5</v>
      </c>
      <c r="L952" s="2210"/>
      <c r="M952" s="2214"/>
      <c r="T952" s="2215"/>
      <c r="AT952" s="2211" t="s">
        <v>3303</v>
      </c>
      <c r="AU952" s="2211" t="s">
        <v>134</v>
      </c>
      <c r="AV952" s="2209" t="s">
        <v>134</v>
      </c>
      <c r="AW952" s="2209" t="s">
        <v>3171</v>
      </c>
      <c r="AX952" s="2209" t="s">
        <v>3213</v>
      </c>
      <c r="AY952" s="2211" t="s">
        <v>3285</v>
      </c>
    </row>
    <row r="953" spans="2:65" s="2209" customFormat="1">
      <c r="B953" s="2210"/>
      <c r="D953" s="2197" t="s">
        <v>3303</v>
      </c>
      <c r="E953" s="2211" t="s">
        <v>3146</v>
      </c>
      <c r="F953" s="2212" t="s">
        <v>5322</v>
      </c>
      <c r="H953" s="2213">
        <v>2</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134.1</v>
      </c>
      <c r="L954" s="2217"/>
      <c r="M954" s="2221"/>
      <c r="T954" s="2222"/>
      <c r="AT954" s="2218" t="s">
        <v>3303</v>
      </c>
      <c r="AU954" s="2218" t="s">
        <v>134</v>
      </c>
      <c r="AV954" s="2216" t="s">
        <v>856</v>
      </c>
      <c r="AW954" s="2216" t="s">
        <v>3171</v>
      </c>
      <c r="AX954" s="2216" t="s">
        <v>133</v>
      </c>
      <c r="AY954" s="2218" t="s">
        <v>3285</v>
      </c>
    </row>
    <row r="955" spans="2:65" s="2070" customFormat="1" ht="21.75" customHeight="1">
      <c r="B955" s="2164"/>
      <c r="C955" s="4614" t="s">
        <v>5230</v>
      </c>
      <c r="D955" s="4614" t="s">
        <v>135</v>
      </c>
      <c r="E955" s="4615" t="s">
        <v>5332</v>
      </c>
      <c r="F955" s="4616" t="s">
        <v>5333</v>
      </c>
      <c r="G955" s="4617" t="s">
        <v>5334</v>
      </c>
      <c r="H955" s="4618">
        <v>532</v>
      </c>
      <c r="I955" s="4619"/>
      <c r="J955" s="4619">
        <f>ROUND(I955*H955,2)</f>
        <v>0</v>
      </c>
      <c r="K955" s="4616" t="s">
        <v>3146</v>
      </c>
      <c r="L955" s="2223"/>
      <c r="M955" s="2224" t="s">
        <v>3146</v>
      </c>
      <c r="N955" s="2225" t="s">
        <v>3181</v>
      </c>
      <c r="O955" s="2191">
        <v>0</v>
      </c>
      <c r="P955" s="2191">
        <f>O955*H955</f>
        <v>0</v>
      </c>
      <c r="Q955" s="2191">
        <v>0</v>
      </c>
      <c r="R955" s="2191">
        <f>Q955*H955</f>
        <v>0</v>
      </c>
      <c r="S955" s="2191">
        <v>0</v>
      </c>
      <c r="T955" s="2192">
        <f>S955*H955</f>
        <v>0</v>
      </c>
      <c r="AR955" s="2193" t="s">
        <v>3389</v>
      </c>
      <c r="AT955" s="2193" t="s">
        <v>135</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5335</v>
      </c>
    </row>
    <row r="956" spans="2:65" s="2209" customFormat="1">
      <c r="B956" s="2210"/>
      <c r="D956" s="2197" t="s">
        <v>3303</v>
      </c>
      <c r="E956" s="2211" t="s">
        <v>3146</v>
      </c>
      <c r="F956" s="2212" t="s">
        <v>5336</v>
      </c>
      <c r="H956" s="2213">
        <v>144</v>
      </c>
      <c r="L956" s="2210"/>
      <c r="M956" s="2214"/>
      <c r="T956" s="2215"/>
      <c r="AT956" s="2211" t="s">
        <v>3303</v>
      </c>
      <c r="AU956" s="2211" t="s">
        <v>134</v>
      </c>
      <c r="AV956" s="2209" t="s">
        <v>134</v>
      </c>
      <c r="AW956" s="2209" t="s">
        <v>3171</v>
      </c>
      <c r="AX956" s="2209" t="s">
        <v>3213</v>
      </c>
      <c r="AY956" s="2211" t="s">
        <v>3285</v>
      </c>
    </row>
    <row r="957" spans="2:65" s="2209" customFormat="1">
      <c r="B957" s="2210"/>
      <c r="D957" s="2197" t="s">
        <v>3303</v>
      </c>
      <c r="E957" s="2211" t="s">
        <v>3146</v>
      </c>
      <c r="F957" s="2212" t="s">
        <v>5337</v>
      </c>
      <c r="H957" s="2213">
        <v>4</v>
      </c>
      <c r="L957" s="2210"/>
      <c r="M957" s="2214"/>
      <c r="T957" s="2215"/>
      <c r="AT957" s="2211" t="s">
        <v>3303</v>
      </c>
      <c r="AU957" s="2211" t="s">
        <v>134</v>
      </c>
      <c r="AV957" s="2209" t="s">
        <v>134</v>
      </c>
      <c r="AW957" s="2209" t="s">
        <v>3171</v>
      </c>
      <c r="AX957" s="2209" t="s">
        <v>3213</v>
      </c>
      <c r="AY957" s="2211" t="s">
        <v>3285</v>
      </c>
    </row>
    <row r="958" spans="2:65" s="2209" customFormat="1">
      <c r="B958" s="2210"/>
      <c r="D958" s="2197" t="s">
        <v>3303</v>
      </c>
      <c r="E958" s="2211" t="s">
        <v>3146</v>
      </c>
      <c r="F958" s="2212" t="s">
        <v>5338</v>
      </c>
      <c r="H958" s="2213">
        <v>8</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5339</v>
      </c>
      <c r="H959" s="2213">
        <v>16</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5340</v>
      </c>
      <c r="H960" s="2213">
        <v>120</v>
      </c>
      <c r="L960" s="2210"/>
      <c r="M960" s="2214"/>
      <c r="T960" s="2215"/>
      <c r="AT960" s="2211" t="s">
        <v>3303</v>
      </c>
      <c r="AU960" s="2211" t="s">
        <v>134</v>
      </c>
      <c r="AV960" s="2209" t="s">
        <v>134</v>
      </c>
      <c r="AW960" s="2209" t="s">
        <v>3171</v>
      </c>
      <c r="AX960" s="2209" t="s">
        <v>3213</v>
      </c>
      <c r="AY960" s="2211" t="s">
        <v>3285</v>
      </c>
    </row>
    <row r="961" spans="2:65" s="2209" customFormat="1">
      <c r="B961" s="2210"/>
      <c r="D961" s="2197" t="s">
        <v>3303</v>
      </c>
      <c r="E961" s="2211" t="s">
        <v>3146</v>
      </c>
      <c r="F961" s="2212" t="s">
        <v>5338</v>
      </c>
      <c r="H961" s="2213">
        <v>8</v>
      </c>
      <c r="L961" s="2210"/>
      <c r="M961" s="2214"/>
      <c r="T961" s="2215"/>
      <c r="AT961" s="2211" t="s">
        <v>3303</v>
      </c>
      <c r="AU961" s="2211" t="s">
        <v>134</v>
      </c>
      <c r="AV961" s="2209" t="s">
        <v>134</v>
      </c>
      <c r="AW961" s="2209" t="s">
        <v>3171</v>
      </c>
      <c r="AX961" s="2209" t="s">
        <v>3213</v>
      </c>
      <c r="AY961" s="2211" t="s">
        <v>3285</v>
      </c>
    </row>
    <row r="962" spans="2:65" s="2209" customFormat="1">
      <c r="B962" s="2210"/>
      <c r="D962" s="2197" t="s">
        <v>3303</v>
      </c>
      <c r="E962" s="2211" t="s">
        <v>3146</v>
      </c>
      <c r="F962" s="2212" t="s">
        <v>5341</v>
      </c>
      <c r="H962" s="2213">
        <v>24</v>
      </c>
      <c r="L962" s="2210"/>
      <c r="M962" s="2214"/>
      <c r="T962" s="2215"/>
      <c r="AT962" s="2211" t="s">
        <v>3303</v>
      </c>
      <c r="AU962" s="2211" t="s">
        <v>134</v>
      </c>
      <c r="AV962" s="2209" t="s">
        <v>134</v>
      </c>
      <c r="AW962" s="2209" t="s">
        <v>3171</v>
      </c>
      <c r="AX962" s="2209" t="s">
        <v>3213</v>
      </c>
      <c r="AY962" s="2211" t="s">
        <v>3285</v>
      </c>
    </row>
    <row r="963" spans="2:65" s="2209" customFormat="1">
      <c r="B963" s="2210"/>
      <c r="D963" s="2197" t="s">
        <v>3303</v>
      </c>
      <c r="E963" s="2211" t="s">
        <v>3146</v>
      </c>
      <c r="F963" s="2212" t="s">
        <v>5338</v>
      </c>
      <c r="H963" s="2213">
        <v>8</v>
      </c>
      <c r="L963" s="2210"/>
      <c r="M963" s="2214"/>
      <c r="T963" s="2215"/>
      <c r="AT963" s="2211" t="s">
        <v>3303</v>
      </c>
      <c r="AU963" s="2211" t="s">
        <v>134</v>
      </c>
      <c r="AV963" s="2209" t="s">
        <v>134</v>
      </c>
      <c r="AW963" s="2209" t="s">
        <v>3171</v>
      </c>
      <c r="AX963" s="2209" t="s">
        <v>3213</v>
      </c>
      <c r="AY963" s="2211" t="s">
        <v>3285</v>
      </c>
    </row>
    <row r="964" spans="2:65" s="2209" customFormat="1">
      <c r="B964" s="2210"/>
      <c r="D964" s="2197" t="s">
        <v>3303</v>
      </c>
      <c r="E964" s="2211" t="s">
        <v>3146</v>
      </c>
      <c r="F964" s="2212" t="s">
        <v>5342</v>
      </c>
      <c r="H964" s="2213">
        <v>8</v>
      </c>
      <c r="L964" s="2210"/>
      <c r="M964" s="2214"/>
      <c r="T964" s="2215"/>
      <c r="AT964" s="2211" t="s">
        <v>3303</v>
      </c>
      <c r="AU964" s="2211" t="s">
        <v>134</v>
      </c>
      <c r="AV964" s="2209" t="s">
        <v>134</v>
      </c>
      <c r="AW964" s="2209" t="s">
        <v>3171</v>
      </c>
      <c r="AX964" s="2209" t="s">
        <v>3213</v>
      </c>
      <c r="AY964" s="2211" t="s">
        <v>3285</v>
      </c>
    </row>
    <row r="965" spans="2:65" s="2209" customFormat="1">
      <c r="B965" s="2210"/>
      <c r="D965" s="2197" t="s">
        <v>3303</v>
      </c>
      <c r="E965" s="2211" t="s">
        <v>3146</v>
      </c>
      <c r="F965" s="2212" t="s">
        <v>5343</v>
      </c>
      <c r="H965" s="2213">
        <v>40</v>
      </c>
      <c r="L965" s="2210"/>
      <c r="M965" s="2214"/>
      <c r="T965" s="2215"/>
      <c r="AT965" s="2211" t="s">
        <v>3303</v>
      </c>
      <c r="AU965" s="2211" t="s">
        <v>134</v>
      </c>
      <c r="AV965" s="2209" t="s">
        <v>134</v>
      </c>
      <c r="AW965" s="2209" t="s">
        <v>3171</v>
      </c>
      <c r="AX965" s="2209" t="s">
        <v>3213</v>
      </c>
      <c r="AY965" s="2211" t="s">
        <v>3285</v>
      </c>
    </row>
    <row r="966" spans="2:65" s="2209" customFormat="1">
      <c r="B966" s="2210"/>
      <c r="D966" s="2197" t="s">
        <v>3303</v>
      </c>
      <c r="E966" s="2211" t="s">
        <v>3146</v>
      </c>
      <c r="F966" s="2212" t="s">
        <v>5338</v>
      </c>
      <c r="H966" s="2213">
        <v>8</v>
      </c>
      <c r="L966" s="2210"/>
      <c r="M966" s="2214"/>
      <c r="T966" s="2215"/>
      <c r="AT966" s="2211" t="s">
        <v>3303</v>
      </c>
      <c r="AU966" s="2211" t="s">
        <v>134</v>
      </c>
      <c r="AV966" s="2209" t="s">
        <v>134</v>
      </c>
      <c r="AW966" s="2209" t="s">
        <v>3171</v>
      </c>
      <c r="AX966" s="2209" t="s">
        <v>3213</v>
      </c>
      <c r="AY966" s="2211" t="s">
        <v>3285</v>
      </c>
    </row>
    <row r="967" spans="2:65" s="2209" customFormat="1">
      <c r="B967" s="2210"/>
      <c r="D967" s="2197" t="s">
        <v>3303</v>
      </c>
      <c r="E967" s="2211" t="s">
        <v>3146</v>
      </c>
      <c r="F967" s="2212" t="s">
        <v>5344</v>
      </c>
      <c r="H967" s="2213">
        <v>64</v>
      </c>
      <c r="L967" s="2210"/>
      <c r="M967" s="2214"/>
      <c r="T967" s="2215"/>
      <c r="AT967" s="2211" t="s">
        <v>3303</v>
      </c>
      <c r="AU967" s="2211" t="s">
        <v>134</v>
      </c>
      <c r="AV967" s="2209" t="s">
        <v>134</v>
      </c>
      <c r="AW967" s="2209" t="s">
        <v>3171</v>
      </c>
      <c r="AX967" s="2209" t="s">
        <v>3213</v>
      </c>
      <c r="AY967" s="2211" t="s">
        <v>3285</v>
      </c>
    </row>
    <row r="968" spans="2:65" s="2209" customFormat="1">
      <c r="B968" s="2210"/>
      <c r="D968" s="2197" t="s">
        <v>3303</v>
      </c>
      <c r="E968" s="2211" t="s">
        <v>3146</v>
      </c>
      <c r="F968" s="2212" t="s">
        <v>5338</v>
      </c>
      <c r="H968" s="2213">
        <v>8</v>
      </c>
      <c r="L968" s="2210"/>
      <c r="M968" s="2214"/>
      <c r="T968" s="2215"/>
      <c r="AT968" s="2211" t="s">
        <v>3303</v>
      </c>
      <c r="AU968" s="2211" t="s">
        <v>134</v>
      </c>
      <c r="AV968" s="2209" t="s">
        <v>134</v>
      </c>
      <c r="AW968" s="2209" t="s">
        <v>3171</v>
      </c>
      <c r="AX968" s="2209" t="s">
        <v>3213</v>
      </c>
      <c r="AY968" s="2211" t="s">
        <v>3285</v>
      </c>
    </row>
    <row r="969" spans="2:65" s="2209" customFormat="1">
      <c r="B969" s="2210"/>
      <c r="D969" s="2197" t="s">
        <v>3303</v>
      </c>
      <c r="E969" s="2211" t="s">
        <v>3146</v>
      </c>
      <c r="F969" s="2212" t="s">
        <v>5342</v>
      </c>
      <c r="H969" s="2213">
        <v>8</v>
      </c>
      <c r="L969" s="2210"/>
      <c r="M969" s="2214"/>
      <c r="T969" s="2215"/>
      <c r="AT969" s="2211" t="s">
        <v>3303</v>
      </c>
      <c r="AU969" s="2211" t="s">
        <v>134</v>
      </c>
      <c r="AV969" s="2209" t="s">
        <v>134</v>
      </c>
      <c r="AW969" s="2209" t="s">
        <v>3171</v>
      </c>
      <c r="AX969" s="2209" t="s">
        <v>3213</v>
      </c>
      <c r="AY969" s="2211" t="s">
        <v>3285</v>
      </c>
    </row>
    <row r="970" spans="2:65" s="2209" customFormat="1">
      <c r="B970" s="2210"/>
      <c r="D970" s="2197" t="s">
        <v>3303</v>
      </c>
      <c r="E970" s="2211" t="s">
        <v>3146</v>
      </c>
      <c r="F970" s="2212" t="s">
        <v>5341</v>
      </c>
      <c r="H970" s="2213">
        <v>24</v>
      </c>
      <c r="L970" s="2210"/>
      <c r="M970" s="2214"/>
      <c r="T970" s="2215"/>
      <c r="AT970" s="2211" t="s">
        <v>3303</v>
      </c>
      <c r="AU970" s="2211" t="s">
        <v>134</v>
      </c>
      <c r="AV970" s="2209" t="s">
        <v>134</v>
      </c>
      <c r="AW970" s="2209" t="s">
        <v>3171</v>
      </c>
      <c r="AX970" s="2209" t="s">
        <v>3213</v>
      </c>
      <c r="AY970" s="2211" t="s">
        <v>3285</v>
      </c>
    </row>
    <row r="971" spans="2:65" s="2209" customFormat="1">
      <c r="B971" s="2210"/>
      <c r="D971" s="2197" t="s">
        <v>3303</v>
      </c>
      <c r="E971" s="2211" t="s">
        <v>3146</v>
      </c>
      <c r="F971" s="2212" t="s">
        <v>5342</v>
      </c>
      <c r="H971" s="2213">
        <v>8</v>
      </c>
      <c r="L971" s="2210"/>
      <c r="M971" s="2214"/>
      <c r="T971" s="2215"/>
      <c r="AT971" s="2211" t="s">
        <v>3303</v>
      </c>
      <c r="AU971" s="2211" t="s">
        <v>134</v>
      </c>
      <c r="AV971" s="2209" t="s">
        <v>134</v>
      </c>
      <c r="AW971" s="2209" t="s">
        <v>3171</v>
      </c>
      <c r="AX971" s="2209" t="s">
        <v>3213</v>
      </c>
      <c r="AY971" s="2211" t="s">
        <v>3285</v>
      </c>
    </row>
    <row r="972" spans="2:65" s="2209" customFormat="1">
      <c r="B972" s="2210"/>
      <c r="D972" s="2197" t="s">
        <v>3303</v>
      </c>
      <c r="E972" s="2211" t="s">
        <v>3146</v>
      </c>
      <c r="F972" s="2212" t="s">
        <v>5345</v>
      </c>
      <c r="H972" s="2213">
        <v>24</v>
      </c>
      <c r="L972" s="2210"/>
      <c r="M972" s="2214"/>
      <c r="T972" s="2215"/>
      <c r="AT972" s="2211" t="s">
        <v>3303</v>
      </c>
      <c r="AU972" s="2211" t="s">
        <v>134</v>
      </c>
      <c r="AV972" s="2209" t="s">
        <v>134</v>
      </c>
      <c r="AW972" s="2209" t="s">
        <v>3171</v>
      </c>
      <c r="AX972" s="2209" t="s">
        <v>3213</v>
      </c>
      <c r="AY972" s="2211" t="s">
        <v>3285</v>
      </c>
    </row>
    <row r="973" spans="2:65" s="2209" customFormat="1">
      <c r="B973" s="2210"/>
      <c r="D973" s="2197" t="s">
        <v>3303</v>
      </c>
      <c r="E973" s="2211" t="s">
        <v>3146</v>
      </c>
      <c r="F973" s="2212" t="s">
        <v>5338</v>
      </c>
      <c r="H973" s="2213">
        <v>8</v>
      </c>
      <c r="L973" s="2210"/>
      <c r="M973" s="2214"/>
      <c r="T973" s="2215"/>
      <c r="AT973" s="2211" t="s">
        <v>3303</v>
      </c>
      <c r="AU973" s="2211" t="s">
        <v>134</v>
      </c>
      <c r="AV973" s="2209" t="s">
        <v>134</v>
      </c>
      <c r="AW973" s="2209" t="s">
        <v>3171</v>
      </c>
      <c r="AX973" s="2209" t="s">
        <v>3213</v>
      </c>
      <c r="AY973" s="2211" t="s">
        <v>3285</v>
      </c>
    </row>
    <row r="974" spans="2:65" s="2216" customFormat="1">
      <c r="B974" s="2217"/>
      <c r="D974" s="2197" t="s">
        <v>3303</v>
      </c>
      <c r="E974" s="2218" t="s">
        <v>3146</v>
      </c>
      <c r="F974" s="2219" t="s">
        <v>3306</v>
      </c>
      <c r="H974" s="2220">
        <v>532</v>
      </c>
      <c r="L974" s="2217"/>
      <c r="M974" s="2221"/>
      <c r="T974" s="2222"/>
      <c r="AT974" s="2218" t="s">
        <v>3303</v>
      </c>
      <c r="AU974" s="2218" t="s">
        <v>134</v>
      </c>
      <c r="AV974" s="2216" t="s">
        <v>856</v>
      </c>
      <c r="AW974" s="2216" t="s">
        <v>3171</v>
      </c>
      <c r="AX974" s="2216" t="s">
        <v>133</v>
      </c>
      <c r="AY974" s="2218" t="s">
        <v>3285</v>
      </c>
    </row>
    <row r="975" spans="2:65" s="2070" customFormat="1" ht="24.2" customHeight="1">
      <c r="B975" s="2164"/>
      <c r="C975" s="4608" t="s">
        <v>5234</v>
      </c>
      <c r="D975" s="4608" t="s">
        <v>3286</v>
      </c>
      <c r="E975" s="4609" t="s">
        <v>5346</v>
      </c>
      <c r="F975" s="4610" t="s">
        <v>5347</v>
      </c>
      <c r="G975" s="4611" t="s">
        <v>611</v>
      </c>
      <c r="H975" s="4612">
        <v>5.4</v>
      </c>
      <c r="I975" s="4613"/>
      <c r="J975" s="4613">
        <f>ROUND(I975*H975,2)</f>
        <v>0</v>
      </c>
      <c r="K975" s="4610" t="s">
        <v>142</v>
      </c>
      <c r="L975" s="2071"/>
      <c r="M975" s="2190" t="s">
        <v>3146</v>
      </c>
      <c r="N975" s="2163" t="s">
        <v>3181</v>
      </c>
      <c r="O975" s="2191">
        <v>0.15</v>
      </c>
      <c r="P975" s="2191">
        <f>O975*H975</f>
        <v>0.81</v>
      </c>
      <c r="Q975" s="2191">
        <v>0</v>
      </c>
      <c r="R975" s="2191">
        <f>Q975*H975</f>
        <v>0</v>
      </c>
      <c r="S975" s="2191">
        <v>0</v>
      </c>
      <c r="T975" s="2192">
        <f>S975*H975</f>
        <v>0</v>
      </c>
      <c r="AR975" s="2193" t="s">
        <v>2894</v>
      </c>
      <c r="AT975" s="2193" t="s">
        <v>3286</v>
      </c>
      <c r="AU975" s="2193" t="s">
        <v>134</v>
      </c>
      <c r="AY975" s="2056" t="s">
        <v>3285</v>
      </c>
      <c r="BE975" s="2194">
        <f>IF(N975="základní",J975,0)</f>
        <v>0</v>
      </c>
      <c r="BF975" s="2194">
        <f>IF(N975="snížená",J975,0)</f>
        <v>0</v>
      </c>
      <c r="BG975" s="2194">
        <f>IF(N975="zákl. přenesená",J975,0)</f>
        <v>0</v>
      </c>
      <c r="BH975" s="2194">
        <f>IF(N975="sníž. přenesená",J975,0)</f>
        <v>0</v>
      </c>
      <c r="BI975" s="2194">
        <f>IF(N975="nulová",J975,0)</f>
        <v>0</v>
      </c>
      <c r="BJ975" s="2056" t="s">
        <v>134</v>
      </c>
      <c r="BK975" s="2194">
        <f>ROUND(I975*H975,2)</f>
        <v>0</v>
      </c>
      <c r="BL975" s="2056" t="s">
        <v>2894</v>
      </c>
      <c r="BM975" s="2193" t="s">
        <v>5348</v>
      </c>
    </row>
    <row r="976" spans="2:65" s="2195" customFormat="1">
      <c r="B976" s="2196"/>
      <c r="D976" s="2197" t="s">
        <v>3303</v>
      </c>
      <c r="E976" s="2198" t="s">
        <v>3146</v>
      </c>
      <c r="F976" s="2199" t="s">
        <v>5349</v>
      </c>
      <c r="H976" s="2198" t="s">
        <v>3146</v>
      </c>
      <c r="L976" s="2196"/>
      <c r="M976" s="2200"/>
      <c r="T976" s="2201"/>
      <c r="AT976" s="2198" t="s">
        <v>3303</v>
      </c>
      <c r="AU976" s="2198" t="s">
        <v>134</v>
      </c>
      <c r="AV976" s="2195" t="s">
        <v>133</v>
      </c>
      <c r="AW976" s="2195" t="s">
        <v>3171</v>
      </c>
      <c r="AX976" s="2195" t="s">
        <v>3213</v>
      </c>
      <c r="AY976" s="2198" t="s">
        <v>3285</v>
      </c>
    </row>
    <row r="977" spans="2:65" s="2209" customFormat="1">
      <c r="B977" s="2210"/>
      <c r="D977" s="2197" t="s">
        <v>3303</v>
      </c>
      <c r="E977" s="2211" t="s">
        <v>3146</v>
      </c>
      <c r="F977" s="2212" t="s">
        <v>5350</v>
      </c>
      <c r="H977" s="2213">
        <v>1.9</v>
      </c>
      <c r="L977" s="2210"/>
      <c r="M977" s="2214"/>
      <c r="T977" s="2215"/>
      <c r="AT977" s="2211" t="s">
        <v>3303</v>
      </c>
      <c r="AU977" s="2211" t="s">
        <v>134</v>
      </c>
      <c r="AV977" s="2209" t="s">
        <v>134</v>
      </c>
      <c r="AW977" s="2209" t="s">
        <v>3171</v>
      </c>
      <c r="AX977" s="2209" t="s">
        <v>3213</v>
      </c>
      <c r="AY977" s="2211" t="s">
        <v>3285</v>
      </c>
    </row>
    <row r="978" spans="2:65" s="2195" customFormat="1">
      <c r="B978" s="2196"/>
      <c r="D978" s="2197" t="s">
        <v>3303</v>
      </c>
      <c r="E978" s="2198" t="s">
        <v>3146</v>
      </c>
      <c r="F978" s="2199" t="s">
        <v>5351</v>
      </c>
      <c r="H978" s="2198" t="s">
        <v>3146</v>
      </c>
      <c r="L978" s="2196"/>
      <c r="M978" s="2200"/>
      <c r="T978" s="2201"/>
      <c r="AT978" s="2198" t="s">
        <v>3303</v>
      </c>
      <c r="AU978" s="2198" t="s">
        <v>134</v>
      </c>
      <c r="AV978" s="2195" t="s">
        <v>133</v>
      </c>
      <c r="AW978" s="2195" t="s">
        <v>3171</v>
      </c>
      <c r="AX978" s="2195" t="s">
        <v>3213</v>
      </c>
      <c r="AY978" s="2198" t="s">
        <v>3285</v>
      </c>
    </row>
    <row r="979" spans="2:65" s="2209" customFormat="1">
      <c r="B979" s="2210"/>
      <c r="D979" s="2197" t="s">
        <v>3303</v>
      </c>
      <c r="E979" s="2211" t="s">
        <v>3146</v>
      </c>
      <c r="F979" s="2212" t="s">
        <v>5352</v>
      </c>
      <c r="H979" s="2213">
        <v>3.5</v>
      </c>
      <c r="L979" s="2210"/>
      <c r="M979" s="2214"/>
      <c r="T979" s="2215"/>
      <c r="AT979" s="2211" t="s">
        <v>3303</v>
      </c>
      <c r="AU979" s="2211" t="s">
        <v>134</v>
      </c>
      <c r="AV979" s="2209" t="s">
        <v>134</v>
      </c>
      <c r="AW979" s="2209" t="s">
        <v>3171</v>
      </c>
      <c r="AX979" s="2209" t="s">
        <v>3213</v>
      </c>
      <c r="AY979" s="2211" t="s">
        <v>3285</v>
      </c>
    </row>
    <row r="980" spans="2:65" s="2216" customFormat="1">
      <c r="B980" s="2217"/>
      <c r="D980" s="2197" t="s">
        <v>3303</v>
      </c>
      <c r="E980" s="2218" t="s">
        <v>3146</v>
      </c>
      <c r="F980" s="2219" t="s">
        <v>3306</v>
      </c>
      <c r="H980" s="2220">
        <v>5.4</v>
      </c>
      <c r="L980" s="2217"/>
      <c r="M980" s="2221"/>
      <c r="T980" s="2222"/>
      <c r="AT980" s="2218" t="s">
        <v>3303</v>
      </c>
      <c r="AU980" s="2218" t="s">
        <v>134</v>
      </c>
      <c r="AV980" s="2216" t="s">
        <v>856</v>
      </c>
      <c r="AW980" s="2216" t="s">
        <v>3171</v>
      </c>
      <c r="AX980" s="2216" t="s">
        <v>133</v>
      </c>
      <c r="AY980" s="2218" t="s">
        <v>3285</v>
      </c>
    </row>
    <row r="981" spans="2:65" s="2070" customFormat="1" ht="24.2" customHeight="1">
      <c r="B981" s="2164"/>
      <c r="C981" s="4614" t="s">
        <v>5238</v>
      </c>
      <c r="D981" s="4614" t="s">
        <v>135</v>
      </c>
      <c r="E981" s="4615" t="s">
        <v>5353</v>
      </c>
      <c r="F981" s="4616" t="s">
        <v>5354</v>
      </c>
      <c r="G981" s="4617" t="s">
        <v>611</v>
      </c>
      <c r="H981" s="4618">
        <v>3.85</v>
      </c>
      <c r="I981" s="4619"/>
      <c r="J981" s="4619">
        <f>ROUND(I981*H981,2)</f>
        <v>0</v>
      </c>
      <c r="K981" s="4616" t="s">
        <v>142</v>
      </c>
      <c r="L981" s="2223"/>
      <c r="M981" s="2224" t="s">
        <v>3146</v>
      </c>
      <c r="N981" s="2225" t="s">
        <v>3181</v>
      </c>
      <c r="O981" s="2191">
        <v>0</v>
      </c>
      <c r="P981" s="2191">
        <f>O981*H981</f>
        <v>0</v>
      </c>
      <c r="Q981" s="2191">
        <v>3.3999999999999998E-3</v>
      </c>
      <c r="R981" s="2191">
        <f>Q981*H981</f>
        <v>1.3089999999999999E-2</v>
      </c>
      <c r="S981" s="2191">
        <v>0</v>
      </c>
      <c r="T981" s="2192">
        <f>S981*H981</f>
        <v>0</v>
      </c>
      <c r="AR981" s="2193" t="s">
        <v>3389</v>
      </c>
      <c r="AT981" s="2193" t="s">
        <v>135</v>
      </c>
      <c r="AU981" s="2193" t="s">
        <v>134</v>
      </c>
      <c r="AY981" s="2056" t="s">
        <v>3285</v>
      </c>
      <c r="BE981" s="2194">
        <f>IF(N981="základní",J981,0)</f>
        <v>0</v>
      </c>
      <c r="BF981" s="2194">
        <f>IF(N981="snížená",J981,0)</f>
        <v>0</v>
      </c>
      <c r="BG981" s="2194">
        <f>IF(N981="zákl. přenesená",J981,0)</f>
        <v>0</v>
      </c>
      <c r="BH981" s="2194">
        <f>IF(N981="sníž. přenesená",J981,0)</f>
        <v>0</v>
      </c>
      <c r="BI981" s="2194">
        <f>IF(N981="nulová",J981,0)</f>
        <v>0</v>
      </c>
      <c r="BJ981" s="2056" t="s">
        <v>134</v>
      </c>
      <c r="BK981" s="2194">
        <f>ROUND(I981*H981,2)</f>
        <v>0</v>
      </c>
      <c r="BL981" s="2056" t="s">
        <v>2894</v>
      </c>
      <c r="BM981" s="2193" t="s">
        <v>5355</v>
      </c>
    </row>
    <row r="982" spans="2:65" s="2195" customFormat="1">
      <c r="B982" s="2196"/>
      <c r="D982" s="2197" t="s">
        <v>3303</v>
      </c>
      <c r="E982" s="2198" t="s">
        <v>3146</v>
      </c>
      <c r="F982" s="2199" t="s">
        <v>5351</v>
      </c>
      <c r="H982" s="2198" t="s">
        <v>3146</v>
      </c>
      <c r="L982" s="2196"/>
      <c r="M982" s="2200"/>
      <c r="T982" s="2201"/>
      <c r="AT982" s="2198" t="s">
        <v>3303</v>
      </c>
      <c r="AU982" s="2198" t="s">
        <v>134</v>
      </c>
      <c r="AV982" s="2195" t="s">
        <v>133</v>
      </c>
      <c r="AW982" s="2195" t="s">
        <v>3171</v>
      </c>
      <c r="AX982" s="2195" t="s">
        <v>3213</v>
      </c>
      <c r="AY982" s="2198" t="s">
        <v>3285</v>
      </c>
    </row>
    <row r="983" spans="2:65" s="2209" customFormat="1">
      <c r="B983" s="2210"/>
      <c r="D983" s="2197" t="s">
        <v>3303</v>
      </c>
      <c r="E983" s="2211" t="s">
        <v>3146</v>
      </c>
      <c r="F983" s="2212" t="s">
        <v>5352</v>
      </c>
      <c r="H983" s="2213">
        <v>3.5</v>
      </c>
      <c r="L983" s="2210"/>
      <c r="M983" s="2214"/>
      <c r="T983" s="2215"/>
      <c r="AT983" s="2211" t="s">
        <v>3303</v>
      </c>
      <c r="AU983" s="2211" t="s">
        <v>134</v>
      </c>
      <c r="AV983" s="2209" t="s">
        <v>134</v>
      </c>
      <c r="AW983" s="2209" t="s">
        <v>3171</v>
      </c>
      <c r="AX983" s="2209" t="s">
        <v>3213</v>
      </c>
      <c r="AY983" s="2211" t="s">
        <v>3285</v>
      </c>
    </row>
    <row r="984" spans="2:65" s="2216" customFormat="1">
      <c r="B984" s="2217"/>
      <c r="D984" s="2197" t="s">
        <v>3303</v>
      </c>
      <c r="E984" s="2218" t="s">
        <v>3146</v>
      </c>
      <c r="F984" s="2219" t="s">
        <v>3306</v>
      </c>
      <c r="H984" s="2220">
        <v>3.5</v>
      </c>
      <c r="L984" s="2217"/>
      <c r="M984" s="2221"/>
      <c r="T984" s="2222"/>
      <c r="AT984" s="2218" t="s">
        <v>3303</v>
      </c>
      <c r="AU984" s="2218" t="s">
        <v>134</v>
      </c>
      <c r="AV984" s="2216" t="s">
        <v>856</v>
      </c>
      <c r="AW984" s="2216" t="s">
        <v>3171</v>
      </c>
      <c r="AX984" s="2216" t="s">
        <v>133</v>
      </c>
      <c r="AY984" s="2218" t="s">
        <v>3285</v>
      </c>
    </row>
    <row r="985" spans="2:65" s="2209" customFormat="1">
      <c r="B985" s="2210"/>
      <c r="D985" s="2197" t="s">
        <v>3303</v>
      </c>
      <c r="F985" s="2212" t="s">
        <v>5356</v>
      </c>
      <c r="H985" s="2213">
        <v>3.85</v>
      </c>
      <c r="L985" s="2210"/>
      <c r="M985" s="2214"/>
      <c r="T985" s="2215"/>
      <c r="AT985" s="2211" t="s">
        <v>3303</v>
      </c>
      <c r="AU985" s="2211" t="s">
        <v>134</v>
      </c>
      <c r="AV985" s="2209" t="s">
        <v>134</v>
      </c>
      <c r="AW985" s="2209" t="s">
        <v>3148</v>
      </c>
      <c r="AX985" s="2209" t="s">
        <v>133</v>
      </c>
      <c r="AY985" s="2211" t="s">
        <v>3285</v>
      </c>
    </row>
    <row r="986" spans="2:65" s="2070" customFormat="1" ht="16.5" customHeight="1">
      <c r="B986" s="2164"/>
      <c r="C986" s="4614" t="s">
        <v>5242</v>
      </c>
      <c r="D986" s="4614" t="s">
        <v>135</v>
      </c>
      <c r="E986" s="4615" t="s">
        <v>5357</v>
      </c>
      <c r="F986" s="4616" t="s">
        <v>5358</v>
      </c>
      <c r="G986" s="4617" t="s">
        <v>611</v>
      </c>
      <c r="H986" s="4618">
        <v>2.09</v>
      </c>
      <c r="I986" s="4619"/>
      <c r="J986" s="4619">
        <f>ROUND(I986*H986,2)</f>
        <v>0</v>
      </c>
      <c r="K986" s="4616" t="s">
        <v>142</v>
      </c>
      <c r="L986" s="2223"/>
      <c r="M986" s="2224" t="s">
        <v>3146</v>
      </c>
      <c r="N986" s="2225" t="s">
        <v>3181</v>
      </c>
      <c r="O986" s="2191">
        <v>0</v>
      </c>
      <c r="P986" s="2191">
        <f>O986*H986</f>
        <v>0</v>
      </c>
      <c r="Q986" s="2191">
        <v>1.7999999999999999E-2</v>
      </c>
      <c r="R986" s="2191">
        <f>Q986*H986</f>
        <v>3.7619999999999994E-2</v>
      </c>
      <c r="S986" s="2191">
        <v>0</v>
      </c>
      <c r="T986" s="2192">
        <f>S986*H986</f>
        <v>0</v>
      </c>
      <c r="AR986" s="2193" t="s">
        <v>3389</v>
      </c>
      <c r="AT986" s="2193" t="s">
        <v>135</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f>ROUND(I986*H986,2)</f>
        <v>0</v>
      </c>
      <c r="BL986" s="2056" t="s">
        <v>2894</v>
      </c>
      <c r="BM986" s="2193" t="s">
        <v>5359</v>
      </c>
    </row>
    <row r="987" spans="2:65" s="2195" customFormat="1">
      <c r="B987" s="2196"/>
      <c r="D987" s="2197" t="s">
        <v>3303</v>
      </c>
      <c r="E987" s="2198" t="s">
        <v>3146</v>
      </c>
      <c r="F987" s="2199" t="s">
        <v>5349</v>
      </c>
      <c r="H987" s="2198" t="s">
        <v>3146</v>
      </c>
      <c r="L987" s="2196"/>
      <c r="M987" s="2200"/>
      <c r="T987" s="2201"/>
      <c r="AT987" s="2198" t="s">
        <v>3303</v>
      </c>
      <c r="AU987" s="2198" t="s">
        <v>134</v>
      </c>
      <c r="AV987" s="2195" t="s">
        <v>133</v>
      </c>
      <c r="AW987" s="2195" t="s">
        <v>3171</v>
      </c>
      <c r="AX987" s="2195" t="s">
        <v>3213</v>
      </c>
      <c r="AY987" s="2198" t="s">
        <v>3285</v>
      </c>
    </row>
    <row r="988" spans="2:65" s="2209" customFormat="1">
      <c r="B988" s="2210"/>
      <c r="D988" s="2197" t="s">
        <v>3303</v>
      </c>
      <c r="E988" s="2211" t="s">
        <v>3146</v>
      </c>
      <c r="F988" s="2212" t="s">
        <v>5350</v>
      </c>
      <c r="H988" s="2213">
        <v>1.9</v>
      </c>
      <c r="L988" s="2210"/>
      <c r="M988" s="2214"/>
      <c r="T988" s="2215"/>
      <c r="AT988" s="2211" t="s">
        <v>3303</v>
      </c>
      <c r="AU988" s="2211" t="s">
        <v>134</v>
      </c>
      <c r="AV988" s="2209" t="s">
        <v>134</v>
      </c>
      <c r="AW988" s="2209" t="s">
        <v>3171</v>
      </c>
      <c r="AX988" s="2209" t="s">
        <v>3213</v>
      </c>
      <c r="AY988" s="2211" t="s">
        <v>3285</v>
      </c>
    </row>
    <row r="989" spans="2:65" s="2216" customFormat="1">
      <c r="B989" s="2217"/>
      <c r="D989" s="2197" t="s">
        <v>3303</v>
      </c>
      <c r="E989" s="2218" t="s">
        <v>3146</v>
      </c>
      <c r="F989" s="2219" t="s">
        <v>3306</v>
      </c>
      <c r="H989" s="2220">
        <v>1.9</v>
      </c>
      <c r="L989" s="2217"/>
      <c r="M989" s="2221"/>
      <c r="T989" s="2222"/>
      <c r="AT989" s="2218" t="s">
        <v>3303</v>
      </c>
      <c r="AU989" s="2218" t="s">
        <v>134</v>
      </c>
      <c r="AV989" s="2216" t="s">
        <v>856</v>
      </c>
      <c r="AW989" s="2216" t="s">
        <v>3171</v>
      </c>
      <c r="AX989" s="2216" t="s">
        <v>133</v>
      </c>
      <c r="AY989" s="2218" t="s">
        <v>3285</v>
      </c>
    </row>
    <row r="990" spans="2:65" s="2209" customFormat="1">
      <c r="B990" s="2210"/>
      <c r="D990" s="2197" t="s">
        <v>3303</v>
      </c>
      <c r="F990" s="2212" t="s">
        <v>5360</v>
      </c>
      <c r="H990" s="2213">
        <v>2.09</v>
      </c>
      <c r="L990" s="2210"/>
      <c r="M990" s="2214"/>
      <c r="T990" s="2215"/>
      <c r="AT990" s="2211" t="s">
        <v>3303</v>
      </c>
      <c r="AU990" s="2211" t="s">
        <v>134</v>
      </c>
      <c r="AV990" s="2209" t="s">
        <v>134</v>
      </c>
      <c r="AW990" s="2209" t="s">
        <v>3148</v>
      </c>
      <c r="AX990" s="2209" t="s">
        <v>133</v>
      </c>
      <c r="AY990" s="2211" t="s">
        <v>3285</v>
      </c>
    </row>
    <row r="991" spans="2:65" s="2070" customFormat="1" ht="24.2" customHeight="1">
      <c r="B991" s="2164"/>
      <c r="C991" s="4608" t="s">
        <v>5202</v>
      </c>
      <c r="D991" s="4608" t="s">
        <v>3286</v>
      </c>
      <c r="E991" s="4609" t="s">
        <v>5361</v>
      </c>
      <c r="F991" s="4610" t="s">
        <v>5362</v>
      </c>
      <c r="G991" s="4611" t="s">
        <v>141</v>
      </c>
      <c r="H991" s="4612">
        <v>56.12</v>
      </c>
      <c r="I991" s="4613"/>
      <c r="J991" s="4613">
        <f>ROUND(I991*H991,2)</f>
        <v>0</v>
      </c>
      <c r="K991" s="4610" t="s">
        <v>142</v>
      </c>
      <c r="L991" s="2071"/>
      <c r="M991" s="2190" t="s">
        <v>3146</v>
      </c>
      <c r="N991" s="2163" t="s">
        <v>3181</v>
      </c>
      <c r="O991" s="2191">
        <v>0.21</v>
      </c>
      <c r="P991" s="2191">
        <f>O991*H991</f>
        <v>11.7852</v>
      </c>
      <c r="Q991" s="2191">
        <v>0</v>
      </c>
      <c r="R991" s="2191">
        <f>Q991*H991</f>
        <v>0</v>
      </c>
      <c r="S991" s="2191">
        <v>0</v>
      </c>
      <c r="T991" s="2192">
        <f>S991*H991</f>
        <v>0</v>
      </c>
      <c r="AR991" s="2193" t="s">
        <v>2894</v>
      </c>
      <c r="AT991" s="2193" t="s">
        <v>3286</v>
      </c>
      <c r="AU991" s="2193" t="s">
        <v>134</v>
      </c>
      <c r="AY991" s="2056" t="s">
        <v>3285</v>
      </c>
      <c r="BE991" s="2194">
        <f>IF(N991="základní",J991,0)</f>
        <v>0</v>
      </c>
      <c r="BF991" s="2194">
        <f>IF(N991="snížená",J991,0)</f>
        <v>0</v>
      </c>
      <c r="BG991" s="2194">
        <f>IF(N991="zákl. přenesená",J991,0)</f>
        <v>0</v>
      </c>
      <c r="BH991" s="2194">
        <f>IF(N991="sníž. přenesená",J991,0)</f>
        <v>0</v>
      </c>
      <c r="BI991" s="2194">
        <f>IF(N991="nulová",J991,0)</f>
        <v>0</v>
      </c>
      <c r="BJ991" s="2056" t="s">
        <v>134</v>
      </c>
      <c r="BK991" s="2194">
        <f>ROUND(I991*H991,2)</f>
        <v>0</v>
      </c>
      <c r="BL991" s="2056" t="s">
        <v>2894</v>
      </c>
      <c r="BM991" s="2193" t="s">
        <v>5363</v>
      </c>
    </row>
    <row r="992" spans="2:65" s="2195" customFormat="1">
      <c r="B992" s="2196"/>
      <c r="D992" s="2197" t="s">
        <v>3303</v>
      </c>
      <c r="E992" s="2198" t="s">
        <v>3146</v>
      </c>
      <c r="F992" s="2199" t="s">
        <v>5349</v>
      </c>
      <c r="H992" s="2198" t="s">
        <v>3146</v>
      </c>
      <c r="L992" s="2196"/>
      <c r="M992" s="2200"/>
      <c r="T992" s="2201"/>
      <c r="AT992" s="2198" t="s">
        <v>3303</v>
      </c>
      <c r="AU992" s="2198" t="s">
        <v>134</v>
      </c>
      <c r="AV992" s="2195" t="s">
        <v>133</v>
      </c>
      <c r="AW992" s="2195" t="s">
        <v>3171</v>
      </c>
      <c r="AX992" s="2195" t="s">
        <v>3213</v>
      </c>
      <c r="AY992" s="2198" t="s">
        <v>3285</v>
      </c>
    </row>
    <row r="993" spans="2:65" s="2209" customFormat="1">
      <c r="B993" s="2210"/>
      <c r="D993" s="2197" t="s">
        <v>3303</v>
      </c>
      <c r="E993" s="2211" t="s">
        <v>3146</v>
      </c>
      <c r="F993" s="2212" t="s">
        <v>5364</v>
      </c>
      <c r="H993" s="2213">
        <v>3.6</v>
      </c>
      <c r="L993" s="2210"/>
      <c r="M993" s="2214"/>
      <c r="T993" s="2215"/>
      <c r="AT993" s="2211" t="s">
        <v>3303</v>
      </c>
      <c r="AU993" s="2211" t="s">
        <v>134</v>
      </c>
      <c r="AV993" s="2209" t="s">
        <v>134</v>
      </c>
      <c r="AW993" s="2209" t="s">
        <v>3171</v>
      </c>
      <c r="AX993" s="2209" t="s">
        <v>3213</v>
      </c>
      <c r="AY993" s="2211" t="s">
        <v>3285</v>
      </c>
    </row>
    <row r="994" spans="2:65" s="2209" customFormat="1">
      <c r="B994" s="2210"/>
      <c r="D994" s="2197" t="s">
        <v>3303</v>
      </c>
      <c r="E994" s="2211" t="s">
        <v>3146</v>
      </c>
      <c r="F994" s="2212" t="s">
        <v>5365</v>
      </c>
      <c r="H994" s="2213">
        <v>5.2</v>
      </c>
      <c r="L994" s="2210"/>
      <c r="M994" s="2214"/>
      <c r="T994" s="2215"/>
      <c r="AT994" s="2211" t="s">
        <v>3303</v>
      </c>
      <c r="AU994" s="2211" t="s">
        <v>134</v>
      </c>
      <c r="AV994" s="2209" t="s">
        <v>134</v>
      </c>
      <c r="AW994" s="2209" t="s">
        <v>3171</v>
      </c>
      <c r="AX994" s="2209" t="s">
        <v>3213</v>
      </c>
      <c r="AY994" s="2211" t="s">
        <v>3285</v>
      </c>
    </row>
    <row r="995" spans="2:65" s="2202" customFormat="1">
      <c r="B995" s="2203"/>
      <c r="D995" s="2197" t="s">
        <v>3303</v>
      </c>
      <c r="E995" s="2204" t="s">
        <v>3146</v>
      </c>
      <c r="F995" s="2205" t="s">
        <v>3305</v>
      </c>
      <c r="H995" s="2206">
        <v>8.8000000000000007</v>
      </c>
      <c r="L995" s="2203"/>
      <c r="M995" s="2207"/>
      <c r="T995" s="2208"/>
      <c r="AT995" s="2204" t="s">
        <v>3303</v>
      </c>
      <c r="AU995" s="2204" t="s">
        <v>134</v>
      </c>
      <c r="AV995" s="2202" t="s">
        <v>854</v>
      </c>
      <c r="AW995" s="2202" t="s">
        <v>3171</v>
      </c>
      <c r="AX995" s="2202" t="s">
        <v>3213</v>
      </c>
      <c r="AY995" s="2204" t="s">
        <v>3285</v>
      </c>
    </row>
    <row r="996" spans="2:65" s="2195" customFormat="1">
      <c r="B996" s="2196"/>
      <c r="D996" s="2197" t="s">
        <v>3303</v>
      </c>
      <c r="E996" s="2198" t="s">
        <v>3146</v>
      </c>
      <c r="F996" s="2199" t="s">
        <v>5366</v>
      </c>
      <c r="H996" s="2198" t="s">
        <v>3146</v>
      </c>
      <c r="L996" s="2196"/>
      <c r="M996" s="2200"/>
      <c r="T996" s="2201"/>
      <c r="AT996" s="2198" t="s">
        <v>3303</v>
      </c>
      <c r="AU996" s="2198" t="s">
        <v>134</v>
      </c>
      <c r="AV996" s="2195" t="s">
        <v>133</v>
      </c>
      <c r="AW996" s="2195" t="s">
        <v>3171</v>
      </c>
      <c r="AX996" s="2195" t="s">
        <v>3213</v>
      </c>
      <c r="AY996" s="2198" t="s">
        <v>3285</v>
      </c>
    </row>
    <row r="997" spans="2:65" s="2209" customFormat="1">
      <c r="B997" s="2210"/>
      <c r="D997" s="2197" t="s">
        <v>3303</v>
      </c>
      <c r="E997" s="2211" t="s">
        <v>3146</v>
      </c>
      <c r="F997" s="2212" t="s">
        <v>5367</v>
      </c>
      <c r="H997" s="2213">
        <v>4.2</v>
      </c>
      <c r="L997" s="2210"/>
      <c r="M997" s="2214"/>
      <c r="T997" s="2215"/>
      <c r="AT997" s="2211" t="s">
        <v>3303</v>
      </c>
      <c r="AU997" s="2211" t="s">
        <v>134</v>
      </c>
      <c r="AV997" s="2209" t="s">
        <v>134</v>
      </c>
      <c r="AW997" s="2209" t="s">
        <v>3171</v>
      </c>
      <c r="AX997" s="2209" t="s">
        <v>3213</v>
      </c>
      <c r="AY997" s="2211" t="s">
        <v>3285</v>
      </c>
    </row>
    <row r="998" spans="2:65" s="2209" customFormat="1">
      <c r="B998" s="2210"/>
      <c r="D998" s="2197" t="s">
        <v>3303</v>
      </c>
      <c r="E998" s="2211" t="s">
        <v>3146</v>
      </c>
      <c r="F998" s="2212" t="s">
        <v>5368</v>
      </c>
      <c r="H998" s="2213">
        <v>6.4</v>
      </c>
      <c r="L998" s="2210"/>
      <c r="M998" s="2214"/>
      <c r="T998" s="2215"/>
      <c r="AT998" s="2211" t="s">
        <v>3303</v>
      </c>
      <c r="AU998" s="2211" t="s">
        <v>134</v>
      </c>
      <c r="AV998" s="2209" t="s">
        <v>134</v>
      </c>
      <c r="AW998" s="2209" t="s">
        <v>3171</v>
      </c>
      <c r="AX998" s="2209" t="s">
        <v>3213</v>
      </c>
      <c r="AY998" s="2211" t="s">
        <v>3285</v>
      </c>
    </row>
    <row r="999" spans="2:65" s="2202" customFormat="1">
      <c r="B999" s="2203"/>
      <c r="D999" s="2197" t="s">
        <v>3303</v>
      </c>
      <c r="E999" s="2204" t="s">
        <v>3146</v>
      </c>
      <c r="F999" s="2205" t="s">
        <v>3305</v>
      </c>
      <c r="H999" s="2206">
        <v>10.6</v>
      </c>
      <c r="L999" s="2203"/>
      <c r="M999" s="2207"/>
      <c r="T999" s="2208"/>
      <c r="AT999" s="2204" t="s">
        <v>3303</v>
      </c>
      <c r="AU999" s="2204" t="s">
        <v>134</v>
      </c>
      <c r="AV999" s="2202" t="s">
        <v>854</v>
      </c>
      <c r="AW999" s="2202" t="s">
        <v>3171</v>
      </c>
      <c r="AX999" s="2202" t="s">
        <v>3213</v>
      </c>
      <c r="AY999" s="2204" t="s">
        <v>3285</v>
      </c>
    </row>
    <row r="1000" spans="2:65" s="2195" customFormat="1">
      <c r="B1000" s="2196"/>
      <c r="D1000" s="2197" t="s">
        <v>3303</v>
      </c>
      <c r="E1000" s="2198" t="s">
        <v>3146</v>
      </c>
      <c r="F1000" s="2199" t="s">
        <v>11353</v>
      </c>
      <c r="H1000" s="2198" t="s">
        <v>3146</v>
      </c>
      <c r="L1000" s="2196"/>
      <c r="M1000" s="2200"/>
      <c r="T1000" s="2201"/>
      <c r="AT1000" s="2198" t="s">
        <v>3303</v>
      </c>
      <c r="AU1000" s="2198" t="s">
        <v>134</v>
      </c>
      <c r="AV1000" s="2195" t="s">
        <v>133</v>
      </c>
      <c r="AW1000" s="2195" t="s">
        <v>3171</v>
      </c>
      <c r="AX1000" s="2195" t="s">
        <v>3213</v>
      </c>
      <c r="AY1000" s="2198" t="s">
        <v>3285</v>
      </c>
    </row>
    <row r="1001" spans="2:65" s="2209" customFormat="1">
      <c r="B1001" s="2210"/>
      <c r="D1001" s="2197" t="s">
        <v>3303</v>
      </c>
      <c r="E1001" s="2211" t="s">
        <v>3146</v>
      </c>
      <c r="F1001" s="2212" t="s">
        <v>11354</v>
      </c>
      <c r="H1001" s="2213">
        <v>36.72</v>
      </c>
      <c r="L1001" s="2210"/>
      <c r="M1001" s="2214"/>
      <c r="T1001" s="2215"/>
      <c r="AT1001" s="2211" t="s">
        <v>3303</v>
      </c>
      <c r="AU1001" s="2211" t="s">
        <v>134</v>
      </c>
      <c r="AV1001" s="2209" t="s">
        <v>134</v>
      </c>
      <c r="AW1001" s="2209" t="s">
        <v>3171</v>
      </c>
      <c r="AX1001" s="2209" t="s">
        <v>3213</v>
      </c>
      <c r="AY1001" s="2211" t="s">
        <v>3285</v>
      </c>
    </row>
    <row r="1002" spans="2:65" s="2202" customFormat="1">
      <c r="B1002" s="2203"/>
      <c r="D1002" s="2197" t="s">
        <v>3303</v>
      </c>
      <c r="E1002" s="2204" t="s">
        <v>3146</v>
      </c>
      <c r="F1002" s="2205" t="s">
        <v>3305</v>
      </c>
      <c r="H1002" s="2206">
        <v>36.72</v>
      </c>
      <c r="L1002" s="2203"/>
      <c r="M1002" s="2207"/>
      <c r="T1002" s="2208"/>
      <c r="AT1002" s="2204" t="s">
        <v>3303</v>
      </c>
      <c r="AU1002" s="2204" t="s">
        <v>134</v>
      </c>
      <c r="AV1002" s="2202" t="s">
        <v>854</v>
      </c>
      <c r="AW1002" s="2202" t="s">
        <v>3171</v>
      </c>
      <c r="AX1002" s="2202" t="s">
        <v>3213</v>
      </c>
      <c r="AY1002" s="2204" t="s">
        <v>3285</v>
      </c>
    </row>
    <row r="1003" spans="2:65" s="2216" customFormat="1">
      <c r="B1003" s="2217"/>
      <c r="D1003" s="2197" t="s">
        <v>3303</v>
      </c>
      <c r="E1003" s="2218" t="s">
        <v>3146</v>
      </c>
      <c r="F1003" s="2219" t="s">
        <v>3306</v>
      </c>
      <c r="H1003" s="2220">
        <v>56.12</v>
      </c>
      <c r="L1003" s="2217"/>
      <c r="M1003" s="2221"/>
      <c r="T1003" s="2222"/>
      <c r="AT1003" s="2218" t="s">
        <v>3303</v>
      </c>
      <c r="AU1003" s="2218" t="s">
        <v>134</v>
      </c>
      <c r="AV1003" s="2216" t="s">
        <v>856</v>
      </c>
      <c r="AW1003" s="2216" t="s">
        <v>3171</v>
      </c>
      <c r="AX1003" s="2216" t="s">
        <v>133</v>
      </c>
      <c r="AY1003" s="2218" t="s">
        <v>3285</v>
      </c>
    </row>
    <row r="1004" spans="2:65" s="2070" customFormat="1" ht="21.75" customHeight="1">
      <c r="B1004" s="2164"/>
      <c r="C1004" s="4614" t="s">
        <v>4595</v>
      </c>
      <c r="D1004" s="4614" t="s">
        <v>135</v>
      </c>
      <c r="E1004" s="4615" t="s">
        <v>5369</v>
      </c>
      <c r="F1004" s="4616" t="s">
        <v>5370</v>
      </c>
      <c r="G1004" s="4617" t="s">
        <v>141</v>
      </c>
      <c r="H1004" s="4618">
        <v>21.34</v>
      </c>
      <c r="I1004" s="4619"/>
      <c r="J1004" s="4619">
        <f>ROUND(I1004*H1004,2)</f>
        <v>0</v>
      </c>
      <c r="K1004" s="4616" t="s">
        <v>142</v>
      </c>
      <c r="L1004" s="2223"/>
      <c r="M1004" s="2224" t="s">
        <v>3146</v>
      </c>
      <c r="N1004" s="2225" t="s">
        <v>3181</v>
      </c>
      <c r="O1004" s="2191">
        <v>0</v>
      </c>
      <c r="P1004" s="2191">
        <f>O1004*H1004</f>
        <v>0</v>
      </c>
      <c r="Q1004" s="2191">
        <v>2.0000000000000001E-4</v>
      </c>
      <c r="R1004" s="2191">
        <f>Q1004*H1004</f>
        <v>4.2680000000000001E-3</v>
      </c>
      <c r="S1004" s="2191">
        <v>0</v>
      </c>
      <c r="T1004" s="2192">
        <f>S1004*H1004</f>
        <v>0</v>
      </c>
      <c r="AR1004" s="2193" t="s">
        <v>3389</v>
      </c>
      <c r="AT1004" s="2193" t="s">
        <v>135</v>
      </c>
      <c r="AU1004" s="2193" t="s">
        <v>134</v>
      </c>
      <c r="AY1004" s="2056" t="s">
        <v>3285</v>
      </c>
      <c r="BE1004" s="2194">
        <f>IF(N1004="základní",J1004,0)</f>
        <v>0</v>
      </c>
      <c r="BF1004" s="2194">
        <f>IF(N1004="snížená",J1004,0)</f>
        <v>0</v>
      </c>
      <c r="BG1004" s="2194">
        <f>IF(N1004="zákl. přenesená",J1004,0)</f>
        <v>0</v>
      </c>
      <c r="BH1004" s="2194">
        <f>IF(N1004="sníž. přenesená",J1004,0)</f>
        <v>0</v>
      </c>
      <c r="BI1004" s="2194">
        <f>IF(N1004="nulová",J1004,0)</f>
        <v>0</v>
      </c>
      <c r="BJ1004" s="2056" t="s">
        <v>134</v>
      </c>
      <c r="BK1004" s="2194">
        <f>ROUND(I1004*H1004,2)</f>
        <v>0</v>
      </c>
      <c r="BL1004" s="2056" t="s">
        <v>2894</v>
      </c>
      <c r="BM1004" s="2193" t="s">
        <v>5371</v>
      </c>
    </row>
    <row r="1005" spans="2:65" s="2209" customFormat="1">
      <c r="B1005" s="2210"/>
      <c r="D1005" s="2197" t="s">
        <v>3303</v>
      </c>
      <c r="F1005" s="2212" t="s">
        <v>5372</v>
      </c>
      <c r="H1005" s="2213">
        <v>21.34</v>
      </c>
      <c r="L1005" s="2210"/>
      <c r="M1005" s="2214"/>
      <c r="T1005" s="2215"/>
      <c r="AT1005" s="2211" t="s">
        <v>3303</v>
      </c>
      <c r="AU1005" s="2211" t="s">
        <v>134</v>
      </c>
      <c r="AV1005" s="2209" t="s">
        <v>134</v>
      </c>
      <c r="AW1005" s="2209" t="s">
        <v>3148</v>
      </c>
      <c r="AX1005" s="2209" t="s">
        <v>133</v>
      </c>
      <c r="AY1005" s="2211" t="s">
        <v>3285</v>
      </c>
    </row>
    <row r="1006" spans="2:65" s="2070" customFormat="1" ht="24.2" customHeight="1">
      <c r="B1006" s="2164"/>
      <c r="C1006" s="4614" t="s">
        <v>4599</v>
      </c>
      <c r="D1006" s="4614" t="s">
        <v>135</v>
      </c>
      <c r="E1006" s="4615" t="s">
        <v>11355</v>
      </c>
      <c r="F1006" s="4616" t="s">
        <v>11356</v>
      </c>
      <c r="G1006" s="4617" t="s">
        <v>302</v>
      </c>
      <c r="H1006" s="4618">
        <v>0.155</v>
      </c>
      <c r="I1006" s="4619"/>
      <c r="J1006" s="4619">
        <f>ROUND(I1006*H1006,2)</f>
        <v>0</v>
      </c>
      <c r="K1006" s="4616" t="s">
        <v>142</v>
      </c>
      <c r="L1006" s="2223"/>
      <c r="M1006" s="2224" t="s">
        <v>3146</v>
      </c>
      <c r="N1006" s="2225" t="s">
        <v>3181</v>
      </c>
      <c r="O1006" s="2191">
        <v>0</v>
      </c>
      <c r="P1006" s="2191">
        <f>O1006*H1006</f>
        <v>0</v>
      </c>
      <c r="Q1006" s="2191">
        <v>1</v>
      </c>
      <c r="R1006" s="2191">
        <f>Q1006*H1006</f>
        <v>0.155</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11357</v>
      </c>
    </row>
    <row r="1007" spans="2:65" s="2195" customFormat="1">
      <c r="B1007" s="2196"/>
      <c r="D1007" s="2197" t="s">
        <v>3303</v>
      </c>
      <c r="E1007" s="2198" t="s">
        <v>3146</v>
      </c>
      <c r="F1007" s="2199" t="s">
        <v>11353</v>
      </c>
      <c r="H1007" s="2198" t="s">
        <v>3146</v>
      </c>
      <c r="L1007" s="2196"/>
      <c r="M1007" s="2200"/>
      <c r="T1007" s="2201"/>
      <c r="AT1007" s="2198" t="s">
        <v>3303</v>
      </c>
      <c r="AU1007" s="2198" t="s">
        <v>134</v>
      </c>
      <c r="AV1007" s="2195" t="s">
        <v>133</v>
      </c>
      <c r="AW1007" s="2195" t="s">
        <v>3171</v>
      </c>
      <c r="AX1007" s="2195" t="s">
        <v>3213</v>
      </c>
      <c r="AY1007" s="2198" t="s">
        <v>3285</v>
      </c>
    </row>
    <row r="1008" spans="2:65" s="2209" customFormat="1">
      <c r="B1008" s="2210"/>
      <c r="D1008" s="2197" t="s">
        <v>3303</v>
      </c>
      <c r="E1008" s="2211" t="s">
        <v>3146</v>
      </c>
      <c r="F1008" s="2212" t="s">
        <v>11358</v>
      </c>
      <c r="H1008" s="2213">
        <v>0.155</v>
      </c>
      <c r="L1008" s="2210"/>
      <c r="M1008" s="2214"/>
      <c r="T1008" s="2215"/>
      <c r="AT1008" s="2211" t="s">
        <v>3303</v>
      </c>
      <c r="AU1008" s="2211" t="s">
        <v>134</v>
      </c>
      <c r="AV1008" s="2209" t="s">
        <v>134</v>
      </c>
      <c r="AW1008" s="2209" t="s">
        <v>3171</v>
      </c>
      <c r="AX1008" s="2209" t="s">
        <v>3213</v>
      </c>
      <c r="AY1008" s="2211" t="s">
        <v>3285</v>
      </c>
    </row>
    <row r="1009" spans="2:65" s="2216" customFormat="1">
      <c r="B1009" s="2217"/>
      <c r="D1009" s="2197" t="s">
        <v>3303</v>
      </c>
      <c r="E1009" s="2218" t="s">
        <v>3146</v>
      </c>
      <c r="F1009" s="2219" t="s">
        <v>3306</v>
      </c>
      <c r="H1009" s="2220">
        <v>0.155</v>
      </c>
      <c r="L1009" s="2217"/>
      <c r="M1009" s="2221"/>
      <c r="T1009" s="2222"/>
      <c r="AT1009" s="2218" t="s">
        <v>3303</v>
      </c>
      <c r="AU1009" s="2218" t="s">
        <v>134</v>
      </c>
      <c r="AV1009" s="2216" t="s">
        <v>856</v>
      </c>
      <c r="AW1009" s="2216" t="s">
        <v>3171</v>
      </c>
      <c r="AX1009" s="2216" t="s">
        <v>133</v>
      </c>
      <c r="AY1009" s="2218" t="s">
        <v>3285</v>
      </c>
    </row>
    <row r="1010" spans="2:65" s="2070" customFormat="1" ht="37.9" customHeight="1">
      <c r="B1010" s="2164"/>
      <c r="C1010" s="4608" t="s">
        <v>2943</v>
      </c>
      <c r="D1010" s="4608" t="s">
        <v>3286</v>
      </c>
      <c r="E1010" s="4609" t="s">
        <v>11359</v>
      </c>
      <c r="F1010" s="4610" t="s">
        <v>11360</v>
      </c>
      <c r="G1010" s="4611" t="s">
        <v>611</v>
      </c>
      <c r="H1010" s="4612">
        <v>23.12</v>
      </c>
      <c r="I1010" s="4613"/>
      <c r="J1010" s="4613">
        <f>ROUND(I1010*H1010,2)</f>
        <v>0</v>
      </c>
      <c r="K1010" s="4610" t="s">
        <v>142</v>
      </c>
      <c r="L1010" s="2071"/>
      <c r="M1010" s="2190" t="s">
        <v>3146</v>
      </c>
      <c r="N1010" s="2163" t="s">
        <v>3181</v>
      </c>
      <c r="O1010" s="2191">
        <v>0.82499999999999996</v>
      </c>
      <c r="P1010" s="2191">
        <f>O1010*H1010</f>
        <v>19.073999999999998</v>
      </c>
      <c r="Q1010" s="2191">
        <v>4.8999999999999998E-4</v>
      </c>
      <c r="R1010" s="2191">
        <f>Q1010*H1010</f>
        <v>1.13288E-2</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11361</v>
      </c>
    </row>
    <row r="1011" spans="2:65" s="2195" customFormat="1">
      <c r="B1011" s="2196"/>
      <c r="D1011" s="2197" t="s">
        <v>3303</v>
      </c>
      <c r="E1011" s="2198" t="s">
        <v>3146</v>
      </c>
      <c r="F1011" s="2199" t="s">
        <v>11353</v>
      </c>
      <c r="H1011" s="2198" t="s">
        <v>3146</v>
      </c>
      <c r="L1011" s="2196"/>
      <c r="M1011" s="2200"/>
      <c r="T1011" s="2201"/>
      <c r="AT1011" s="2198" t="s">
        <v>3303</v>
      </c>
      <c r="AU1011" s="2198" t="s">
        <v>134</v>
      </c>
      <c r="AV1011" s="2195" t="s">
        <v>133</v>
      </c>
      <c r="AW1011" s="2195" t="s">
        <v>3171</v>
      </c>
      <c r="AX1011" s="2195" t="s">
        <v>3213</v>
      </c>
      <c r="AY1011" s="2198" t="s">
        <v>3285</v>
      </c>
    </row>
    <row r="1012" spans="2:65" s="2209" customFormat="1">
      <c r="B1012" s="2210"/>
      <c r="D1012" s="2197" t="s">
        <v>3303</v>
      </c>
      <c r="E1012" s="2211" t="s">
        <v>3146</v>
      </c>
      <c r="F1012" s="2212" t="s">
        <v>11362</v>
      </c>
      <c r="H1012" s="2213">
        <v>23.12</v>
      </c>
      <c r="L1012" s="2210"/>
      <c r="M1012" s="2214"/>
      <c r="T1012" s="2215"/>
      <c r="AT1012" s="2211" t="s">
        <v>3303</v>
      </c>
      <c r="AU1012" s="2211" t="s">
        <v>134</v>
      </c>
      <c r="AV1012" s="2209" t="s">
        <v>134</v>
      </c>
      <c r="AW1012" s="2209" t="s">
        <v>3171</v>
      </c>
      <c r="AX1012" s="2209" t="s">
        <v>3213</v>
      </c>
      <c r="AY1012" s="2211" t="s">
        <v>3285</v>
      </c>
    </row>
    <row r="1013" spans="2:65" s="2216" customFormat="1">
      <c r="B1013" s="2217"/>
      <c r="D1013" s="2197" t="s">
        <v>3303</v>
      </c>
      <c r="E1013" s="2218" t="s">
        <v>3146</v>
      </c>
      <c r="F1013" s="2219" t="s">
        <v>3306</v>
      </c>
      <c r="H1013" s="2220">
        <v>23.12</v>
      </c>
      <c r="L1013" s="2217"/>
      <c r="M1013" s="2221"/>
      <c r="T1013" s="2222"/>
      <c r="AT1013" s="2218" t="s">
        <v>3303</v>
      </c>
      <c r="AU1013" s="2218" t="s">
        <v>134</v>
      </c>
      <c r="AV1013" s="2216" t="s">
        <v>856</v>
      </c>
      <c r="AW1013" s="2216" t="s">
        <v>3171</v>
      </c>
      <c r="AX1013" s="2216" t="s">
        <v>133</v>
      </c>
      <c r="AY1013" s="2218" t="s">
        <v>3285</v>
      </c>
    </row>
    <row r="1014" spans="2:65" s="2070" customFormat="1" ht="24.2" customHeight="1">
      <c r="B1014" s="2164"/>
      <c r="C1014" s="4614" t="s">
        <v>4606</v>
      </c>
      <c r="D1014" s="4614" t="s">
        <v>135</v>
      </c>
      <c r="E1014" s="4615" t="s">
        <v>11363</v>
      </c>
      <c r="F1014" s="4616" t="s">
        <v>11364</v>
      </c>
      <c r="G1014" s="4617" t="s">
        <v>611</v>
      </c>
      <c r="H1014" s="4618">
        <v>25.431999999999999</v>
      </c>
      <c r="I1014" s="4619"/>
      <c r="J1014" s="4619">
        <f>ROUND(I1014*H1014,2)</f>
        <v>0</v>
      </c>
      <c r="K1014" s="4616" t="s">
        <v>3146</v>
      </c>
      <c r="L1014" s="2223"/>
      <c r="M1014" s="2224" t="s">
        <v>3146</v>
      </c>
      <c r="N1014" s="2225" t="s">
        <v>3181</v>
      </c>
      <c r="O1014" s="2191">
        <v>0</v>
      </c>
      <c r="P1014" s="2191">
        <f>O1014*H1014</f>
        <v>0</v>
      </c>
      <c r="Q1014" s="2191">
        <v>2.8000000000000001E-2</v>
      </c>
      <c r="R1014" s="2191">
        <f>Q1014*H1014</f>
        <v>0.71209599999999995</v>
      </c>
      <c r="S1014" s="2191">
        <v>0</v>
      </c>
      <c r="T1014" s="2192">
        <f>S1014*H1014</f>
        <v>0</v>
      </c>
      <c r="AR1014" s="2193" t="s">
        <v>3389</v>
      </c>
      <c r="AT1014" s="2193" t="s">
        <v>135</v>
      </c>
      <c r="AU1014" s="2193" t="s">
        <v>134</v>
      </c>
      <c r="AY1014" s="2056" t="s">
        <v>3285</v>
      </c>
      <c r="BE1014" s="2194">
        <f>IF(N1014="základní",J1014,0)</f>
        <v>0</v>
      </c>
      <c r="BF1014" s="2194">
        <f>IF(N1014="snížená",J1014,0)</f>
        <v>0</v>
      </c>
      <c r="BG1014" s="2194">
        <f>IF(N1014="zákl. přenesená",J1014,0)</f>
        <v>0</v>
      </c>
      <c r="BH1014" s="2194">
        <f>IF(N1014="sníž. přenesená",J1014,0)</f>
        <v>0</v>
      </c>
      <c r="BI1014" s="2194">
        <f>IF(N1014="nulová",J1014,0)</f>
        <v>0</v>
      </c>
      <c r="BJ1014" s="2056" t="s">
        <v>134</v>
      </c>
      <c r="BK1014" s="2194">
        <f>ROUND(I1014*H1014,2)</f>
        <v>0</v>
      </c>
      <c r="BL1014" s="2056" t="s">
        <v>2894</v>
      </c>
      <c r="BM1014" s="2193" t="s">
        <v>11365</v>
      </c>
    </row>
    <row r="1015" spans="2:65" s="2209" customFormat="1">
      <c r="B1015" s="2210"/>
      <c r="D1015" s="2197" t="s">
        <v>3303</v>
      </c>
      <c r="F1015" s="2212" t="s">
        <v>11366</v>
      </c>
      <c r="H1015" s="2213">
        <v>25.431999999999999</v>
      </c>
      <c r="L1015" s="2210"/>
      <c r="M1015" s="2214"/>
      <c r="T1015" s="2215"/>
      <c r="AT1015" s="2211" t="s">
        <v>3303</v>
      </c>
      <c r="AU1015" s="2211" t="s">
        <v>134</v>
      </c>
      <c r="AV1015" s="2209" t="s">
        <v>134</v>
      </c>
      <c r="AW1015" s="2209" t="s">
        <v>3148</v>
      </c>
      <c r="AX1015" s="2209" t="s">
        <v>133</v>
      </c>
      <c r="AY1015" s="2211" t="s">
        <v>3285</v>
      </c>
    </row>
    <row r="1016" spans="2:65" s="2070" customFormat="1" ht="24.2" customHeight="1">
      <c r="B1016" s="2164"/>
      <c r="C1016" s="4608" t="s">
        <v>5089</v>
      </c>
      <c r="D1016" s="4608" t="s">
        <v>3286</v>
      </c>
      <c r="E1016" s="4609" t="s">
        <v>5373</v>
      </c>
      <c r="F1016" s="4610" t="s">
        <v>5374</v>
      </c>
      <c r="G1016" s="4611" t="s">
        <v>611</v>
      </c>
      <c r="H1016" s="4612">
        <v>7.2</v>
      </c>
      <c r="I1016" s="4613"/>
      <c r="J1016" s="4613">
        <f>ROUND(I1016*H1016,2)</f>
        <v>0</v>
      </c>
      <c r="K1016" s="4610" t="s">
        <v>142</v>
      </c>
      <c r="L1016" s="2071"/>
      <c r="M1016" s="2190" t="s">
        <v>3146</v>
      </c>
      <c r="N1016" s="2163" t="s">
        <v>3181</v>
      </c>
      <c r="O1016" s="2191">
        <v>1.8109999999999999</v>
      </c>
      <c r="P1016" s="2191">
        <f>O1016*H1016</f>
        <v>13.039199999999999</v>
      </c>
      <c r="Q1016" s="2191">
        <v>2.5999999999999998E-4</v>
      </c>
      <c r="R1016" s="2191">
        <f>Q1016*H1016</f>
        <v>1.872E-3</v>
      </c>
      <c r="S1016" s="2191">
        <v>0</v>
      </c>
      <c r="T1016" s="2192">
        <f>S1016*H1016</f>
        <v>0</v>
      </c>
      <c r="AR1016" s="2193" t="s">
        <v>2894</v>
      </c>
      <c r="AT1016" s="2193" t="s">
        <v>3286</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5375</v>
      </c>
    </row>
    <row r="1017" spans="2:65" s="2195" customFormat="1">
      <c r="B1017" s="2196"/>
      <c r="D1017" s="2197" t="s">
        <v>3303</v>
      </c>
      <c r="E1017" s="2198" t="s">
        <v>3146</v>
      </c>
      <c r="F1017" s="2199" t="s">
        <v>5376</v>
      </c>
      <c r="H1017" s="2198" t="s">
        <v>3146</v>
      </c>
      <c r="L1017" s="2196"/>
      <c r="M1017" s="2200"/>
      <c r="T1017" s="2201"/>
      <c r="AT1017" s="2198" t="s">
        <v>3303</v>
      </c>
      <c r="AU1017" s="2198" t="s">
        <v>134</v>
      </c>
      <c r="AV1017" s="2195" t="s">
        <v>133</v>
      </c>
      <c r="AW1017" s="2195" t="s">
        <v>3171</v>
      </c>
      <c r="AX1017" s="2195" t="s">
        <v>3213</v>
      </c>
      <c r="AY1017" s="2198" t="s">
        <v>3285</v>
      </c>
    </row>
    <row r="1018" spans="2:65" s="2209" customFormat="1">
      <c r="B1018" s="2210"/>
      <c r="D1018" s="2197" t="s">
        <v>3303</v>
      </c>
      <c r="E1018" s="2211" t="s">
        <v>3146</v>
      </c>
      <c r="F1018" s="2212" t="s">
        <v>5377</v>
      </c>
      <c r="H1018" s="2213">
        <v>3.6</v>
      </c>
      <c r="L1018" s="2210"/>
      <c r="M1018" s="2214"/>
      <c r="T1018" s="2215"/>
      <c r="AT1018" s="2211" t="s">
        <v>3303</v>
      </c>
      <c r="AU1018" s="2211" t="s">
        <v>134</v>
      </c>
      <c r="AV1018" s="2209" t="s">
        <v>134</v>
      </c>
      <c r="AW1018" s="2209" t="s">
        <v>3171</v>
      </c>
      <c r="AX1018" s="2209" t="s">
        <v>3213</v>
      </c>
      <c r="AY1018" s="2211" t="s">
        <v>3285</v>
      </c>
    </row>
    <row r="1019" spans="2:65" s="2195" customFormat="1">
      <c r="B1019" s="2196"/>
      <c r="D1019" s="2197" t="s">
        <v>3303</v>
      </c>
      <c r="E1019" s="2198" t="s">
        <v>3146</v>
      </c>
      <c r="F1019" s="2199" t="s">
        <v>5378</v>
      </c>
      <c r="H1019" s="2198" t="s">
        <v>3146</v>
      </c>
      <c r="L1019" s="2196"/>
      <c r="M1019" s="2200"/>
      <c r="T1019" s="2201"/>
      <c r="AT1019" s="2198" t="s">
        <v>3303</v>
      </c>
      <c r="AU1019" s="2198" t="s">
        <v>134</v>
      </c>
      <c r="AV1019" s="2195" t="s">
        <v>133</v>
      </c>
      <c r="AW1019" s="2195" t="s">
        <v>3171</v>
      </c>
      <c r="AX1019" s="2195" t="s">
        <v>3213</v>
      </c>
      <c r="AY1019" s="2198" t="s">
        <v>3285</v>
      </c>
    </row>
    <row r="1020" spans="2:65" s="2209" customFormat="1">
      <c r="B1020" s="2210"/>
      <c r="D1020" s="2197" t="s">
        <v>3303</v>
      </c>
      <c r="E1020" s="2211" t="s">
        <v>3146</v>
      </c>
      <c r="F1020" s="2212" t="s">
        <v>5377</v>
      </c>
      <c r="H1020" s="2213">
        <v>3.6</v>
      </c>
      <c r="L1020" s="2210"/>
      <c r="M1020" s="2214"/>
      <c r="T1020" s="2215"/>
      <c r="AT1020" s="2211" t="s">
        <v>3303</v>
      </c>
      <c r="AU1020" s="2211" t="s">
        <v>134</v>
      </c>
      <c r="AV1020" s="2209" t="s">
        <v>134</v>
      </c>
      <c r="AW1020" s="2209" t="s">
        <v>3171</v>
      </c>
      <c r="AX1020" s="2209" t="s">
        <v>3213</v>
      </c>
      <c r="AY1020" s="2211" t="s">
        <v>3285</v>
      </c>
    </row>
    <row r="1021" spans="2:65" s="2216" customFormat="1">
      <c r="B1021" s="2217"/>
      <c r="D1021" s="2197" t="s">
        <v>3303</v>
      </c>
      <c r="E1021" s="2218" t="s">
        <v>3146</v>
      </c>
      <c r="F1021" s="2219" t="s">
        <v>3306</v>
      </c>
      <c r="H1021" s="2220">
        <v>7.2</v>
      </c>
      <c r="L1021" s="2217"/>
      <c r="M1021" s="2221"/>
      <c r="T1021" s="2222"/>
      <c r="AT1021" s="2218" t="s">
        <v>3303</v>
      </c>
      <c r="AU1021" s="2218" t="s">
        <v>134</v>
      </c>
      <c r="AV1021" s="2216" t="s">
        <v>856</v>
      </c>
      <c r="AW1021" s="2216" t="s">
        <v>3171</v>
      </c>
      <c r="AX1021" s="2216" t="s">
        <v>133</v>
      </c>
      <c r="AY1021" s="2218" t="s">
        <v>3285</v>
      </c>
    </row>
    <row r="1022" spans="2:65" s="2070" customFormat="1" ht="16.5" customHeight="1">
      <c r="B1022" s="2164"/>
      <c r="C1022" s="4614" t="s">
        <v>5094</v>
      </c>
      <c r="D1022" s="4614" t="s">
        <v>135</v>
      </c>
      <c r="E1022" s="4615" t="s">
        <v>5379</v>
      </c>
      <c r="F1022" s="4616" t="s">
        <v>5380</v>
      </c>
      <c r="G1022" s="4617" t="s">
        <v>611</v>
      </c>
      <c r="H1022" s="4618">
        <v>7.2</v>
      </c>
      <c r="I1022" s="4619"/>
      <c r="J1022" s="4619">
        <f>ROUND(I1022*H1022,2)</f>
        <v>0</v>
      </c>
      <c r="K1022" s="4616" t="s">
        <v>3146</v>
      </c>
      <c r="L1022" s="2223"/>
      <c r="M1022" s="2224" t="s">
        <v>3146</v>
      </c>
      <c r="N1022" s="2225" t="s">
        <v>3181</v>
      </c>
      <c r="O1022" s="2191">
        <v>0</v>
      </c>
      <c r="P1022" s="2191">
        <f>O1022*H1022</f>
        <v>0</v>
      </c>
      <c r="Q1022" s="2191">
        <v>0</v>
      </c>
      <c r="R1022" s="2191">
        <f>Q1022*H1022</f>
        <v>0</v>
      </c>
      <c r="S1022" s="2191">
        <v>0</v>
      </c>
      <c r="T1022" s="2192">
        <f>S1022*H1022</f>
        <v>0</v>
      </c>
      <c r="AR1022" s="2193" t="s">
        <v>3389</v>
      </c>
      <c r="AT1022" s="2193" t="s">
        <v>135</v>
      </c>
      <c r="AU1022" s="2193" t="s">
        <v>134</v>
      </c>
      <c r="AY1022" s="2056" t="s">
        <v>3285</v>
      </c>
      <c r="BE1022" s="2194">
        <f>IF(N1022="základní",J1022,0)</f>
        <v>0</v>
      </c>
      <c r="BF1022" s="2194">
        <f>IF(N1022="snížená",J1022,0)</f>
        <v>0</v>
      </c>
      <c r="BG1022" s="2194">
        <f>IF(N1022="zákl. přenesená",J1022,0)</f>
        <v>0</v>
      </c>
      <c r="BH1022" s="2194">
        <f>IF(N1022="sníž. přenesená",J1022,0)</f>
        <v>0</v>
      </c>
      <c r="BI1022" s="2194">
        <f>IF(N1022="nulová",J1022,0)</f>
        <v>0</v>
      </c>
      <c r="BJ1022" s="2056" t="s">
        <v>134</v>
      </c>
      <c r="BK1022" s="2194">
        <f>ROUND(I1022*H1022,2)</f>
        <v>0</v>
      </c>
      <c r="BL1022" s="2056" t="s">
        <v>2894</v>
      </c>
      <c r="BM1022" s="2193" t="s">
        <v>5381</v>
      </c>
    </row>
    <row r="1023" spans="2:65" s="2070" customFormat="1" ht="24.2" customHeight="1">
      <c r="B1023" s="2164"/>
      <c r="C1023" s="4608" t="s">
        <v>5099</v>
      </c>
      <c r="D1023" s="4608" t="s">
        <v>3286</v>
      </c>
      <c r="E1023" s="4609" t="s">
        <v>5382</v>
      </c>
      <c r="F1023" s="4610" t="s">
        <v>5383</v>
      </c>
      <c r="G1023" s="4611" t="s">
        <v>611</v>
      </c>
      <c r="H1023" s="4612">
        <v>0.24</v>
      </c>
      <c r="I1023" s="4613"/>
      <c r="J1023" s="4613">
        <f>ROUND(I1023*H1023,2)</f>
        <v>0</v>
      </c>
      <c r="K1023" s="4610" t="s">
        <v>142</v>
      </c>
      <c r="L1023" s="2071"/>
      <c r="M1023" s="2190" t="s">
        <v>3146</v>
      </c>
      <c r="N1023" s="2163" t="s">
        <v>3181</v>
      </c>
      <c r="O1023" s="2191">
        <v>3.9289999999999998</v>
      </c>
      <c r="P1023" s="2191">
        <f>O1023*H1023</f>
        <v>0.94295999999999991</v>
      </c>
      <c r="Q1023" s="2191">
        <v>7.6000000000000004E-4</v>
      </c>
      <c r="R1023" s="2191">
        <f>Q1023*H1023</f>
        <v>1.8240000000000002E-4</v>
      </c>
      <c r="S1023" s="2191">
        <v>0</v>
      </c>
      <c r="T1023" s="2192">
        <f>S1023*H1023</f>
        <v>0</v>
      </c>
      <c r="AR1023" s="2193" t="s">
        <v>2894</v>
      </c>
      <c r="AT1023" s="2193" t="s">
        <v>3286</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5384</v>
      </c>
    </row>
    <row r="1024" spans="2:65" s="2195" customFormat="1">
      <c r="B1024" s="2196"/>
      <c r="D1024" s="2197" t="s">
        <v>3303</v>
      </c>
      <c r="E1024" s="2198" t="s">
        <v>3146</v>
      </c>
      <c r="F1024" s="2199" t="s">
        <v>5385</v>
      </c>
      <c r="H1024" s="2198" t="s">
        <v>3146</v>
      </c>
      <c r="L1024" s="2196"/>
      <c r="M1024" s="2200"/>
      <c r="T1024" s="2201"/>
      <c r="AT1024" s="2198" t="s">
        <v>3303</v>
      </c>
      <c r="AU1024" s="2198" t="s">
        <v>134</v>
      </c>
      <c r="AV1024" s="2195" t="s">
        <v>133</v>
      </c>
      <c r="AW1024" s="2195" t="s">
        <v>3171</v>
      </c>
      <c r="AX1024" s="2195" t="s">
        <v>3213</v>
      </c>
      <c r="AY1024" s="2198" t="s">
        <v>3285</v>
      </c>
    </row>
    <row r="1025" spans="2:65" s="2209" customFormat="1">
      <c r="B1025" s="2210"/>
      <c r="D1025" s="2197" t="s">
        <v>3303</v>
      </c>
      <c r="E1025" s="2211" t="s">
        <v>3146</v>
      </c>
      <c r="F1025" s="2212" t="s">
        <v>5386</v>
      </c>
      <c r="H1025" s="2213">
        <v>0.24</v>
      </c>
      <c r="L1025" s="2210"/>
      <c r="M1025" s="2214"/>
      <c r="T1025" s="2215"/>
      <c r="AT1025" s="2211" t="s">
        <v>3303</v>
      </c>
      <c r="AU1025" s="2211" t="s">
        <v>134</v>
      </c>
      <c r="AV1025" s="2209" t="s">
        <v>134</v>
      </c>
      <c r="AW1025" s="2209" t="s">
        <v>3171</v>
      </c>
      <c r="AX1025" s="2209" t="s">
        <v>3213</v>
      </c>
      <c r="AY1025" s="2211" t="s">
        <v>3285</v>
      </c>
    </row>
    <row r="1026" spans="2:65" s="2216" customFormat="1">
      <c r="B1026" s="2217"/>
      <c r="D1026" s="2197" t="s">
        <v>3303</v>
      </c>
      <c r="E1026" s="2218" t="s">
        <v>3146</v>
      </c>
      <c r="F1026" s="2219" t="s">
        <v>3306</v>
      </c>
      <c r="H1026" s="2220">
        <v>0.24</v>
      </c>
      <c r="L1026" s="2217"/>
      <c r="M1026" s="2221"/>
      <c r="T1026" s="2222"/>
      <c r="AT1026" s="2218" t="s">
        <v>3303</v>
      </c>
      <c r="AU1026" s="2218" t="s">
        <v>134</v>
      </c>
      <c r="AV1026" s="2216" t="s">
        <v>856</v>
      </c>
      <c r="AW1026" s="2216" t="s">
        <v>3171</v>
      </c>
      <c r="AX1026" s="2216" t="s">
        <v>133</v>
      </c>
      <c r="AY1026" s="2218" t="s">
        <v>3285</v>
      </c>
    </row>
    <row r="1027" spans="2:65" s="2070" customFormat="1" ht="24.2" customHeight="1">
      <c r="B1027" s="2164"/>
      <c r="C1027" s="4614" t="s">
        <v>5104</v>
      </c>
      <c r="D1027" s="4614" t="s">
        <v>135</v>
      </c>
      <c r="E1027" s="4615" t="s">
        <v>5387</v>
      </c>
      <c r="F1027" s="4616" t="s">
        <v>5388</v>
      </c>
      <c r="G1027" s="4617" t="s">
        <v>611</v>
      </c>
      <c r="H1027" s="4618">
        <v>0.3</v>
      </c>
      <c r="I1027" s="4619"/>
      <c r="J1027" s="4619">
        <f>ROUND(I1027*H1027,2)</f>
        <v>0</v>
      </c>
      <c r="K1027" s="4616" t="s">
        <v>3146</v>
      </c>
      <c r="L1027" s="2223"/>
      <c r="M1027" s="2224" t="s">
        <v>3146</v>
      </c>
      <c r="N1027" s="2225" t="s">
        <v>3181</v>
      </c>
      <c r="O1027" s="2191">
        <v>0</v>
      </c>
      <c r="P1027" s="2191">
        <f>O1027*H1027</f>
        <v>0</v>
      </c>
      <c r="Q1027" s="2191">
        <v>1.5970000000000002E-2</v>
      </c>
      <c r="R1027" s="2191">
        <f>Q1027*H1027</f>
        <v>4.7910000000000001E-3</v>
      </c>
      <c r="S1027" s="2191">
        <v>0</v>
      </c>
      <c r="T1027" s="2192">
        <f>S1027*H1027</f>
        <v>0</v>
      </c>
      <c r="AR1027" s="2193" t="s">
        <v>3389</v>
      </c>
      <c r="AT1027" s="2193" t="s">
        <v>135</v>
      </c>
      <c r="AU1027" s="2193" t="s">
        <v>134</v>
      </c>
      <c r="AY1027" s="2056" t="s">
        <v>3285</v>
      </c>
      <c r="BE1027" s="2194">
        <f>IF(N1027="základní",J1027,0)</f>
        <v>0</v>
      </c>
      <c r="BF1027" s="2194">
        <f>IF(N1027="snížená",J1027,0)</f>
        <v>0</v>
      </c>
      <c r="BG1027" s="2194">
        <f>IF(N1027="zákl. přenesená",J1027,0)</f>
        <v>0</v>
      </c>
      <c r="BH1027" s="2194">
        <f>IF(N1027="sníž. přenesená",J1027,0)</f>
        <v>0</v>
      </c>
      <c r="BI1027" s="2194">
        <f>IF(N1027="nulová",J1027,0)</f>
        <v>0</v>
      </c>
      <c r="BJ1027" s="2056" t="s">
        <v>134</v>
      </c>
      <c r="BK1027" s="2194">
        <f>ROUND(I1027*H1027,2)</f>
        <v>0</v>
      </c>
      <c r="BL1027" s="2056" t="s">
        <v>2894</v>
      </c>
      <c r="BM1027" s="2193" t="s">
        <v>5389</v>
      </c>
    </row>
    <row r="1028" spans="2:65" s="2195" customFormat="1">
      <c r="B1028" s="2196"/>
      <c r="D1028" s="2197" t="s">
        <v>3303</v>
      </c>
      <c r="E1028" s="2198" t="s">
        <v>3146</v>
      </c>
      <c r="F1028" s="2199" t="s">
        <v>5385</v>
      </c>
      <c r="H1028" s="2198" t="s">
        <v>3146</v>
      </c>
      <c r="L1028" s="2196"/>
      <c r="M1028" s="2200"/>
      <c r="T1028" s="2201"/>
      <c r="AT1028" s="2198" t="s">
        <v>3303</v>
      </c>
      <c r="AU1028" s="2198" t="s">
        <v>134</v>
      </c>
      <c r="AV1028" s="2195" t="s">
        <v>133</v>
      </c>
      <c r="AW1028" s="2195" t="s">
        <v>3171</v>
      </c>
      <c r="AX1028" s="2195" t="s">
        <v>3213</v>
      </c>
      <c r="AY1028" s="2198" t="s">
        <v>3285</v>
      </c>
    </row>
    <row r="1029" spans="2:65" s="2209" customFormat="1">
      <c r="B1029" s="2210"/>
      <c r="D1029" s="2197" t="s">
        <v>3303</v>
      </c>
      <c r="E1029" s="2211" t="s">
        <v>3146</v>
      </c>
      <c r="F1029" s="2212" t="s">
        <v>5386</v>
      </c>
      <c r="H1029" s="2213">
        <v>0.24</v>
      </c>
      <c r="L1029" s="2210"/>
      <c r="M1029" s="2214"/>
      <c r="T1029" s="2215"/>
      <c r="AT1029" s="2211" t="s">
        <v>3303</v>
      </c>
      <c r="AU1029" s="2211" t="s">
        <v>134</v>
      </c>
      <c r="AV1029" s="2209" t="s">
        <v>134</v>
      </c>
      <c r="AW1029" s="2209" t="s">
        <v>3171</v>
      </c>
      <c r="AX1029" s="2209" t="s">
        <v>133</v>
      </c>
      <c r="AY1029" s="2211" t="s">
        <v>3285</v>
      </c>
    </row>
    <row r="1030" spans="2:65" s="2209" customFormat="1">
      <c r="B1030" s="2210"/>
      <c r="D1030" s="2197" t="s">
        <v>3303</v>
      </c>
      <c r="F1030" s="2212" t="s">
        <v>5390</v>
      </c>
      <c r="H1030" s="2213">
        <v>0.3</v>
      </c>
      <c r="L1030" s="2210"/>
      <c r="M1030" s="2214"/>
      <c r="T1030" s="2215"/>
      <c r="AT1030" s="2211" t="s">
        <v>3303</v>
      </c>
      <c r="AU1030" s="2211" t="s">
        <v>134</v>
      </c>
      <c r="AV1030" s="2209" t="s">
        <v>134</v>
      </c>
      <c r="AW1030" s="2209" t="s">
        <v>3148</v>
      </c>
      <c r="AX1030" s="2209" t="s">
        <v>133</v>
      </c>
      <c r="AY1030" s="2211" t="s">
        <v>3285</v>
      </c>
    </row>
    <row r="1031" spans="2:65" s="2070" customFormat="1" ht="33" customHeight="1">
      <c r="B1031" s="2164"/>
      <c r="C1031" s="4608" t="s">
        <v>5599</v>
      </c>
      <c r="D1031" s="4608" t="s">
        <v>3286</v>
      </c>
      <c r="E1031" s="4609" t="s">
        <v>5391</v>
      </c>
      <c r="F1031" s="4610" t="s">
        <v>5392</v>
      </c>
      <c r="G1031" s="4611" t="s">
        <v>611</v>
      </c>
      <c r="H1031" s="4612">
        <v>5</v>
      </c>
      <c r="I1031" s="4613"/>
      <c r="J1031" s="4613">
        <f>ROUND(I1031*H1031,2)</f>
        <v>0</v>
      </c>
      <c r="K1031" s="4610" t="s">
        <v>142</v>
      </c>
      <c r="L1031" s="2071"/>
      <c r="M1031" s="2190" t="s">
        <v>3146</v>
      </c>
      <c r="N1031" s="2163" t="s">
        <v>3181</v>
      </c>
      <c r="O1031" s="2191">
        <v>3.5659999999999998</v>
      </c>
      <c r="P1031" s="2191">
        <f>O1031*H1031</f>
        <v>17.829999999999998</v>
      </c>
      <c r="Q1031" s="2191">
        <v>6.6E-4</v>
      </c>
      <c r="R1031" s="2191">
        <f>Q1031*H1031</f>
        <v>3.3E-3</v>
      </c>
      <c r="S1031" s="2191">
        <v>0</v>
      </c>
      <c r="T1031" s="2192">
        <f>S1031*H1031</f>
        <v>0</v>
      </c>
      <c r="AR1031" s="2193" t="s">
        <v>856</v>
      </c>
      <c r="AT1031" s="2193" t="s">
        <v>3286</v>
      </c>
      <c r="AU1031" s="2193" t="s">
        <v>134</v>
      </c>
      <c r="AY1031" s="2056" t="s">
        <v>3285</v>
      </c>
      <c r="BE1031" s="2194">
        <f>IF(N1031="základní",J1031,0)</f>
        <v>0</v>
      </c>
      <c r="BF1031" s="2194">
        <f>IF(N1031="snížená",J1031,0)</f>
        <v>0</v>
      </c>
      <c r="BG1031" s="2194">
        <f>IF(N1031="zákl. přenesená",J1031,0)</f>
        <v>0</v>
      </c>
      <c r="BH1031" s="2194">
        <f>IF(N1031="sníž. přenesená",J1031,0)</f>
        <v>0</v>
      </c>
      <c r="BI1031" s="2194">
        <f>IF(N1031="nulová",J1031,0)</f>
        <v>0</v>
      </c>
      <c r="BJ1031" s="2056" t="s">
        <v>134</v>
      </c>
      <c r="BK1031" s="2194">
        <f>ROUND(I1031*H1031,2)</f>
        <v>0</v>
      </c>
      <c r="BL1031" s="2056" t="s">
        <v>856</v>
      </c>
      <c r="BM1031" s="2193" t="s">
        <v>5393</v>
      </c>
    </row>
    <row r="1032" spans="2:65" s="2195" customFormat="1">
      <c r="B1032" s="2196"/>
      <c r="D1032" s="2197" t="s">
        <v>3303</v>
      </c>
      <c r="E1032" s="2198" t="s">
        <v>3146</v>
      </c>
      <c r="F1032" s="2199" t="s">
        <v>5049</v>
      </c>
      <c r="H1032" s="2198" t="s">
        <v>3146</v>
      </c>
      <c r="L1032" s="2196"/>
      <c r="M1032" s="2200"/>
      <c r="T1032" s="2201"/>
      <c r="AT1032" s="2198" t="s">
        <v>3303</v>
      </c>
      <c r="AU1032" s="2198" t="s">
        <v>134</v>
      </c>
      <c r="AV1032" s="2195" t="s">
        <v>133</v>
      </c>
      <c r="AW1032" s="2195" t="s">
        <v>3171</v>
      </c>
      <c r="AX1032" s="2195" t="s">
        <v>3213</v>
      </c>
      <c r="AY1032" s="2198" t="s">
        <v>3285</v>
      </c>
    </row>
    <row r="1033" spans="2:65" s="2209" customFormat="1">
      <c r="B1033" s="2210"/>
      <c r="D1033" s="2197" t="s">
        <v>3303</v>
      </c>
      <c r="E1033" s="2211" t="s">
        <v>3146</v>
      </c>
      <c r="F1033" s="2212" t="s">
        <v>5394</v>
      </c>
      <c r="H1033" s="2213">
        <v>5</v>
      </c>
      <c r="L1033" s="2210"/>
      <c r="M1033" s="2214"/>
      <c r="T1033" s="2215"/>
      <c r="AT1033" s="2211" t="s">
        <v>3303</v>
      </c>
      <c r="AU1033" s="2211" t="s">
        <v>134</v>
      </c>
      <c r="AV1033" s="2209" t="s">
        <v>134</v>
      </c>
      <c r="AW1033" s="2209" t="s">
        <v>3171</v>
      </c>
      <c r="AX1033" s="2209" t="s">
        <v>133</v>
      </c>
      <c r="AY1033" s="2211" t="s">
        <v>3285</v>
      </c>
    </row>
    <row r="1034" spans="2:65" s="2070" customFormat="1" ht="16.5" customHeight="1">
      <c r="B1034" s="2164"/>
      <c r="C1034" s="4614" t="s">
        <v>5604</v>
      </c>
      <c r="D1034" s="4614" t="s">
        <v>135</v>
      </c>
      <c r="E1034" s="4615" t="s">
        <v>5395</v>
      </c>
      <c r="F1034" s="4616" t="s">
        <v>5396</v>
      </c>
      <c r="G1034" s="4617" t="s">
        <v>611</v>
      </c>
      <c r="H1034" s="4618">
        <v>5.5</v>
      </c>
      <c r="I1034" s="4619"/>
      <c r="J1034" s="4619">
        <f>ROUND(I1034*H1034,2)</f>
        <v>0</v>
      </c>
      <c r="K1034" s="4616" t="s">
        <v>142</v>
      </c>
      <c r="L1034" s="2223"/>
      <c r="M1034" s="2224" t="s">
        <v>3146</v>
      </c>
      <c r="N1034" s="2225" t="s">
        <v>3181</v>
      </c>
      <c r="O1034" s="2191">
        <v>0</v>
      </c>
      <c r="P1034" s="2191">
        <f>O1034*H1034</f>
        <v>0</v>
      </c>
      <c r="Q1034" s="2191">
        <v>2.5139999999999999E-2</v>
      </c>
      <c r="R1034" s="2191">
        <f>Q1034*H1034</f>
        <v>0.13827</v>
      </c>
      <c r="S1034" s="2191">
        <v>0</v>
      </c>
      <c r="T1034" s="2192">
        <f>S1034*H1034</f>
        <v>0</v>
      </c>
      <c r="AR1034" s="2193" t="s">
        <v>1363</v>
      </c>
      <c r="AT1034" s="2193" t="s">
        <v>135</v>
      </c>
      <c r="AU1034" s="2193" t="s">
        <v>134</v>
      </c>
      <c r="AY1034" s="2056" t="s">
        <v>3285</v>
      </c>
      <c r="BE1034" s="2194">
        <f>IF(N1034="základní",J1034,0)</f>
        <v>0</v>
      </c>
      <c r="BF1034" s="2194">
        <f>IF(N1034="snížená",J1034,0)</f>
        <v>0</v>
      </c>
      <c r="BG1034" s="2194">
        <f>IF(N1034="zákl. přenesená",J1034,0)</f>
        <v>0</v>
      </c>
      <c r="BH1034" s="2194">
        <f>IF(N1034="sníž. přenesená",J1034,0)</f>
        <v>0</v>
      </c>
      <c r="BI1034" s="2194">
        <f>IF(N1034="nulová",J1034,0)</f>
        <v>0</v>
      </c>
      <c r="BJ1034" s="2056" t="s">
        <v>134</v>
      </c>
      <c r="BK1034" s="2194">
        <f>ROUND(I1034*H1034,2)</f>
        <v>0</v>
      </c>
      <c r="BL1034" s="2056" t="s">
        <v>856</v>
      </c>
      <c r="BM1034" s="2193" t="s">
        <v>5397</v>
      </c>
    </row>
    <row r="1035" spans="2:65" s="2195" customFormat="1">
      <c r="B1035" s="2196"/>
      <c r="D1035" s="2197" t="s">
        <v>3303</v>
      </c>
      <c r="E1035" s="2198" t="s">
        <v>3146</v>
      </c>
      <c r="F1035" s="2199" t="s">
        <v>5049</v>
      </c>
      <c r="H1035" s="2198" t="s">
        <v>3146</v>
      </c>
      <c r="L1035" s="2196"/>
      <c r="M1035" s="2200"/>
      <c r="T1035" s="2201"/>
      <c r="AT1035" s="2198" t="s">
        <v>3303</v>
      </c>
      <c r="AU1035" s="2198" t="s">
        <v>134</v>
      </c>
      <c r="AV1035" s="2195" t="s">
        <v>133</v>
      </c>
      <c r="AW1035" s="2195" t="s">
        <v>3171</v>
      </c>
      <c r="AX1035" s="2195" t="s">
        <v>3213</v>
      </c>
      <c r="AY1035" s="2198" t="s">
        <v>3285</v>
      </c>
    </row>
    <row r="1036" spans="2:65" s="2209" customFormat="1">
      <c r="B1036" s="2210"/>
      <c r="D1036" s="2197" t="s">
        <v>3303</v>
      </c>
      <c r="E1036" s="2211" t="s">
        <v>3146</v>
      </c>
      <c r="F1036" s="2212" t="s">
        <v>5394</v>
      </c>
      <c r="H1036" s="2213">
        <v>5</v>
      </c>
      <c r="L1036" s="2210"/>
      <c r="M1036" s="2214"/>
      <c r="T1036" s="2215"/>
      <c r="AT1036" s="2211" t="s">
        <v>3303</v>
      </c>
      <c r="AU1036" s="2211" t="s">
        <v>134</v>
      </c>
      <c r="AV1036" s="2209" t="s">
        <v>134</v>
      </c>
      <c r="AW1036" s="2209" t="s">
        <v>3171</v>
      </c>
      <c r="AX1036" s="2209" t="s">
        <v>3213</v>
      </c>
      <c r="AY1036" s="2211" t="s">
        <v>3285</v>
      </c>
    </row>
    <row r="1037" spans="2:65" s="2216" customFormat="1">
      <c r="B1037" s="2217"/>
      <c r="D1037" s="2197" t="s">
        <v>3303</v>
      </c>
      <c r="E1037" s="2218" t="s">
        <v>3146</v>
      </c>
      <c r="F1037" s="2219" t="s">
        <v>3306</v>
      </c>
      <c r="H1037" s="2220">
        <v>5</v>
      </c>
      <c r="L1037" s="2217"/>
      <c r="M1037" s="2221"/>
      <c r="T1037" s="2222"/>
      <c r="AT1037" s="2218" t="s">
        <v>3303</v>
      </c>
      <c r="AU1037" s="2218" t="s">
        <v>134</v>
      </c>
      <c r="AV1037" s="2216" t="s">
        <v>856</v>
      </c>
      <c r="AW1037" s="2216" t="s">
        <v>3171</v>
      </c>
      <c r="AX1037" s="2216" t="s">
        <v>133</v>
      </c>
      <c r="AY1037" s="2218" t="s">
        <v>3285</v>
      </c>
    </row>
    <row r="1038" spans="2:65" s="2209" customFormat="1">
      <c r="B1038" s="2210"/>
      <c r="D1038" s="2197" t="s">
        <v>3303</v>
      </c>
      <c r="F1038" s="2212" t="s">
        <v>5398</v>
      </c>
      <c r="H1038" s="2213">
        <v>5.5</v>
      </c>
      <c r="L1038" s="2210"/>
      <c r="M1038" s="2214"/>
      <c r="T1038" s="2215"/>
      <c r="AT1038" s="2211" t="s">
        <v>3303</v>
      </c>
      <c r="AU1038" s="2211" t="s">
        <v>134</v>
      </c>
      <c r="AV1038" s="2209" t="s">
        <v>134</v>
      </c>
      <c r="AW1038" s="2209" t="s">
        <v>3148</v>
      </c>
      <c r="AX1038" s="2209" t="s">
        <v>133</v>
      </c>
      <c r="AY1038" s="2211" t="s">
        <v>3285</v>
      </c>
    </row>
    <row r="1039" spans="2:65" s="2070" customFormat="1" ht="33" customHeight="1">
      <c r="B1039" s="2164"/>
      <c r="C1039" s="4608" t="s">
        <v>5084</v>
      </c>
      <c r="D1039" s="4608" t="s">
        <v>3286</v>
      </c>
      <c r="E1039" s="4609" t="s">
        <v>5399</v>
      </c>
      <c r="F1039" s="4610" t="s">
        <v>5400</v>
      </c>
      <c r="G1039" s="4611" t="s">
        <v>611</v>
      </c>
      <c r="H1039" s="4612">
        <v>4</v>
      </c>
      <c r="I1039" s="4613"/>
      <c r="J1039" s="4613">
        <f>ROUND(I1039*H1039,2)</f>
        <v>0</v>
      </c>
      <c r="K1039" s="4610" t="s">
        <v>142</v>
      </c>
      <c r="L1039" s="2071"/>
      <c r="M1039" s="2190" t="s">
        <v>3146</v>
      </c>
      <c r="N1039" s="2163" t="s">
        <v>3181</v>
      </c>
      <c r="O1039" s="2191">
        <v>2.4460000000000002</v>
      </c>
      <c r="P1039" s="2191">
        <f>O1039*H1039</f>
        <v>9.7840000000000007</v>
      </c>
      <c r="Q1039" s="2191">
        <v>4.4999999999999999E-4</v>
      </c>
      <c r="R1039" s="2191">
        <f>Q1039*H1039</f>
        <v>1.8E-3</v>
      </c>
      <c r="S1039" s="2191">
        <v>0</v>
      </c>
      <c r="T1039" s="2192">
        <f>S1039*H1039</f>
        <v>0</v>
      </c>
      <c r="AR1039" s="2193" t="s">
        <v>2894</v>
      </c>
      <c r="AT1039" s="2193" t="s">
        <v>3286</v>
      </c>
      <c r="AU1039" s="2193" t="s">
        <v>134</v>
      </c>
      <c r="AY1039" s="2056" t="s">
        <v>3285</v>
      </c>
      <c r="BE1039" s="2194">
        <f>IF(N1039="základní",J1039,0)</f>
        <v>0</v>
      </c>
      <c r="BF1039" s="2194">
        <f>IF(N1039="snížená",J1039,0)</f>
        <v>0</v>
      </c>
      <c r="BG1039" s="2194">
        <f>IF(N1039="zákl. přenesená",J1039,0)</f>
        <v>0</v>
      </c>
      <c r="BH1039" s="2194">
        <f>IF(N1039="sníž. přenesená",J1039,0)</f>
        <v>0</v>
      </c>
      <c r="BI1039" s="2194">
        <f>IF(N1039="nulová",J1039,0)</f>
        <v>0</v>
      </c>
      <c r="BJ1039" s="2056" t="s">
        <v>134</v>
      </c>
      <c r="BK1039" s="2194">
        <f>ROUND(I1039*H1039,2)</f>
        <v>0</v>
      </c>
      <c r="BL1039" s="2056" t="s">
        <v>2894</v>
      </c>
      <c r="BM1039" s="2193" t="s">
        <v>5401</v>
      </c>
    </row>
    <row r="1040" spans="2:65" s="2195" customFormat="1">
      <c r="B1040" s="2196"/>
      <c r="D1040" s="2197" t="s">
        <v>3303</v>
      </c>
      <c r="E1040" s="2198" t="s">
        <v>3146</v>
      </c>
      <c r="F1040" s="2199" t="s">
        <v>5051</v>
      </c>
      <c r="H1040" s="2198" t="s">
        <v>3146</v>
      </c>
      <c r="L1040" s="2196"/>
      <c r="M1040" s="2200"/>
      <c r="T1040" s="2201"/>
      <c r="AT1040" s="2198" t="s">
        <v>3303</v>
      </c>
      <c r="AU1040" s="2198" t="s">
        <v>134</v>
      </c>
      <c r="AV1040" s="2195" t="s">
        <v>133</v>
      </c>
      <c r="AW1040" s="2195" t="s">
        <v>3171</v>
      </c>
      <c r="AX1040" s="2195" t="s">
        <v>3213</v>
      </c>
      <c r="AY1040" s="2198" t="s">
        <v>3285</v>
      </c>
    </row>
    <row r="1041" spans="2:65" s="2209" customFormat="1">
      <c r="B1041" s="2210"/>
      <c r="D1041" s="2197" t="s">
        <v>3303</v>
      </c>
      <c r="E1041" s="2211" t="s">
        <v>3146</v>
      </c>
      <c r="F1041" s="2212" t="s">
        <v>5402</v>
      </c>
      <c r="H1041" s="2213">
        <v>4</v>
      </c>
      <c r="L1041" s="2210"/>
      <c r="M1041" s="2214"/>
      <c r="T1041" s="2215"/>
      <c r="AT1041" s="2211" t="s">
        <v>3303</v>
      </c>
      <c r="AU1041" s="2211" t="s">
        <v>134</v>
      </c>
      <c r="AV1041" s="2209" t="s">
        <v>134</v>
      </c>
      <c r="AW1041" s="2209" t="s">
        <v>3171</v>
      </c>
      <c r="AX1041" s="2209" t="s">
        <v>133</v>
      </c>
      <c r="AY1041" s="2211" t="s">
        <v>3285</v>
      </c>
    </row>
    <row r="1042" spans="2:65" s="2070" customFormat="1" ht="24.2" customHeight="1">
      <c r="B1042" s="2164"/>
      <c r="C1042" s="4614" t="s">
        <v>5674</v>
      </c>
      <c r="D1042" s="4614" t="s">
        <v>135</v>
      </c>
      <c r="E1042" s="4615" t="s">
        <v>5403</v>
      </c>
      <c r="F1042" s="4616" t="s">
        <v>5404</v>
      </c>
      <c r="G1042" s="4617" t="s">
        <v>611</v>
      </c>
      <c r="H1042" s="4618">
        <v>4.4000000000000004</v>
      </c>
      <c r="I1042" s="4619"/>
      <c r="J1042" s="4619">
        <f>ROUND(I1042*H1042,2)</f>
        <v>0</v>
      </c>
      <c r="K1042" s="4616" t="s">
        <v>142</v>
      </c>
      <c r="L1042" s="2223"/>
      <c r="M1042" s="2224" t="s">
        <v>3146</v>
      </c>
      <c r="N1042" s="2225" t="s">
        <v>3181</v>
      </c>
      <c r="O1042" s="2191">
        <v>0</v>
      </c>
      <c r="P1042" s="2191">
        <f>O1042*H1042</f>
        <v>0</v>
      </c>
      <c r="Q1042" s="2191">
        <v>2.7E-2</v>
      </c>
      <c r="R1042" s="2191">
        <f>Q1042*H1042</f>
        <v>0.1188</v>
      </c>
      <c r="S1042" s="2191">
        <v>0</v>
      </c>
      <c r="T1042" s="2192">
        <f>S1042*H1042</f>
        <v>0</v>
      </c>
      <c r="AR1042" s="2193" t="s">
        <v>3389</v>
      </c>
      <c r="AT1042" s="2193" t="s">
        <v>135</v>
      </c>
      <c r="AU1042" s="2193" t="s">
        <v>134</v>
      </c>
      <c r="AY1042" s="2056" t="s">
        <v>3285</v>
      </c>
      <c r="BE1042" s="2194">
        <f>IF(N1042="základní",J1042,0)</f>
        <v>0</v>
      </c>
      <c r="BF1042" s="2194">
        <f>IF(N1042="snížená",J1042,0)</f>
        <v>0</v>
      </c>
      <c r="BG1042" s="2194">
        <f>IF(N1042="zákl. přenesená",J1042,0)</f>
        <v>0</v>
      </c>
      <c r="BH1042" s="2194">
        <f>IF(N1042="sníž. přenesená",J1042,0)</f>
        <v>0</v>
      </c>
      <c r="BI1042" s="2194">
        <f>IF(N1042="nulová",J1042,0)</f>
        <v>0</v>
      </c>
      <c r="BJ1042" s="2056" t="s">
        <v>134</v>
      </c>
      <c r="BK1042" s="2194">
        <f>ROUND(I1042*H1042,2)</f>
        <v>0</v>
      </c>
      <c r="BL1042" s="2056" t="s">
        <v>2894</v>
      </c>
      <c r="BM1042" s="2193" t="s">
        <v>5405</v>
      </c>
    </row>
    <row r="1043" spans="2:65" s="2195" customFormat="1">
      <c r="B1043" s="2196"/>
      <c r="D1043" s="2197" t="s">
        <v>3303</v>
      </c>
      <c r="E1043" s="2198" t="s">
        <v>3146</v>
      </c>
      <c r="F1043" s="2199" t="s">
        <v>5051</v>
      </c>
      <c r="H1043" s="2198" t="s">
        <v>3146</v>
      </c>
      <c r="L1043" s="2196"/>
      <c r="M1043" s="2200"/>
      <c r="T1043" s="2201"/>
      <c r="AT1043" s="2198" t="s">
        <v>3303</v>
      </c>
      <c r="AU1043" s="2198" t="s">
        <v>134</v>
      </c>
      <c r="AV1043" s="2195" t="s">
        <v>133</v>
      </c>
      <c r="AW1043" s="2195" t="s">
        <v>3171</v>
      </c>
      <c r="AX1043" s="2195" t="s">
        <v>3213</v>
      </c>
      <c r="AY1043" s="2198" t="s">
        <v>3285</v>
      </c>
    </row>
    <row r="1044" spans="2:65" s="2209" customFormat="1">
      <c r="B1044" s="2210"/>
      <c r="D1044" s="2197" t="s">
        <v>3303</v>
      </c>
      <c r="E1044" s="2211" t="s">
        <v>3146</v>
      </c>
      <c r="F1044" s="2212" t="s">
        <v>5402</v>
      </c>
      <c r="H1044" s="2213">
        <v>4</v>
      </c>
      <c r="L1044" s="2210"/>
      <c r="M1044" s="2214"/>
      <c r="T1044" s="2215"/>
      <c r="AT1044" s="2211" t="s">
        <v>3303</v>
      </c>
      <c r="AU1044" s="2211" t="s">
        <v>134</v>
      </c>
      <c r="AV1044" s="2209" t="s">
        <v>134</v>
      </c>
      <c r="AW1044" s="2209" t="s">
        <v>3171</v>
      </c>
      <c r="AX1044" s="2209" t="s">
        <v>3213</v>
      </c>
      <c r="AY1044" s="2211" t="s">
        <v>3285</v>
      </c>
    </row>
    <row r="1045" spans="2:65" s="2216" customFormat="1">
      <c r="B1045" s="2217"/>
      <c r="D1045" s="2197" t="s">
        <v>3303</v>
      </c>
      <c r="E1045" s="2218" t="s">
        <v>3146</v>
      </c>
      <c r="F1045" s="2219" t="s">
        <v>3306</v>
      </c>
      <c r="H1045" s="2220">
        <v>4</v>
      </c>
      <c r="L1045" s="2217"/>
      <c r="M1045" s="2221"/>
      <c r="T1045" s="2222"/>
      <c r="AT1045" s="2218" t="s">
        <v>3303</v>
      </c>
      <c r="AU1045" s="2218" t="s">
        <v>134</v>
      </c>
      <c r="AV1045" s="2216" t="s">
        <v>856</v>
      </c>
      <c r="AW1045" s="2216" t="s">
        <v>3171</v>
      </c>
      <c r="AX1045" s="2216" t="s">
        <v>133</v>
      </c>
      <c r="AY1045" s="2218" t="s">
        <v>3285</v>
      </c>
    </row>
    <row r="1046" spans="2:65" s="2209" customFormat="1">
      <c r="B1046" s="2210"/>
      <c r="D1046" s="2197" t="s">
        <v>3303</v>
      </c>
      <c r="F1046" s="2212" t="s">
        <v>5406</v>
      </c>
      <c r="H1046" s="2213">
        <v>4.4000000000000004</v>
      </c>
      <c r="L1046" s="2210"/>
      <c r="M1046" s="2214"/>
      <c r="T1046" s="2215"/>
      <c r="AT1046" s="2211" t="s">
        <v>3303</v>
      </c>
      <c r="AU1046" s="2211" t="s">
        <v>134</v>
      </c>
      <c r="AV1046" s="2209" t="s">
        <v>134</v>
      </c>
      <c r="AW1046" s="2209" t="s">
        <v>3148</v>
      </c>
      <c r="AX1046" s="2209" t="s">
        <v>133</v>
      </c>
      <c r="AY1046" s="2211" t="s">
        <v>3285</v>
      </c>
    </row>
    <row r="1047" spans="2:65" s="2070" customFormat="1" ht="24.2" customHeight="1">
      <c r="B1047" s="2164"/>
      <c r="C1047" s="4608" t="s">
        <v>5680</v>
      </c>
      <c r="D1047" s="4608" t="s">
        <v>3286</v>
      </c>
      <c r="E1047" s="4609" t="s">
        <v>5407</v>
      </c>
      <c r="F1047" s="4610" t="s">
        <v>5408</v>
      </c>
      <c r="G1047" s="4611" t="s">
        <v>611</v>
      </c>
      <c r="H1047" s="4612">
        <v>414.15</v>
      </c>
      <c r="I1047" s="4613"/>
      <c r="J1047" s="4613">
        <f>ROUND(I1047*H1047,2)</f>
        <v>0</v>
      </c>
      <c r="K1047" s="4610" t="s">
        <v>142</v>
      </c>
      <c r="L1047" s="2071"/>
      <c r="M1047" s="2190" t="s">
        <v>3146</v>
      </c>
      <c r="N1047" s="2163" t="s">
        <v>3181</v>
      </c>
      <c r="O1047" s="2191">
        <v>1.4970000000000001</v>
      </c>
      <c r="P1047" s="2191">
        <f>O1047*H1047</f>
        <v>619.98255000000006</v>
      </c>
      <c r="Q1047" s="2191">
        <v>1.7000000000000001E-4</v>
      </c>
      <c r="R1047" s="2191">
        <f>Q1047*H1047</f>
        <v>7.0405499999999996E-2</v>
      </c>
      <c r="S1047" s="2191">
        <v>0</v>
      </c>
      <c r="T1047" s="2192">
        <f>S1047*H1047</f>
        <v>0</v>
      </c>
      <c r="AR1047" s="2193" t="s">
        <v>2894</v>
      </c>
      <c r="AT1047" s="2193" t="s">
        <v>3286</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5409</v>
      </c>
    </row>
    <row r="1048" spans="2:65" s="2195" customFormat="1">
      <c r="B1048" s="2196"/>
      <c r="D1048" s="2197" t="s">
        <v>3303</v>
      </c>
      <c r="E1048" s="2198" t="s">
        <v>3146</v>
      </c>
      <c r="F1048" s="2199" t="s">
        <v>5410</v>
      </c>
      <c r="H1048" s="2198" t="s">
        <v>3146</v>
      </c>
      <c r="L1048" s="2196"/>
      <c r="M1048" s="2200"/>
      <c r="T1048" s="2201"/>
      <c r="AT1048" s="2198" t="s">
        <v>3303</v>
      </c>
      <c r="AU1048" s="2198" t="s">
        <v>134</v>
      </c>
      <c r="AV1048" s="2195" t="s">
        <v>133</v>
      </c>
      <c r="AW1048" s="2195" t="s">
        <v>3171</v>
      </c>
      <c r="AX1048" s="2195" t="s">
        <v>3213</v>
      </c>
      <c r="AY1048" s="2198" t="s">
        <v>3285</v>
      </c>
    </row>
    <row r="1049" spans="2:65" s="2209" customFormat="1">
      <c r="B1049" s="2210"/>
      <c r="D1049" s="2197" t="s">
        <v>3303</v>
      </c>
      <c r="E1049" s="2211" t="s">
        <v>3146</v>
      </c>
      <c r="F1049" s="2212" t="s">
        <v>5411</v>
      </c>
      <c r="H1049" s="2213">
        <v>2.75</v>
      </c>
      <c r="L1049" s="2210"/>
      <c r="M1049" s="2214"/>
      <c r="T1049" s="2215"/>
      <c r="AT1049" s="2211" t="s">
        <v>3303</v>
      </c>
      <c r="AU1049" s="2211" t="s">
        <v>134</v>
      </c>
      <c r="AV1049" s="2209" t="s">
        <v>134</v>
      </c>
      <c r="AW1049" s="2209" t="s">
        <v>3171</v>
      </c>
      <c r="AX1049" s="2209" t="s">
        <v>3213</v>
      </c>
      <c r="AY1049" s="2211" t="s">
        <v>3285</v>
      </c>
    </row>
    <row r="1050" spans="2:65" s="2195" customFormat="1">
      <c r="B1050" s="2196"/>
      <c r="D1050" s="2197" t="s">
        <v>3303</v>
      </c>
      <c r="E1050" s="2198" t="s">
        <v>3146</v>
      </c>
      <c r="F1050" s="2199" t="s">
        <v>5412</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5413</v>
      </c>
      <c r="H1051" s="2213">
        <v>3.3</v>
      </c>
      <c r="L1051" s="2210"/>
      <c r="M1051" s="2214"/>
      <c r="T1051" s="2215"/>
      <c r="AT1051" s="2211" t="s">
        <v>3303</v>
      </c>
      <c r="AU1051" s="2211" t="s">
        <v>134</v>
      </c>
      <c r="AV1051" s="2209" t="s">
        <v>134</v>
      </c>
      <c r="AW1051" s="2209" t="s">
        <v>3171</v>
      </c>
      <c r="AX1051" s="2209" t="s">
        <v>3213</v>
      </c>
      <c r="AY1051" s="2211" t="s">
        <v>3285</v>
      </c>
    </row>
    <row r="1052" spans="2:65" s="2195" customFormat="1">
      <c r="B1052" s="2196"/>
      <c r="D1052" s="2197" t="s">
        <v>3303</v>
      </c>
      <c r="E1052" s="2198" t="s">
        <v>3146</v>
      </c>
      <c r="F1052" s="2199" t="s">
        <v>5414</v>
      </c>
      <c r="H1052" s="2198" t="s">
        <v>3146</v>
      </c>
      <c r="L1052" s="2196"/>
      <c r="M1052" s="2200"/>
      <c r="T1052" s="2201"/>
      <c r="AT1052" s="2198" t="s">
        <v>3303</v>
      </c>
      <c r="AU1052" s="2198" t="s">
        <v>134</v>
      </c>
      <c r="AV1052" s="2195" t="s">
        <v>133</v>
      </c>
      <c r="AW1052" s="2195" t="s">
        <v>3171</v>
      </c>
      <c r="AX1052" s="2195" t="s">
        <v>3213</v>
      </c>
      <c r="AY1052" s="2198" t="s">
        <v>3285</v>
      </c>
    </row>
    <row r="1053" spans="2:65" s="2209" customFormat="1">
      <c r="B1053" s="2210"/>
      <c r="D1053" s="2197" t="s">
        <v>3303</v>
      </c>
      <c r="E1053" s="2211" t="s">
        <v>3146</v>
      </c>
      <c r="F1053" s="2212" t="s">
        <v>5415</v>
      </c>
      <c r="H1053" s="2213">
        <v>5.5</v>
      </c>
      <c r="L1053" s="2210"/>
      <c r="M1053" s="2214"/>
      <c r="T1053" s="2215"/>
      <c r="AT1053" s="2211" t="s">
        <v>3303</v>
      </c>
      <c r="AU1053" s="2211" t="s">
        <v>134</v>
      </c>
      <c r="AV1053" s="2209" t="s">
        <v>134</v>
      </c>
      <c r="AW1053" s="2209" t="s">
        <v>3171</v>
      </c>
      <c r="AX1053" s="2209" t="s">
        <v>3213</v>
      </c>
      <c r="AY1053" s="2211" t="s">
        <v>3285</v>
      </c>
    </row>
    <row r="1054" spans="2:65" s="2195" customFormat="1">
      <c r="B1054" s="2196"/>
      <c r="D1054" s="2197" t="s">
        <v>3303</v>
      </c>
      <c r="E1054" s="2198" t="s">
        <v>3146</v>
      </c>
      <c r="F1054" s="2199" t="s">
        <v>5416</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2212" t="s">
        <v>5417</v>
      </c>
      <c r="H1055" s="2213">
        <v>6.6</v>
      </c>
      <c r="L1055" s="2210"/>
      <c r="M1055" s="2214"/>
      <c r="T1055" s="2215"/>
      <c r="AT1055" s="2211" t="s">
        <v>3303</v>
      </c>
      <c r="AU1055" s="2211" t="s">
        <v>134</v>
      </c>
      <c r="AV1055" s="2209" t="s">
        <v>134</v>
      </c>
      <c r="AW1055" s="2209" t="s">
        <v>3171</v>
      </c>
      <c r="AX1055" s="2209" t="s">
        <v>3213</v>
      </c>
      <c r="AY1055" s="2211" t="s">
        <v>3285</v>
      </c>
    </row>
    <row r="1056" spans="2:65" s="2195" customFormat="1">
      <c r="B1056" s="2196"/>
      <c r="D1056" s="2197" t="s">
        <v>3303</v>
      </c>
      <c r="E1056" s="2198" t="s">
        <v>3146</v>
      </c>
      <c r="F1056" s="2199" t="s">
        <v>5418</v>
      </c>
      <c r="H1056" s="2198" t="s">
        <v>3146</v>
      </c>
      <c r="L1056" s="2196"/>
      <c r="M1056" s="2200"/>
      <c r="T1056" s="2201"/>
      <c r="AT1056" s="2198" t="s">
        <v>3303</v>
      </c>
      <c r="AU1056" s="2198" t="s">
        <v>134</v>
      </c>
      <c r="AV1056" s="2195" t="s">
        <v>133</v>
      </c>
      <c r="AW1056" s="2195" t="s">
        <v>3171</v>
      </c>
      <c r="AX1056" s="2195" t="s">
        <v>3213</v>
      </c>
      <c r="AY1056" s="2198" t="s">
        <v>3285</v>
      </c>
    </row>
    <row r="1057" spans="2:51" s="2209" customFormat="1">
      <c r="B1057" s="2210"/>
      <c r="D1057" s="2197" t="s">
        <v>3303</v>
      </c>
      <c r="E1057" s="2211" t="s">
        <v>3146</v>
      </c>
      <c r="F1057" s="2212" t="s">
        <v>5415</v>
      </c>
      <c r="H1057" s="2213">
        <v>5.5</v>
      </c>
      <c r="L1057" s="2210"/>
      <c r="M1057" s="2214"/>
      <c r="T1057" s="2215"/>
      <c r="AT1057" s="2211" t="s">
        <v>3303</v>
      </c>
      <c r="AU1057" s="2211" t="s">
        <v>134</v>
      </c>
      <c r="AV1057" s="2209" t="s">
        <v>134</v>
      </c>
      <c r="AW1057" s="2209" t="s">
        <v>3171</v>
      </c>
      <c r="AX1057" s="2209" t="s">
        <v>3213</v>
      </c>
      <c r="AY1057" s="2211" t="s">
        <v>3285</v>
      </c>
    </row>
    <row r="1058" spans="2:51" s="2202" customFormat="1">
      <c r="B1058" s="2203"/>
      <c r="D1058" s="2197" t="s">
        <v>3303</v>
      </c>
      <c r="E1058" s="2204" t="s">
        <v>3146</v>
      </c>
      <c r="F1058" s="2205" t="s">
        <v>3305</v>
      </c>
      <c r="H1058" s="2206">
        <v>23.65</v>
      </c>
      <c r="L1058" s="2203"/>
      <c r="M1058" s="2207"/>
      <c r="T1058" s="2208"/>
      <c r="AT1058" s="2204" t="s">
        <v>3303</v>
      </c>
      <c r="AU1058" s="2204" t="s">
        <v>134</v>
      </c>
      <c r="AV1058" s="2202" t="s">
        <v>854</v>
      </c>
      <c r="AW1058" s="2202" t="s">
        <v>3171</v>
      </c>
      <c r="AX1058" s="2202" t="s">
        <v>3213</v>
      </c>
      <c r="AY1058" s="2204" t="s">
        <v>3285</v>
      </c>
    </row>
    <row r="1059" spans="2:51" s="2195" customFormat="1">
      <c r="B1059" s="2196"/>
      <c r="D1059" s="2197" t="s">
        <v>3303</v>
      </c>
      <c r="E1059" s="2198" t="s">
        <v>3146</v>
      </c>
      <c r="F1059" s="2199" t="s">
        <v>5419</v>
      </c>
      <c r="H1059" s="2198" t="s">
        <v>3146</v>
      </c>
      <c r="L1059" s="2196"/>
      <c r="M1059" s="2200"/>
      <c r="T1059" s="2201"/>
      <c r="AT1059" s="2198" t="s">
        <v>3303</v>
      </c>
      <c r="AU1059" s="2198" t="s">
        <v>134</v>
      </c>
      <c r="AV1059" s="2195" t="s">
        <v>133</v>
      </c>
      <c r="AW1059" s="2195" t="s">
        <v>3171</v>
      </c>
      <c r="AX1059" s="2195" t="s">
        <v>3213</v>
      </c>
      <c r="AY1059" s="2198" t="s">
        <v>3285</v>
      </c>
    </row>
    <row r="1060" spans="2:51" s="2209" customFormat="1">
      <c r="B1060" s="2210"/>
      <c r="D1060" s="2197" t="s">
        <v>3303</v>
      </c>
      <c r="E1060" s="2211" t="s">
        <v>3146</v>
      </c>
      <c r="F1060" s="2212" t="s">
        <v>5420</v>
      </c>
      <c r="H1060" s="2213">
        <v>99</v>
      </c>
      <c r="L1060" s="2210"/>
      <c r="M1060" s="2214"/>
      <c r="T1060" s="2215"/>
      <c r="AT1060" s="2211" t="s">
        <v>3303</v>
      </c>
      <c r="AU1060" s="2211" t="s">
        <v>134</v>
      </c>
      <c r="AV1060" s="2209" t="s">
        <v>134</v>
      </c>
      <c r="AW1060" s="2209" t="s">
        <v>3171</v>
      </c>
      <c r="AX1060" s="2209" t="s">
        <v>3213</v>
      </c>
      <c r="AY1060" s="2211" t="s">
        <v>3285</v>
      </c>
    </row>
    <row r="1061" spans="2:51" s="2195" customFormat="1">
      <c r="B1061" s="2196"/>
      <c r="D1061" s="2197" t="s">
        <v>3303</v>
      </c>
      <c r="E1061" s="2198" t="s">
        <v>3146</v>
      </c>
      <c r="F1061" s="2199" t="s">
        <v>5421</v>
      </c>
      <c r="H1061" s="2198" t="s">
        <v>3146</v>
      </c>
      <c r="L1061" s="2196"/>
      <c r="M1061" s="2200"/>
      <c r="T1061" s="2201"/>
      <c r="AT1061" s="2198" t="s">
        <v>3303</v>
      </c>
      <c r="AU1061" s="2198" t="s">
        <v>134</v>
      </c>
      <c r="AV1061" s="2195" t="s">
        <v>133</v>
      </c>
      <c r="AW1061" s="2195" t="s">
        <v>3171</v>
      </c>
      <c r="AX1061" s="2195" t="s">
        <v>3213</v>
      </c>
      <c r="AY1061" s="2198" t="s">
        <v>3285</v>
      </c>
    </row>
    <row r="1062" spans="2:51" s="2209" customFormat="1">
      <c r="B1062" s="2210"/>
      <c r="D1062" s="2197" t="s">
        <v>3303</v>
      </c>
      <c r="E1062" s="2211" t="s">
        <v>3146</v>
      </c>
      <c r="F1062" s="2212" t="s">
        <v>5422</v>
      </c>
      <c r="H1062" s="2213">
        <v>5.5</v>
      </c>
      <c r="L1062" s="2210"/>
      <c r="M1062" s="2214"/>
      <c r="T1062" s="2215"/>
      <c r="AT1062" s="2211" t="s">
        <v>3303</v>
      </c>
      <c r="AU1062" s="2211" t="s">
        <v>134</v>
      </c>
      <c r="AV1062" s="2209" t="s">
        <v>134</v>
      </c>
      <c r="AW1062" s="2209" t="s">
        <v>3171</v>
      </c>
      <c r="AX1062" s="2209" t="s">
        <v>3213</v>
      </c>
      <c r="AY1062" s="2211" t="s">
        <v>3285</v>
      </c>
    </row>
    <row r="1063" spans="2:51" s="2195" customFormat="1">
      <c r="B1063" s="2196"/>
      <c r="D1063" s="2197" t="s">
        <v>3303</v>
      </c>
      <c r="E1063" s="2198" t="s">
        <v>3146</v>
      </c>
      <c r="F1063" s="2199" t="s">
        <v>5423</v>
      </c>
      <c r="H1063" s="2198" t="s">
        <v>3146</v>
      </c>
      <c r="L1063" s="2196"/>
      <c r="M1063" s="2200"/>
      <c r="T1063" s="2201"/>
      <c r="AT1063" s="2198" t="s">
        <v>3303</v>
      </c>
      <c r="AU1063" s="2198" t="s">
        <v>134</v>
      </c>
      <c r="AV1063" s="2195" t="s">
        <v>133</v>
      </c>
      <c r="AW1063" s="2195" t="s">
        <v>3171</v>
      </c>
      <c r="AX1063" s="2195" t="s">
        <v>3213</v>
      </c>
      <c r="AY1063" s="2198" t="s">
        <v>3285</v>
      </c>
    </row>
    <row r="1064" spans="2:51" s="2209" customFormat="1">
      <c r="B1064" s="2210"/>
      <c r="D1064" s="2197" t="s">
        <v>3303</v>
      </c>
      <c r="E1064" s="2211" t="s">
        <v>3146</v>
      </c>
      <c r="F1064" s="2212" t="s">
        <v>5424</v>
      </c>
      <c r="H1064" s="2213">
        <v>82.5</v>
      </c>
      <c r="L1064" s="2210"/>
      <c r="M1064" s="2214"/>
      <c r="T1064" s="2215"/>
      <c r="AT1064" s="2211" t="s">
        <v>3303</v>
      </c>
      <c r="AU1064" s="2211" t="s">
        <v>134</v>
      </c>
      <c r="AV1064" s="2209" t="s">
        <v>134</v>
      </c>
      <c r="AW1064" s="2209" t="s">
        <v>3171</v>
      </c>
      <c r="AX1064" s="2209" t="s">
        <v>3213</v>
      </c>
      <c r="AY1064" s="2211" t="s">
        <v>3285</v>
      </c>
    </row>
    <row r="1065" spans="2:51" s="2195" customFormat="1">
      <c r="B1065" s="2196"/>
      <c r="D1065" s="2197" t="s">
        <v>3303</v>
      </c>
      <c r="E1065" s="2198" t="s">
        <v>3146</v>
      </c>
      <c r="F1065" s="2199" t="s">
        <v>5425</v>
      </c>
      <c r="H1065" s="2198" t="s">
        <v>3146</v>
      </c>
      <c r="L1065" s="2196"/>
      <c r="M1065" s="2200"/>
      <c r="T1065" s="2201"/>
      <c r="AT1065" s="2198" t="s">
        <v>3303</v>
      </c>
      <c r="AU1065" s="2198" t="s">
        <v>134</v>
      </c>
      <c r="AV1065" s="2195" t="s">
        <v>133</v>
      </c>
      <c r="AW1065" s="2195" t="s">
        <v>3171</v>
      </c>
      <c r="AX1065" s="2195" t="s">
        <v>3213</v>
      </c>
      <c r="AY1065" s="2198" t="s">
        <v>3285</v>
      </c>
    </row>
    <row r="1066" spans="2:51" s="2209" customFormat="1">
      <c r="B1066" s="2210"/>
      <c r="D1066" s="2197" t="s">
        <v>3303</v>
      </c>
      <c r="E1066" s="2211" t="s">
        <v>3146</v>
      </c>
      <c r="F1066" s="2212" t="s">
        <v>5426</v>
      </c>
      <c r="H1066" s="2213">
        <v>16.5</v>
      </c>
      <c r="L1066" s="2210"/>
      <c r="M1066" s="2214"/>
      <c r="T1066" s="2215"/>
      <c r="AT1066" s="2211" t="s">
        <v>3303</v>
      </c>
      <c r="AU1066" s="2211" t="s">
        <v>134</v>
      </c>
      <c r="AV1066" s="2209" t="s">
        <v>134</v>
      </c>
      <c r="AW1066" s="2209" t="s">
        <v>3171</v>
      </c>
      <c r="AX1066" s="2209" t="s">
        <v>3213</v>
      </c>
      <c r="AY1066" s="2211" t="s">
        <v>3285</v>
      </c>
    </row>
    <row r="1067" spans="2:51" s="2195" customFormat="1">
      <c r="B1067" s="2196"/>
      <c r="D1067" s="2197" t="s">
        <v>3303</v>
      </c>
      <c r="E1067" s="2198" t="s">
        <v>3146</v>
      </c>
      <c r="F1067" s="2199" t="s">
        <v>5427</v>
      </c>
      <c r="H1067" s="2198" t="s">
        <v>3146</v>
      </c>
      <c r="L1067" s="2196"/>
      <c r="M1067" s="2200"/>
      <c r="T1067" s="2201"/>
      <c r="AT1067" s="2198" t="s">
        <v>3303</v>
      </c>
      <c r="AU1067" s="2198" t="s">
        <v>134</v>
      </c>
      <c r="AV1067" s="2195" t="s">
        <v>133</v>
      </c>
      <c r="AW1067" s="2195" t="s">
        <v>3171</v>
      </c>
      <c r="AX1067" s="2195" t="s">
        <v>3213</v>
      </c>
      <c r="AY1067" s="2198" t="s">
        <v>3285</v>
      </c>
    </row>
    <row r="1068" spans="2:51" s="2209" customFormat="1">
      <c r="B1068" s="2210"/>
      <c r="D1068" s="2197" t="s">
        <v>3303</v>
      </c>
      <c r="E1068" s="2211" t="s">
        <v>3146</v>
      </c>
      <c r="F1068" s="2212" t="s">
        <v>5428</v>
      </c>
      <c r="H1068" s="2213">
        <v>66</v>
      </c>
      <c r="L1068" s="2210"/>
      <c r="M1068" s="2214"/>
      <c r="T1068" s="2215"/>
      <c r="AT1068" s="2211" t="s">
        <v>3303</v>
      </c>
      <c r="AU1068" s="2211" t="s">
        <v>134</v>
      </c>
      <c r="AV1068" s="2209" t="s">
        <v>134</v>
      </c>
      <c r="AW1068" s="2209" t="s">
        <v>3171</v>
      </c>
      <c r="AX1068" s="2209" t="s">
        <v>3213</v>
      </c>
      <c r="AY1068" s="2211" t="s">
        <v>3285</v>
      </c>
    </row>
    <row r="1069" spans="2:51" s="2195" customFormat="1">
      <c r="B1069" s="2196"/>
      <c r="D1069" s="2197" t="s">
        <v>3303</v>
      </c>
      <c r="E1069" s="2198" t="s">
        <v>3146</v>
      </c>
      <c r="F1069" s="2199" t="s">
        <v>5429</v>
      </c>
      <c r="H1069" s="2198" t="s">
        <v>3146</v>
      </c>
      <c r="L1069" s="2196"/>
      <c r="M1069" s="2200"/>
      <c r="T1069" s="2201"/>
      <c r="AT1069" s="2198" t="s">
        <v>3303</v>
      </c>
      <c r="AU1069" s="2198" t="s">
        <v>134</v>
      </c>
      <c r="AV1069" s="2195" t="s">
        <v>133</v>
      </c>
      <c r="AW1069" s="2195" t="s">
        <v>3171</v>
      </c>
      <c r="AX1069" s="2195" t="s">
        <v>3213</v>
      </c>
      <c r="AY1069" s="2198" t="s">
        <v>3285</v>
      </c>
    </row>
    <row r="1070" spans="2:51" s="2209" customFormat="1">
      <c r="B1070" s="2210"/>
      <c r="D1070" s="2197" t="s">
        <v>3303</v>
      </c>
      <c r="E1070" s="2211" t="s">
        <v>3146</v>
      </c>
      <c r="F1070" s="2212" t="s">
        <v>5422</v>
      </c>
      <c r="H1070" s="2213">
        <v>5.5</v>
      </c>
      <c r="L1070" s="2210"/>
      <c r="M1070" s="2214"/>
      <c r="T1070" s="2215"/>
      <c r="AT1070" s="2211" t="s">
        <v>3303</v>
      </c>
      <c r="AU1070" s="2211" t="s">
        <v>134</v>
      </c>
      <c r="AV1070" s="2209" t="s">
        <v>134</v>
      </c>
      <c r="AW1070" s="2209" t="s">
        <v>3171</v>
      </c>
      <c r="AX1070" s="2209" t="s">
        <v>3213</v>
      </c>
      <c r="AY1070" s="2211" t="s">
        <v>3285</v>
      </c>
    </row>
    <row r="1071" spans="2:51" s="2195" customFormat="1">
      <c r="B1071" s="2196"/>
      <c r="D1071" s="2197" t="s">
        <v>3303</v>
      </c>
      <c r="E1071" s="2198" t="s">
        <v>3146</v>
      </c>
      <c r="F1071" s="2199" t="s">
        <v>5430</v>
      </c>
      <c r="H1071" s="2198" t="s">
        <v>3146</v>
      </c>
      <c r="L1071" s="2196"/>
      <c r="M1071" s="2200"/>
      <c r="T1071" s="2201"/>
      <c r="AT1071" s="2198" t="s">
        <v>3303</v>
      </c>
      <c r="AU1071" s="2198" t="s">
        <v>134</v>
      </c>
      <c r="AV1071" s="2195" t="s">
        <v>133</v>
      </c>
      <c r="AW1071" s="2195" t="s">
        <v>3171</v>
      </c>
      <c r="AX1071" s="2195" t="s">
        <v>3213</v>
      </c>
      <c r="AY1071" s="2198" t="s">
        <v>3285</v>
      </c>
    </row>
    <row r="1072" spans="2:51" s="2209" customFormat="1">
      <c r="B1072" s="2210"/>
      <c r="D1072" s="2197" t="s">
        <v>3303</v>
      </c>
      <c r="E1072" s="2211" t="s">
        <v>3146</v>
      </c>
      <c r="F1072" s="2212" t="s">
        <v>5431</v>
      </c>
      <c r="H1072" s="2213">
        <v>88</v>
      </c>
      <c r="L1072" s="2210"/>
      <c r="M1072" s="2214"/>
      <c r="T1072" s="2215"/>
      <c r="AT1072" s="2211" t="s">
        <v>3303</v>
      </c>
      <c r="AU1072" s="2211" t="s">
        <v>134</v>
      </c>
      <c r="AV1072" s="2209" t="s">
        <v>134</v>
      </c>
      <c r="AW1072" s="2209" t="s">
        <v>3171</v>
      </c>
      <c r="AX1072" s="2209" t="s">
        <v>3213</v>
      </c>
      <c r="AY1072" s="2211" t="s">
        <v>3285</v>
      </c>
    </row>
    <row r="1073" spans="2:65" s="2195" customFormat="1">
      <c r="B1073" s="2196"/>
      <c r="D1073" s="2197" t="s">
        <v>3303</v>
      </c>
      <c r="E1073" s="2198" t="s">
        <v>3146</v>
      </c>
      <c r="F1073" s="2199" t="s">
        <v>5432</v>
      </c>
      <c r="H1073" s="2198" t="s">
        <v>3146</v>
      </c>
      <c r="L1073" s="2196"/>
      <c r="M1073" s="2200"/>
      <c r="T1073" s="2201"/>
      <c r="AT1073" s="2198" t="s">
        <v>3303</v>
      </c>
      <c r="AU1073" s="2198" t="s">
        <v>134</v>
      </c>
      <c r="AV1073" s="2195" t="s">
        <v>133</v>
      </c>
      <c r="AW1073" s="2195" t="s">
        <v>3171</v>
      </c>
      <c r="AX1073" s="2195" t="s">
        <v>3213</v>
      </c>
      <c r="AY1073" s="2198" t="s">
        <v>3285</v>
      </c>
    </row>
    <row r="1074" spans="2:65" s="2209" customFormat="1">
      <c r="B1074" s="2210"/>
      <c r="D1074" s="2197" t="s">
        <v>3303</v>
      </c>
      <c r="E1074" s="2211" t="s">
        <v>3146</v>
      </c>
      <c r="F1074" s="2212" t="s">
        <v>5422</v>
      </c>
      <c r="H1074" s="2213">
        <v>5.5</v>
      </c>
      <c r="L1074" s="2210"/>
      <c r="M1074" s="2214"/>
      <c r="T1074" s="2215"/>
      <c r="AT1074" s="2211" t="s">
        <v>3303</v>
      </c>
      <c r="AU1074" s="2211" t="s">
        <v>134</v>
      </c>
      <c r="AV1074" s="2209" t="s">
        <v>134</v>
      </c>
      <c r="AW1074" s="2209" t="s">
        <v>3171</v>
      </c>
      <c r="AX1074" s="2209" t="s">
        <v>3213</v>
      </c>
      <c r="AY1074" s="2211" t="s">
        <v>3285</v>
      </c>
    </row>
    <row r="1075" spans="2:65" s="2195" customFormat="1">
      <c r="B1075" s="2196"/>
      <c r="D1075" s="2197" t="s">
        <v>3303</v>
      </c>
      <c r="E1075" s="2198" t="s">
        <v>3146</v>
      </c>
      <c r="F1075" s="2199" t="s">
        <v>5433</v>
      </c>
      <c r="H1075" s="2198" t="s">
        <v>3146</v>
      </c>
      <c r="L1075" s="2196"/>
      <c r="M1075" s="2200"/>
      <c r="T1075" s="2201"/>
      <c r="AT1075" s="2198" t="s">
        <v>3303</v>
      </c>
      <c r="AU1075" s="2198" t="s">
        <v>134</v>
      </c>
      <c r="AV1075" s="2195" t="s">
        <v>133</v>
      </c>
      <c r="AW1075" s="2195" t="s">
        <v>3171</v>
      </c>
      <c r="AX1075" s="2195" t="s">
        <v>3213</v>
      </c>
      <c r="AY1075" s="2198" t="s">
        <v>3285</v>
      </c>
    </row>
    <row r="1076" spans="2:65" s="2209" customFormat="1">
      <c r="B1076" s="2210"/>
      <c r="D1076" s="2197" t="s">
        <v>3303</v>
      </c>
      <c r="E1076" s="2211" t="s">
        <v>3146</v>
      </c>
      <c r="F1076" s="2212" t="s">
        <v>5426</v>
      </c>
      <c r="H1076" s="2213">
        <v>16.5</v>
      </c>
      <c r="L1076" s="2210"/>
      <c r="M1076" s="2214"/>
      <c r="T1076" s="2215"/>
      <c r="AT1076" s="2211" t="s">
        <v>3303</v>
      </c>
      <c r="AU1076" s="2211" t="s">
        <v>134</v>
      </c>
      <c r="AV1076" s="2209" t="s">
        <v>134</v>
      </c>
      <c r="AW1076" s="2209" t="s">
        <v>3171</v>
      </c>
      <c r="AX1076" s="2209" t="s">
        <v>3213</v>
      </c>
      <c r="AY1076" s="2211" t="s">
        <v>3285</v>
      </c>
    </row>
    <row r="1077" spans="2:65" s="2195" customFormat="1">
      <c r="B1077" s="2196"/>
      <c r="D1077" s="2197" t="s">
        <v>3303</v>
      </c>
      <c r="E1077" s="2198" t="s">
        <v>3146</v>
      </c>
      <c r="F1077" s="2199" t="s">
        <v>5434</v>
      </c>
      <c r="H1077" s="2198" t="s">
        <v>3146</v>
      </c>
      <c r="L1077" s="2196"/>
      <c r="M1077" s="2200"/>
      <c r="T1077" s="2201"/>
      <c r="AT1077" s="2198" t="s">
        <v>3303</v>
      </c>
      <c r="AU1077" s="2198" t="s">
        <v>134</v>
      </c>
      <c r="AV1077" s="2195" t="s">
        <v>133</v>
      </c>
      <c r="AW1077" s="2195" t="s">
        <v>3171</v>
      </c>
      <c r="AX1077" s="2195" t="s">
        <v>3213</v>
      </c>
      <c r="AY1077" s="2198" t="s">
        <v>3285</v>
      </c>
    </row>
    <row r="1078" spans="2:65" s="2209" customFormat="1">
      <c r="B1078" s="2210"/>
      <c r="D1078" s="2197" t="s">
        <v>3303</v>
      </c>
      <c r="E1078" s="2211" t="s">
        <v>3146</v>
      </c>
      <c r="F1078" s="2212" t="s">
        <v>5422</v>
      </c>
      <c r="H1078" s="2213">
        <v>5.5</v>
      </c>
      <c r="L1078" s="2210"/>
      <c r="M1078" s="2214"/>
      <c r="T1078" s="2215"/>
      <c r="AT1078" s="2211" t="s">
        <v>3303</v>
      </c>
      <c r="AU1078" s="2211" t="s">
        <v>134</v>
      </c>
      <c r="AV1078" s="2209" t="s">
        <v>134</v>
      </c>
      <c r="AW1078" s="2209" t="s">
        <v>3171</v>
      </c>
      <c r="AX1078" s="2209" t="s">
        <v>3213</v>
      </c>
      <c r="AY1078" s="2211" t="s">
        <v>3285</v>
      </c>
    </row>
    <row r="1079" spans="2:65" s="2216" customFormat="1">
      <c r="B1079" s="2217"/>
      <c r="D1079" s="2197" t="s">
        <v>3303</v>
      </c>
      <c r="E1079" s="2218" t="s">
        <v>3146</v>
      </c>
      <c r="F1079" s="2219" t="s">
        <v>3306</v>
      </c>
      <c r="H1079" s="2220">
        <v>414.15</v>
      </c>
      <c r="L1079" s="2217"/>
      <c r="M1079" s="2221"/>
      <c r="T1079" s="2222"/>
      <c r="AT1079" s="2218" t="s">
        <v>3303</v>
      </c>
      <c r="AU1079" s="2218" t="s">
        <v>134</v>
      </c>
      <c r="AV1079" s="2216" t="s">
        <v>856</v>
      </c>
      <c r="AW1079" s="2216" t="s">
        <v>3171</v>
      </c>
      <c r="AX1079" s="2216" t="s">
        <v>133</v>
      </c>
      <c r="AY1079" s="2218" t="s">
        <v>3285</v>
      </c>
    </row>
    <row r="1080" spans="2:65" s="2070" customFormat="1" ht="24.2" customHeight="1">
      <c r="B1080" s="2164"/>
      <c r="C1080" s="4614" t="s">
        <v>5083</v>
      </c>
      <c r="D1080" s="4614" t="s">
        <v>135</v>
      </c>
      <c r="E1080" s="4615" t="s">
        <v>5435</v>
      </c>
      <c r="F1080" s="4616" t="s">
        <v>5436</v>
      </c>
      <c r="G1080" s="4617" t="s">
        <v>611</v>
      </c>
      <c r="H1080" s="4618">
        <v>455.565</v>
      </c>
      <c r="I1080" s="4619"/>
      <c r="J1080" s="4619">
        <f>ROUND(I1080*H1080,2)</f>
        <v>0</v>
      </c>
      <c r="K1080" s="4616" t="s">
        <v>142</v>
      </c>
      <c r="L1080" s="2223"/>
      <c r="M1080" s="2224" t="s">
        <v>3146</v>
      </c>
      <c r="N1080" s="2225" t="s">
        <v>3181</v>
      </c>
      <c r="O1080" s="2191">
        <v>0</v>
      </c>
      <c r="P1080" s="2191">
        <f>O1080*H1080</f>
        <v>0</v>
      </c>
      <c r="Q1080" s="2191">
        <v>2.741E-2</v>
      </c>
      <c r="R1080" s="2191">
        <f>Q1080*H1080</f>
        <v>12.48703665</v>
      </c>
      <c r="S1080" s="2191">
        <v>0</v>
      </c>
      <c r="T1080" s="2192">
        <f>S1080*H1080</f>
        <v>0</v>
      </c>
      <c r="AR1080" s="2193" t="s">
        <v>3389</v>
      </c>
      <c r="AT1080" s="2193" t="s">
        <v>135</v>
      </c>
      <c r="AU1080" s="2193" t="s">
        <v>134</v>
      </c>
      <c r="AY1080" s="2056" t="s">
        <v>3285</v>
      </c>
      <c r="BE1080" s="2194">
        <f>IF(N1080="základní",J1080,0)</f>
        <v>0</v>
      </c>
      <c r="BF1080" s="2194">
        <f>IF(N1080="snížená",J1080,0)</f>
        <v>0</v>
      </c>
      <c r="BG1080" s="2194">
        <f>IF(N1080="zákl. přenesená",J1080,0)</f>
        <v>0</v>
      </c>
      <c r="BH1080" s="2194">
        <f>IF(N1080="sníž. přenesená",J1080,0)</f>
        <v>0</v>
      </c>
      <c r="BI1080" s="2194">
        <f>IF(N1080="nulová",J1080,0)</f>
        <v>0</v>
      </c>
      <c r="BJ1080" s="2056" t="s">
        <v>134</v>
      </c>
      <c r="BK1080" s="2194">
        <f>ROUND(I1080*H1080,2)</f>
        <v>0</v>
      </c>
      <c r="BL1080" s="2056" t="s">
        <v>2894</v>
      </c>
      <c r="BM1080" s="2193" t="s">
        <v>5437</v>
      </c>
    </row>
    <row r="1081" spans="2:65" s="2195" customFormat="1">
      <c r="B1081" s="2196"/>
      <c r="D1081" s="2197" t="s">
        <v>3303</v>
      </c>
      <c r="E1081" s="2198"/>
      <c r="F1081" s="2199" t="s">
        <v>5410</v>
      </c>
      <c r="H1081" s="2198" t="s">
        <v>3146</v>
      </c>
      <c r="L1081" s="2196"/>
      <c r="M1081" s="2200"/>
      <c r="T1081" s="2201"/>
      <c r="AT1081" s="2198" t="s">
        <v>3303</v>
      </c>
      <c r="AU1081" s="2198" t="s">
        <v>134</v>
      </c>
      <c r="AV1081" s="2195" t="s">
        <v>133</v>
      </c>
      <c r="AW1081" s="2195" t="s">
        <v>3171</v>
      </c>
      <c r="AX1081" s="2195" t="s">
        <v>3213</v>
      </c>
      <c r="AY1081" s="2198" t="s">
        <v>3285</v>
      </c>
    </row>
    <row r="1082" spans="2:65" s="2209" customFormat="1">
      <c r="B1082" s="2210"/>
      <c r="D1082" s="2197" t="s">
        <v>3303</v>
      </c>
      <c r="E1082" s="2211" t="s">
        <v>3146</v>
      </c>
      <c r="F1082" s="2212" t="s">
        <v>5411</v>
      </c>
      <c r="H1082" s="2213">
        <v>2.75</v>
      </c>
      <c r="L1082" s="2210"/>
      <c r="M1082" s="2214"/>
      <c r="T1082" s="2215"/>
      <c r="AT1082" s="2211" t="s">
        <v>3303</v>
      </c>
      <c r="AU1082" s="2211" t="s">
        <v>134</v>
      </c>
      <c r="AV1082" s="2209" t="s">
        <v>134</v>
      </c>
      <c r="AW1082" s="2209" t="s">
        <v>3171</v>
      </c>
      <c r="AX1082" s="2209" t="s">
        <v>3213</v>
      </c>
      <c r="AY1082" s="2211" t="s">
        <v>3285</v>
      </c>
    </row>
    <row r="1083" spans="2:65" s="2195" customFormat="1">
      <c r="B1083" s="2196"/>
      <c r="D1083" s="2197" t="s">
        <v>3303</v>
      </c>
      <c r="E1083" s="2198" t="s">
        <v>3146</v>
      </c>
      <c r="F1083" s="2199" t="s">
        <v>5412</v>
      </c>
      <c r="H1083" s="2198" t="s">
        <v>3146</v>
      </c>
      <c r="L1083" s="2196"/>
      <c r="M1083" s="2200"/>
      <c r="T1083" s="2201"/>
      <c r="AT1083" s="2198" t="s">
        <v>3303</v>
      </c>
      <c r="AU1083" s="2198" t="s">
        <v>134</v>
      </c>
      <c r="AV1083" s="2195" t="s">
        <v>133</v>
      </c>
      <c r="AW1083" s="2195" t="s">
        <v>3171</v>
      </c>
      <c r="AX1083" s="2195" t="s">
        <v>3213</v>
      </c>
      <c r="AY1083" s="2198" t="s">
        <v>3285</v>
      </c>
    </row>
    <row r="1084" spans="2:65" s="2209" customFormat="1">
      <c r="B1084" s="2210"/>
      <c r="D1084" s="2197" t="s">
        <v>3303</v>
      </c>
      <c r="E1084" s="2211" t="s">
        <v>3146</v>
      </c>
      <c r="F1084" s="2212" t="s">
        <v>5413</v>
      </c>
      <c r="H1084" s="2213">
        <v>3.3</v>
      </c>
      <c r="L1084" s="2210"/>
      <c r="M1084" s="2214"/>
      <c r="T1084" s="2215"/>
      <c r="AT1084" s="2211" t="s">
        <v>3303</v>
      </c>
      <c r="AU1084" s="2211" t="s">
        <v>134</v>
      </c>
      <c r="AV1084" s="2209" t="s">
        <v>134</v>
      </c>
      <c r="AW1084" s="2209" t="s">
        <v>3171</v>
      </c>
      <c r="AX1084" s="2209" t="s">
        <v>3213</v>
      </c>
      <c r="AY1084" s="2211" t="s">
        <v>3285</v>
      </c>
    </row>
    <row r="1085" spans="2:65" s="2195" customFormat="1">
      <c r="B1085" s="2196"/>
      <c r="D1085" s="2197" t="s">
        <v>3303</v>
      </c>
      <c r="E1085" s="2198" t="s">
        <v>3146</v>
      </c>
      <c r="F1085" s="2199" t="s">
        <v>5414</v>
      </c>
      <c r="H1085" s="2198" t="s">
        <v>3146</v>
      </c>
      <c r="L1085" s="2196"/>
      <c r="M1085" s="2200"/>
      <c r="T1085" s="2201"/>
      <c r="AT1085" s="2198" t="s">
        <v>3303</v>
      </c>
      <c r="AU1085" s="2198" t="s">
        <v>134</v>
      </c>
      <c r="AV1085" s="2195" t="s">
        <v>133</v>
      </c>
      <c r="AW1085" s="2195" t="s">
        <v>3171</v>
      </c>
      <c r="AX1085" s="2195" t="s">
        <v>3213</v>
      </c>
      <c r="AY1085" s="2198" t="s">
        <v>3285</v>
      </c>
    </row>
    <row r="1086" spans="2:65" s="2209" customFormat="1">
      <c r="B1086" s="2210"/>
      <c r="D1086" s="2197" t="s">
        <v>3303</v>
      </c>
      <c r="E1086" s="2211" t="s">
        <v>3146</v>
      </c>
      <c r="F1086" s="2212" t="s">
        <v>5415</v>
      </c>
      <c r="H1086" s="2213">
        <v>5.5</v>
      </c>
      <c r="L1086" s="2210"/>
      <c r="M1086" s="2214"/>
      <c r="T1086" s="2215"/>
      <c r="AT1086" s="2211" t="s">
        <v>3303</v>
      </c>
      <c r="AU1086" s="2211" t="s">
        <v>134</v>
      </c>
      <c r="AV1086" s="2209" t="s">
        <v>134</v>
      </c>
      <c r="AW1086" s="2209" t="s">
        <v>3171</v>
      </c>
      <c r="AX1086" s="2209" t="s">
        <v>3213</v>
      </c>
      <c r="AY1086" s="2211" t="s">
        <v>3285</v>
      </c>
    </row>
    <row r="1087" spans="2:65" s="2195" customFormat="1">
      <c r="B1087" s="2196"/>
      <c r="D1087" s="2197" t="s">
        <v>3303</v>
      </c>
      <c r="E1087" s="2198" t="s">
        <v>3146</v>
      </c>
      <c r="F1087" s="2199" t="s">
        <v>5416</v>
      </c>
      <c r="H1087" s="2198" t="s">
        <v>3146</v>
      </c>
      <c r="L1087" s="2196"/>
      <c r="M1087" s="2200"/>
      <c r="T1087" s="2201"/>
      <c r="AT1087" s="2198" t="s">
        <v>3303</v>
      </c>
      <c r="AU1087" s="2198" t="s">
        <v>134</v>
      </c>
      <c r="AV1087" s="2195" t="s">
        <v>133</v>
      </c>
      <c r="AW1087" s="2195" t="s">
        <v>3171</v>
      </c>
      <c r="AX1087" s="2195" t="s">
        <v>3213</v>
      </c>
      <c r="AY1087" s="2198" t="s">
        <v>3285</v>
      </c>
    </row>
    <row r="1088" spans="2:65" s="2209" customFormat="1">
      <c r="B1088" s="2210"/>
      <c r="D1088" s="2197" t="s">
        <v>3303</v>
      </c>
      <c r="E1088" s="2211" t="s">
        <v>3146</v>
      </c>
      <c r="F1088" s="2212" t="s">
        <v>5417</v>
      </c>
      <c r="H1088" s="2213">
        <v>6.6</v>
      </c>
      <c r="L1088" s="2210"/>
      <c r="M1088" s="2214"/>
      <c r="T1088" s="2215"/>
      <c r="AT1088" s="2211" t="s">
        <v>3303</v>
      </c>
      <c r="AU1088" s="2211" t="s">
        <v>134</v>
      </c>
      <c r="AV1088" s="2209" t="s">
        <v>134</v>
      </c>
      <c r="AW1088" s="2209" t="s">
        <v>3171</v>
      </c>
      <c r="AX1088" s="2209" t="s">
        <v>3213</v>
      </c>
      <c r="AY1088" s="2211" t="s">
        <v>3285</v>
      </c>
    </row>
    <row r="1089" spans="2:51" s="2195" customFormat="1">
      <c r="B1089" s="2196"/>
      <c r="D1089" s="2197" t="s">
        <v>3303</v>
      </c>
      <c r="E1089" s="2198" t="s">
        <v>3146</v>
      </c>
      <c r="F1089" s="2199" t="s">
        <v>5418</v>
      </c>
      <c r="H1089" s="2198" t="s">
        <v>3146</v>
      </c>
      <c r="L1089" s="2196"/>
      <c r="M1089" s="2200"/>
      <c r="T1089" s="2201"/>
      <c r="AT1089" s="2198" t="s">
        <v>3303</v>
      </c>
      <c r="AU1089" s="2198" t="s">
        <v>134</v>
      </c>
      <c r="AV1089" s="2195" t="s">
        <v>133</v>
      </c>
      <c r="AW1089" s="2195" t="s">
        <v>3171</v>
      </c>
      <c r="AX1089" s="2195" t="s">
        <v>3213</v>
      </c>
      <c r="AY1089" s="2198" t="s">
        <v>3285</v>
      </c>
    </row>
    <row r="1090" spans="2:51" s="2209" customFormat="1">
      <c r="B1090" s="2210"/>
      <c r="D1090" s="2197" t="s">
        <v>3303</v>
      </c>
      <c r="E1090" s="2211" t="s">
        <v>3146</v>
      </c>
      <c r="F1090" s="2212" t="s">
        <v>5415</v>
      </c>
      <c r="H1090" s="2213">
        <v>5.5</v>
      </c>
      <c r="L1090" s="2210"/>
      <c r="M1090" s="2214"/>
      <c r="T1090" s="2215"/>
      <c r="AT1090" s="2211" t="s">
        <v>3303</v>
      </c>
      <c r="AU1090" s="2211" t="s">
        <v>134</v>
      </c>
      <c r="AV1090" s="2209" t="s">
        <v>134</v>
      </c>
      <c r="AW1090" s="2209" t="s">
        <v>3171</v>
      </c>
      <c r="AX1090" s="2209" t="s">
        <v>3213</v>
      </c>
      <c r="AY1090" s="2211" t="s">
        <v>3285</v>
      </c>
    </row>
    <row r="1091" spans="2:51" s="2202" customFormat="1">
      <c r="B1091" s="2203"/>
      <c r="D1091" s="2197" t="s">
        <v>3303</v>
      </c>
      <c r="E1091" s="2204" t="s">
        <v>3146</v>
      </c>
      <c r="F1091" s="2205" t="s">
        <v>3305</v>
      </c>
      <c r="H1091" s="2206">
        <v>23.65</v>
      </c>
      <c r="L1091" s="2203"/>
      <c r="M1091" s="2207"/>
      <c r="T1091" s="2208"/>
      <c r="AT1091" s="2204" t="s">
        <v>3303</v>
      </c>
      <c r="AU1091" s="2204" t="s">
        <v>134</v>
      </c>
      <c r="AV1091" s="2202" t="s">
        <v>854</v>
      </c>
      <c r="AW1091" s="2202" t="s">
        <v>3171</v>
      </c>
      <c r="AX1091" s="2202" t="s">
        <v>3213</v>
      </c>
      <c r="AY1091" s="2204" t="s">
        <v>3285</v>
      </c>
    </row>
    <row r="1092" spans="2:51" s="2195" customFormat="1">
      <c r="B1092" s="2196"/>
      <c r="D1092" s="2197" t="s">
        <v>3303</v>
      </c>
      <c r="E1092" s="2198" t="s">
        <v>3146</v>
      </c>
      <c r="F1092" s="2199" t="s">
        <v>5419</v>
      </c>
      <c r="H1092" s="2198" t="s">
        <v>3146</v>
      </c>
      <c r="L1092" s="2196"/>
      <c r="M1092" s="2200"/>
      <c r="T1092" s="2201"/>
      <c r="AT1092" s="2198" t="s">
        <v>3303</v>
      </c>
      <c r="AU1092" s="2198" t="s">
        <v>134</v>
      </c>
      <c r="AV1092" s="2195" t="s">
        <v>133</v>
      </c>
      <c r="AW1092" s="2195" t="s">
        <v>3171</v>
      </c>
      <c r="AX1092" s="2195" t="s">
        <v>3213</v>
      </c>
      <c r="AY1092" s="2198" t="s">
        <v>3285</v>
      </c>
    </row>
    <row r="1093" spans="2:51" s="2209" customFormat="1">
      <c r="B1093" s="2210"/>
      <c r="D1093" s="2197" t="s">
        <v>3303</v>
      </c>
      <c r="E1093" s="2211" t="s">
        <v>3146</v>
      </c>
      <c r="F1093" s="2212" t="s">
        <v>5420</v>
      </c>
      <c r="H1093" s="2213">
        <v>99</v>
      </c>
      <c r="L1093" s="2210"/>
      <c r="M1093" s="2214"/>
      <c r="T1093" s="2215"/>
      <c r="AT1093" s="2211" t="s">
        <v>3303</v>
      </c>
      <c r="AU1093" s="2211" t="s">
        <v>134</v>
      </c>
      <c r="AV1093" s="2209" t="s">
        <v>134</v>
      </c>
      <c r="AW1093" s="2209" t="s">
        <v>3171</v>
      </c>
      <c r="AX1093" s="2209" t="s">
        <v>3213</v>
      </c>
      <c r="AY1093" s="2211" t="s">
        <v>3285</v>
      </c>
    </row>
    <row r="1094" spans="2:51" s="2195" customFormat="1">
      <c r="B1094" s="2196"/>
      <c r="D1094" s="2197" t="s">
        <v>3303</v>
      </c>
      <c r="E1094" s="2198" t="s">
        <v>3146</v>
      </c>
      <c r="F1094" s="2199" t="s">
        <v>5421</v>
      </c>
      <c r="H1094" s="2198" t="s">
        <v>3146</v>
      </c>
      <c r="L1094" s="2196"/>
      <c r="M1094" s="2200"/>
      <c r="T1094" s="2201"/>
      <c r="AT1094" s="2198" t="s">
        <v>3303</v>
      </c>
      <c r="AU1094" s="2198" t="s">
        <v>134</v>
      </c>
      <c r="AV1094" s="2195" t="s">
        <v>133</v>
      </c>
      <c r="AW1094" s="2195" t="s">
        <v>3171</v>
      </c>
      <c r="AX1094" s="2195" t="s">
        <v>3213</v>
      </c>
      <c r="AY1094" s="2198" t="s">
        <v>3285</v>
      </c>
    </row>
    <row r="1095" spans="2:51" s="2209" customFormat="1">
      <c r="B1095" s="2210"/>
      <c r="D1095" s="2197" t="s">
        <v>3303</v>
      </c>
      <c r="E1095" s="2211" t="s">
        <v>3146</v>
      </c>
      <c r="F1095" s="2212" t="s">
        <v>5422</v>
      </c>
      <c r="H1095" s="2213">
        <v>5.5</v>
      </c>
      <c r="L1095" s="2210"/>
      <c r="M1095" s="2214"/>
      <c r="T1095" s="2215"/>
      <c r="AT1095" s="2211" t="s">
        <v>3303</v>
      </c>
      <c r="AU1095" s="2211" t="s">
        <v>134</v>
      </c>
      <c r="AV1095" s="2209" t="s">
        <v>134</v>
      </c>
      <c r="AW1095" s="2209" t="s">
        <v>3171</v>
      </c>
      <c r="AX1095" s="2209" t="s">
        <v>3213</v>
      </c>
      <c r="AY1095" s="2211" t="s">
        <v>3285</v>
      </c>
    </row>
    <row r="1096" spans="2:51" s="2195" customFormat="1">
      <c r="B1096" s="2196"/>
      <c r="D1096" s="2197" t="s">
        <v>3303</v>
      </c>
      <c r="E1096" s="2198" t="s">
        <v>3146</v>
      </c>
      <c r="F1096" s="2199" t="s">
        <v>5423</v>
      </c>
      <c r="H1096" s="2198" t="s">
        <v>3146</v>
      </c>
      <c r="L1096" s="2196"/>
      <c r="M1096" s="2200"/>
      <c r="T1096" s="2201"/>
      <c r="AT1096" s="2198" t="s">
        <v>3303</v>
      </c>
      <c r="AU1096" s="2198" t="s">
        <v>134</v>
      </c>
      <c r="AV1096" s="2195" t="s">
        <v>133</v>
      </c>
      <c r="AW1096" s="2195" t="s">
        <v>3171</v>
      </c>
      <c r="AX1096" s="2195" t="s">
        <v>3213</v>
      </c>
      <c r="AY1096" s="2198" t="s">
        <v>3285</v>
      </c>
    </row>
    <row r="1097" spans="2:51" s="2209" customFormat="1">
      <c r="B1097" s="2210"/>
      <c r="D1097" s="2197" t="s">
        <v>3303</v>
      </c>
      <c r="E1097" s="2211" t="s">
        <v>3146</v>
      </c>
      <c r="F1097" s="2212" t="s">
        <v>5424</v>
      </c>
      <c r="H1097" s="2213">
        <v>82.5</v>
      </c>
      <c r="L1097" s="2210"/>
      <c r="M1097" s="2214"/>
      <c r="T1097" s="2215"/>
      <c r="AT1097" s="2211" t="s">
        <v>3303</v>
      </c>
      <c r="AU1097" s="2211" t="s">
        <v>134</v>
      </c>
      <c r="AV1097" s="2209" t="s">
        <v>134</v>
      </c>
      <c r="AW1097" s="2209" t="s">
        <v>3171</v>
      </c>
      <c r="AX1097" s="2209" t="s">
        <v>3213</v>
      </c>
      <c r="AY1097" s="2211" t="s">
        <v>3285</v>
      </c>
    </row>
    <row r="1098" spans="2:51" s="2195" customFormat="1">
      <c r="B1098" s="2196"/>
      <c r="D1098" s="2197" t="s">
        <v>3303</v>
      </c>
      <c r="E1098" s="2198" t="s">
        <v>3146</v>
      </c>
      <c r="F1098" s="2199" t="s">
        <v>5425</v>
      </c>
      <c r="H1098" s="2198" t="s">
        <v>3146</v>
      </c>
      <c r="L1098" s="2196"/>
      <c r="M1098" s="2200"/>
      <c r="T1098" s="2201"/>
      <c r="AT1098" s="2198" t="s">
        <v>3303</v>
      </c>
      <c r="AU1098" s="2198" t="s">
        <v>134</v>
      </c>
      <c r="AV1098" s="2195" t="s">
        <v>133</v>
      </c>
      <c r="AW1098" s="2195" t="s">
        <v>3171</v>
      </c>
      <c r="AX1098" s="2195" t="s">
        <v>3213</v>
      </c>
      <c r="AY1098" s="2198" t="s">
        <v>3285</v>
      </c>
    </row>
    <row r="1099" spans="2:51" s="2209" customFormat="1">
      <c r="B1099" s="2210"/>
      <c r="D1099" s="2197" t="s">
        <v>3303</v>
      </c>
      <c r="E1099" s="2211" t="s">
        <v>3146</v>
      </c>
      <c r="F1099" s="2212" t="s">
        <v>5426</v>
      </c>
      <c r="H1099" s="2213">
        <v>16.5</v>
      </c>
      <c r="L1099" s="2210"/>
      <c r="M1099" s="2214"/>
      <c r="T1099" s="2215"/>
      <c r="AT1099" s="2211" t="s">
        <v>3303</v>
      </c>
      <c r="AU1099" s="2211" t="s">
        <v>134</v>
      </c>
      <c r="AV1099" s="2209" t="s">
        <v>134</v>
      </c>
      <c r="AW1099" s="2209" t="s">
        <v>3171</v>
      </c>
      <c r="AX1099" s="2209" t="s">
        <v>3213</v>
      </c>
      <c r="AY1099" s="2211" t="s">
        <v>3285</v>
      </c>
    </row>
    <row r="1100" spans="2:51" s="2195" customFormat="1">
      <c r="B1100" s="2196"/>
      <c r="D1100" s="2197" t="s">
        <v>3303</v>
      </c>
      <c r="E1100" s="2198" t="s">
        <v>3146</v>
      </c>
      <c r="F1100" s="2199" t="s">
        <v>5427</v>
      </c>
      <c r="H1100" s="2198" t="s">
        <v>3146</v>
      </c>
      <c r="L1100" s="2196"/>
      <c r="M1100" s="2200"/>
      <c r="T1100" s="2201"/>
      <c r="AT1100" s="2198" t="s">
        <v>3303</v>
      </c>
      <c r="AU1100" s="2198" t="s">
        <v>134</v>
      </c>
      <c r="AV1100" s="2195" t="s">
        <v>133</v>
      </c>
      <c r="AW1100" s="2195" t="s">
        <v>3171</v>
      </c>
      <c r="AX1100" s="2195" t="s">
        <v>3213</v>
      </c>
      <c r="AY1100" s="2198" t="s">
        <v>3285</v>
      </c>
    </row>
    <row r="1101" spans="2:51" s="2209" customFormat="1">
      <c r="B1101" s="2210"/>
      <c r="D1101" s="2197" t="s">
        <v>3303</v>
      </c>
      <c r="E1101" s="2211" t="s">
        <v>3146</v>
      </c>
      <c r="F1101" s="2212" t="s">
        <v>5428</v>
      </c>
      <c r="H1101" s="2213">
        <v>66</v>
      </c>
      <c r="L1101" s="2210"/>
      <c r="M1101" s="2214"/>
      <c r="T1101" s="2215"/>
      <c r="AT1101" s="2211" t="s">
        <v>3303</v>
      </c>
      <c r="AU1101" s="2211" t="s">
        <v>134</v>
      </c>
      <c r="AV1101" s="2209" t="s">
        <v>134</v>
      </c>
      <c r="AW1101" s="2209" t="s">
        <v>3171</v>
      </c>
      <c r="AX1101" s="2209" t="s">
        <v>3213</v>
      </c>
      <c r="AY1101" s="2211" t="s">
        <v>3285</v>
      </c>
    </row>
    <row r="1102" spans="2:51" s="2195" customFormat="1">
      <c r="B1102" s="2196"/>
      <c r="D1102" s="2197" t="s">
        <v>3303</v>
      </c>
      <c r="E1102" s="2198" t="s">
        <v>3146</v>
      </c>
      <c r="F1102" s="2199" t="s">
        <v>5429</v>
      </c>
      <c r="H1102" s="2198" t="s">
        <v>3146</v>
      </c>
      <c r="L1102" s="2196"/>
      <c r="M1102" s="2200"/>
      <c r="T1102" s="2201"/>
      <c r="AT1102" s="2198" t="s">
        <v>3303</v>
      </c>
      <c r="AU1102" s="2198" t="s">
        <v>134</v>
      </c>
      <c r="AV1102" s="2195" t="s">
        <v>133</v>
      </c>
      <c r="AW1102" s="2195" t="s">
        <v>3171</v>
      </c>
      <c r="AX1102" s="2195" t="s">
        <v>3213</v>
      </c>
      <c r="AY1102" s="2198" t="s">
        <v>3285</v>
      </c>
    </row>
    <row r="1103" spans="2:51" s="2209" customFormat="1">
      <c r="B1103" s="2210"/>
      <c r="D1103" s="2197" t="s">
        <v>3303</v>
      </c>
      <c r="E1103" s="2211" t="s">
        <v>3146</v>
      </c>
      <c r="F1103" s="2212" t="s">
        <v>5422</v>
      </c>
      <c r="H1103" s="2213">
        <v>5.5</v>
      </c>
      <c r="L1103" s="2210"/>
      <c r="M1103" s="2214"/>
      <c r="T1103" s="2215"/>
      <c r="AT1103" s="2211" t="s">
        <v>3303</v>
      </c>
      <c r="AU1103" s="2211" t="s">
        <v>134</v>
      </c>
      <c r="AV1103" s="2209" t="s">
        <v>134</v>
      </c>
      <c r="AW1103" s="2209" t="s">
        <v>3171</v>
      </c>
      <c r="AX1103" s="2209" t="s">
        <v>3213</v>
      </c>
      <c r="AY1103" s="2211" t="s">
        <v>3285</v>
      </c>
    </row>
    <row r="1104" spans="2:51" s="2195" customFormat="1">
      <c r="B1104" s="2196"/>
      <c r="D1104" s="2197" t="s">
        <v>3303</v>
      </c>
      <c r="E1104" s="2198" t="s">
        <v>3146</v>
      </c>
      <c r="F1104" s="2199" t="s">
        <v>5430</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2212" t="s">
        <v>5431</v>
      </c>
      <c r="H1105" s="2213">
        <v>88</v>
      </c>
      <c r="L1105" s="2210"/>
      <c r="M1105" s="2214"/>
      <c r="T1105" s="2215"/>
      <c r="AT1105" s="2211" t="s">
        <v>3303</v>
      </c>
      <c r="AU1105" s="2211" t="s">
        <v>134</v>
      </c>
      <c r="AV1105" s="2209" t="s">
        <v>134</v>
      </c>
      <c r="AW1105" s="2209" t="s">
        <v>3171</v>
      </c>
      <c r="AX1105" s="2209" t="s">
        <v>3213</v>
      </c>
      <c r="AY1105" s="2211" t="s">
        <v>3285</v>
      </c>
    </row>
    <row r="1106" spans="2:65" s="2195" customFormat="1">
      <c r="B1106" s="2196"/>
      <c r="D1106" s="2197" t="s">
        <v>3303</v>
      </c>
      <c r="E1106" s="2198" t="s">
        <v>3146</v>
      </c>
      <c r="F1106" s="2199" t="s">
        <v>5432</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2212" t="s">
        <v>5422</v>
      </c>
      <c r="H1107" s="2213">
        <v>5.5</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5433</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2212" t="s">
        <v>5426</v>
      </c>
      <c r="H1109" s="2213">
        <v>16.5</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5434</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2212" t="s">
        <v>5422</v>
      </c>
      <c r="H1111" s="2213">
        <v>5.5</v>
      </c>
      <c r="L1111" s="2210"/>
      <c r="M1111" s="2214"/>
      <c r="T1111" s="2215"/>
      <c r="AT1111" s="2211" t="s">
        <v>3303</v>
      </c>
      <c r="AU1111" s="2211" t="s">
        <v>134</v>
      </c>
      <c r="AV1111" s="2209" t="s">
        <v>134</v>
      </c>
      <c r="AW1111" s="2209" t="s">
        <v>3171</v>
      </c>
      <c r="AX1111" s="2209" t="s">
        <v>3213</v>
      </c>
      <c r="AY1111" s="2211" t="s">
        <v>3285</v>
      </c>
    </row>
    <row r="1112" spans="2:65" s="2202" customFormat="1">
      <c r="B1112" s="2203"/>
      <c r="D1112" s="2197" t="s">
        <v>3303</v>
      </c>
      <c r="E1112" s="2204" t="s">
        <v>3146</v>
      </c>
      <c r="F1112" s="2205" t="s">
        <v>3305</v>
      </c>
      <c r="H1112" s="2206">
        <v>390.5</v>
      </c>
      <c r="L1112" s="2203"/>
      <c r="M1112" s="2207"/>
      <c r="T1112" s="2208"/>
      <c r="AT1112" s="2204" t="s">
        <v>3303</v>
      </c>
      <c r="AU1112" s="2204" t="s">
        <v>134</v>
      </c>
      <c r="AV1112" s="2202" t="s">
        <v>854</v>
      </c>
      <c r="AW1112" s="2202" t="s">
        <v>3171</v>
      </c>
      <c r="AX1112" s="2202" t="s">
        <v>3213</v>
      </c>
      <c r="AY1112" s="2204" t="s">
        <v>3285</v>
      </c>
    </row>
    <row r="1113" spans="2:65" s="2216" customFormat="1">
      <c r="B1113" s="2217"/>
      <c r="D1113" s="2197" t="s">
        <v>3303</v>
      </c>
      <c r="E1113" s="2218" t="s">
        <v>3146</v>
      </c>
      <c r="F1113" s="2219" t="s">
        <v>3306</v>
      </c>
      <c r="H1113" s="2220">
        <v>414.15</v>
      </c>
      <c r="L1113" s="2217"/>
      <c r="M1113" s="2221"/>
      <c r="T1113" s="2222"/>
      <c r="AT1113" s="2218" t="s">
        <v>3303</v>
      </c>
      <c r="AU1113" s="2218" t="s">
        <v>134</v>
      </c>
      <c r="AV1113" s="2216" t="s">
        <v>856</v>
      </c>
      <c r="AW1113" s="2216" t="s">
        <v>3171</v>
      </c>
      <c r="AX1113" s="2216" t="s">
        <v>133</v>
      </c>
      <c r="AY1113" s="2218" t="s">
        <v>3285</v>
      </c>
    </row>
    <row r="1114" spans="2:65" s="2209" customFormat="1">
      <c r="B1114" s="2210"/>
      <c r="D1114" s="2197" t="s">
        <v>3303</v>
      </c>
      <c r="F1114" s="2212" t="s">
        <v>5438</v>
      </c>
      <c r="H1114" s="2213">
        <v>455.565</v>
      </c>
      <c r="L1114" s="2210"/>
      <c r="M1114" s="2214"/>
      <c r="T1114" s="2215"/>
      <c r="AT1114" s="2211" t="s">
        <v>3303</v>
      </c>
      <c r="AU1114" s="2211" t="s">
        <v>134</v>
      </c>
      <c r="AV1114" s="2209" t="s">
        <v>134</v>
      </c>
      <c r="AW1114" s="2209" t="s">
        <v>3148</v>
      </c>
      <c r="AX1114" s="2209" t="s">
        <v>133</v>
      </c>
      <c r="AY1114" s="2211" t="s">
        <v>3285</v>
      </c>
    </row>
    <row r="1115" spans="2:65" s="2070" customFormat="1" ht="24.2" customHeight="1">
      <c r="B1115" s="2164"/>
      <c r="C1115" s="4608" t="s">
        <v>4611</v>
      </c>
      <c r="D1115" s="4608" t="s">
        <v>3286</v>
      </c>
      <c r="E1115" s="4609" t="s">
        <v>5439</v>
      </c>
      <c r="F1115" s="4610" t="s">
        <v>5440</v>
      </c>
      <c r="G1115" s="4611" t="s">
        <v>611</v>
      </c>
      <c r="H1115" s="4612">
        <v>66</v>
      </c>
      <c r="I1115" s="4613"/>
      <c r="J1115" s="4613">
        <f>ROUND(I1115*H1115,2)</f>
        <v>0</v>
      </c>
      <c r="K1115" s="4610" t="s">
        <v>142</v>
      </c>
      <c r="L1115" s="2071"/>
      <c r="M1115" s="2190" t="s">
        <v>3146</v>
      </c>
      <c r="N1115" s="2163" t="s">
        <v>3181</v>
      </c>
      <c r="O1115" s="2191">
        <v>1.8149999999999999</v>
      </c>
      <c r="P1115" s="2191">
        <f>O1115*H1115</f>
        <v>119.78999999999999</v>
      </c>
      <c r="Q1115" s="2191">
        <v>2.5999999999999998E-4</v>
      </c>
      <c r="R1115" s="2191">
        <f>Q1115*H1115</f>
        <v>1.7159999999999998E-2</v>
      </c>
      <c r="S1115" s="2191">
        <v>0</v>
      </c>
      <c r="T1115" s="2192">
        <f>S1115*H1115</f>
        <v>0</v>
      </c>
      <c r="AR1115" s="2193" t="s">
        <v>2894</v>
      </c>
      <c r="AT1115" s="2193" t="s">
        <v>3286</v>
      </c>
      <c r="AU1115" s="2193" t="s">
        <v>134</v>
      </c>
      <c r="AY1115" s="2056" t="s">
        <v>3285</v>
      </c>
      <c r="BE1115" s="2194">
        <f>IF(N1115="základní",J1115,0)</f>
        <v>0</v>
      </c>
      <c r="BF1115" s="2194">
        <f>IF(N1115="snížená",J1115,0)</f>
        <v>0</v>
      </c>
      <c r="BG1115" s="2194">
        <f>IF(N1115="zákl. přenesená",J1115,0)</f>
        <v>0</v>
      </c>
      <c r="BH1115" s="2194">
        <f>IF(N1115="sníž. přenesená",J1115,0)</f>
        <v>0</v>
      </c>
      <c r="BI1115" s="2194">
        <f>IF(N1115="nulová",J1115,0)</f>
        <v>0</v>
      </c>
      <c r="BJ1115" s="2056" t="s">
        <v>134</v>
      </c>
      <c r="BK1115" s="2194">
        <f>ROUND(I1115*H1115,2)</f>
        <v>0</v>
      </c>
      <c r="BL1115" s="2056" t="s">
        <v>2894</v>
      </c>
      <c r="BM1115" s="2193" t="s">
        <v>5441</v>
      </c>
    </row>
    <row r="1116" spans="2:65" s="2195" customFormat="1">
      <c r="B1116" s="2196"/>
      <c r="D1116" s="2197" t="s">
        <v>3303</v>
      </c>
      <c r="E1116" s="2198" t="s">
        <v>3146</v>
      </c>
      <c r="F1116" s="2199" t="s">
        <v>5442</v>
      </c>
      <c r="H1116" s="2198" t="s">
        <v>3146</v>
      </c>
      <c r="L1116" s="2196"/>
      <c r="M1116" s="2200"/>
      <c r="T1116" s="2201"/>
      <c r="AT1116" s="2198" t="s">
        <v>3303</v>
      </c>
      <c r="AU1116" s="2198" t="s">
        <v>134</v>
      </c>
      <c r="AV1116" s="2195" t="s">
        <v>133</v>
      </c>
      <c r="AW1116" s="2195" t="s">
        <v>3171</v>
      </c>
      <c r="AX1116" s="2195" t="s">
        <v>3213</v>
      </c>
      <c r="AY1116" s="2198" t="s">
        <v>3285</v>
      </c>
    </row>
    <row r="1117" spans="2:65" s="2209" customFormat="1">
      <c r="B1117" s="2210"/>
      <c r="D1117" s="2197" t="s">
        <v>3303</v>
      </c>
      <c r="E1117" s="2211" t="s">
        <v>3146</v>
      </c>
      <c r="F1117" s="2212" t="s">
        <v>5443</v>
      </c>
      <c r="H1117" s="2213">
        <v>11</v>
      </c>
      <c r="L1117" s="2210"/>
      <c r="M1117" s="2214"/>
      <c r="T1117" s="2215"/>
      <c r="AT1117" s="2211" t="s">
        <v>3303</v>
      </c>
      <c r="AU1117" s="2211" t="s">
        <v>134</v>
      </c>
      <c r="AV1117" s="2209" t="s">
        <v>134</v>
      </c>
      <c r="AW1117" s="2209" t="s">
        <v>3171</v>
      </c>
      <c r="AX1117" s="2209" t="s">
        <v>3213</v>
      </c>
      <c r="AY1117" s="2211" t="s">
        <v>3285</v>
      </c>
    </row>
    <row r="1118" spans="2:65" s="2195" customFormat="1">
      <c r="B1118" s="2196"/>
      <c r="D1118" s="2197" t="s">
        <v>3303</v>
      </c>
      <c r="E1118" s="2198" t="s">
        <v>3146</v>
      </c>
      <c r="F1118" s="2199" t="s">
        <v>5444</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5445</v>
      </c>
      <c r="H1119" s="2213">
        <v>27.5</v>
      </c>
      <c r="L1119" s="2210"/>
      <c r="M1119" s="2214"/>
      <c r="T1119" s="2215"/>
      <c r="AT1119" s="2211" t="s">
        <v>3303</v>
      </c>
      <c r="AU1119" s="2211" t="s">
        <v>134</v>
      </c>
      <c r="AV1119" s="2209" t="s">
        <v>134</v>
      </c>
      <c r="AW1119" s="2209" t="s">
        <v>3171</v>
      </c>
      <c r="AX1119" s="2209" t="s">
        <v>3213</v>
      </c>
      <c r="AY1119" s="2211" t="s">
        <v>3285</v>
      </c>
    </row>
    <row r="1120" spans="2:65" s="2195" customFormat="1">
      <c r="B1120" s="2196"/>
      <c r="D1120" s="2197" t="s">
        <v>3303</v>
      </c>
      <c r="E1120" s="2198" t="s">
        <v>3146</v>
      </c>
      <c r="F1120" s="2199" t="s">
        <v>5446</v>
      </c>
      <c r="H1120" s="2198" t="s">
        <v>3146</v>
      </c>
      <c r="L1120" s="2196"/>
      <c r="M1120" s="2200"/>
      <c r="T1120" s="2201"/>
      <c r="AT1120" s="2198" t="s">
        <v>3303</v>
      </c>
      <c r="AU1120" s="2198" t="s">
        <v>134</v>
      </c>
      <c r="AV1120" s="2195" t="s">
        <v>133</v>
      </c>
      <c r="AW1120" s="2195" t="s">
        <v>3171</v>
      </c>
      <c r="AX1120" s="2195" t="s">
        <v>3213</v>
      </c>
      <c r="AY1120" s="2198" t="s">
        <v>3285</v>
      </c>
    </row>
    <row r="1121" spans="2:65" s="2209" customFormat="1">
      <c r="B1121" s="2210"/>
      <c r="D1121" s="2197" t="s">
        <v>3303</v>
      </c>
      <c r="E1121" s="2211" t="s">
        <v>3146</v>
      </c>
      <c r="F1121" s="2212" t="s">
        <v>5445</v>
      </c>
      <c r="H1121" s="2213">
        <v>27.5</v>
      </c>
      <c r="L1121" s="2210"/>
      <c r="M1121" s="2214"/>
      <c r="T1121" s="2215"/>
      <c r="AT1121" s="2211" t="s">
        <v>3303</v>
      </c>
      <c r="AU1121" s="2211" t="s">
        <v>134</v>
      </c>
      <c r="AV1121" s="2209" t="s">
        <v>134</v>
      </c>
      <c r="AW1121" s="2209" t="s">
        <v>3171</v>
      </c>
      <c r="AX1121" s="2209" t="s">
        <v>3213</v>
      </c>
      <c r="AY1121" s="2211" t="s">
        <v>3285</v>
      </c>
    </row>
    <row r="1122" spans="2:65" s="2216" customFormat="1">
      <c r="B1122" s="2217"/>
      <c r="D1122" s="2197" t="s">
        <v>3303</v>
      </c>
      <c r="E1122" s="2218" t="s">
        <v>3146</v>
      </c>
      <c r="F1122" s="2219" t="s">
        <v>3306</v>
      </c>
      <c r="H1122" s="2220">
        <v>66</v>
      </c>
      <c r="L1122" s="2217"/>
      <c r="M1122" s="2221"/>
      <c r="T1122" s="2222"/>
      <c r="AT1122" s="2218" t="s">
        <v>3303</v>
      </c>
      <c r="AU1122" s="2218" t="s">
        <v>134</v>
      </c>
      <c r="AV1122" s="2216" t="s">
        <v>856</v>
      </c>
      <c r="AW1122" s="2216" t="s">
        <v>3171</v>
      </c>
      <c r="AX1122" s="2216" t="s">
        <v>133</v>
      </c>
      <c r="AY1122" s="2218" t="s">
        <v>3285</v>
      </c>
    </row>
    <row r="1123" spans="2:65" s="2070" customFormat="1" ht="24.2" customHeight="1">
      <c r="B1123" s="2164"/>
      <c r="C1123" s="4614" t="s">
        <v>4616</v>
      </c>
      <c r="D1123" s="4614" t="s">
        <v>135</v>
      </c>
      <c r="E1123" s="4615" t="s">
        <v>5435</v>
      </c>
      <c r="F1123" s="4616" t="s">
        <v>5436</v>
      </c>
      <c r="G1123" s="4617" t="s">
        <v>611</v>
      </c>
      <c r="H1123" s="4618">
        <v>72.599999999999994</v>
      </c>
      <c r="I1123" s="4619"/>
      <c r="J1123" s="4619">
        <f>ROUND(I1123*H1123,2)</f>
        <v>0</v>
      </c>
      <c r="K1123" s="4616" t="s">
        <v>142</v>
      </c>
      <c r="L1123" s="2223"/>
      <c r="M1123" s="2224" t="s">
        <v>3146</v>
      </c>
      <c r="N1123" s="2225" t="s">
        <v>3181</v>
      </c>
      <c r="O1123" s="2191">
        <v>0</v>
      </c>
      <c r="P1123" s="2191">
        <f>O1123*H1123</f>
        <v>0</v>
      </c>
      <c r="Q1123" s="2191">
        <v>2.741E-2</v>
      </c>
      <c r="R1123" s="2191">
        <f>Q1123*H1123</f>
        <v>1.9899659999999999</v>
      </c>
      <c r="S1123" s="2191">
        <v>0</v>
      </c>
      <c r="T1123" s="2192">
        <f>S1123*H1123</f>
        <v>0</v>
      </c>
      <c r="AR1123" s="2193" t="s">
        <v>3389</v>
      </c>
      <c r="AT1123" s="2193" t="s">
        <v>135</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5447</v>
      </c>
    </row>
    <row r="1124" spans="2:65" s="2195" customFormat="1">
      <c r="B1124" s="2196"/>
      <c r="D1124" s="2197" t="s">
        <v>3303</v>
      </c>
      <c r="E1124" s="2198" t="s">
        <v>3146</v>
      </c>
      <c r="F1124" s="2199" t="s">
        <v>5442</v>
      </c>
      <c r="H1124" s="2198" t="s">
        <v>3146</v>
      </c>
      <c r="L1124" s="2196"/>
      <c r="M1124" s="2200"/>
      <c r="T1124" s="2201"/>
      <c r="AT1124" s="2198" t="s">
        <v>3303</v>
      </c>
      <c r="AU1124" s="2198" t="s">
        <v>134</v>
      </c>
      <c r="AV1124" s="2195" t="s">
        <v>133</v>
      </c>
      <c r="AW1124" s="2195" t="s">
        <v>3171</v>
      </c>
      <c r="AX1124" s="2195" t="s">
        <v>3213</v>
      </c>
      <c r="AY1124" s="2198" t="s">
        <v>3285</v>
      </c>
    </row>
    <row r="1125" spans="2:65" s="2209" customFormat="1">
      <c r="B1125" s="2210"/>
      <c r="D1125" s="2197" t="s">
        <v>3303</v>
      </c>
      <c r="E1125" s="2211" t="s">
        <v>3146</v>
      </c>
      <c r="F1125" s="2212" t="s">
        <v>5443</v>
      </c>
      <c r="H1125" s="2213">
        <v>11</v>
      </c>
      <c r="L1125" s="2210"/>
      <c r="M1125" s="2214"/>
      <c r="T1125" s="2215"/>
      <c r="AT1125" s="2211" t="s">
        <v>3303</v>
      </c>
      <c r="AU1125" s="2211" t="s">
        <v>134</v>
      </c>
      <c r="AV1125" s="2209" t="s">
        <v>134</v>
      </c>
      <c r="AW1125" s="2209" t="s">
        <v>3171</v>
      </c>
      <c r="AX1125" s="2209" t="s">
        <v>3213</v>
      </c>
      <c r="AY1125" s="2211" t="s">
        <v>3285</v>
      </c>
    </row>
    <row r="1126" spans="2:65" s="2195" customFormat="1">
      <c r="B1126" s="2196"/>
      <c r="D1126" s="2197" t="s">
        <v>3303</v>
      </c>
      <c r="E1126" s="2198" t="s">
        <v>3146</v>
      </c>
      <c r="F1126" s="2199" t="s">
        <v>5444</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5445</v>
      </c>
      <c r="H1127" s="2213">
        <v>27.5</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5446</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5445</v>
      </c>
      <c r="H1129" s="2213">
        <v>27.5</v>
      </c>
      <c r="L1129" s="2210"/>
      <c r="M1129" s="2214"/>
      <c r="T1129" s="2215"/>
      <c r="AT1129" s="2211" t="s">
        <v>3303</v>
      </c>
      <c r="AU1129" s="2211" t="s">
        <v>134</v>
      </c>
      <c r="AV1129" s="2209" t="s">
        <v>134</v>
      </c>
      <c r="AW1129" s="2209" t="s">
        <v>3171</v>
      </c>
      <c r="AX1129" s="2209" t="s">
        <v>3213</v>
      </c>
      <c r="AY1129" s="2211" t="s">
        <v>3285</v>
      </c>
    </row>
    <row r="1130" spans="2:65" s="2216" customFormat="1">
      <c r="B1130" s="2217"/>
      <c r="D1130" s="2197" t="s">
        <v>3303</v>
      </c>
      <c r="E1130" s="2218" t="s">
        <v>3146</v>
      </c>
      <c r="F1130" s="2219" t="s">
        <v>3306</v>
      </c>
      <c r="H1130" s="2220">
        <v>66</v>
      </c>
      <c r="L1130" s="2217"/>
      <c r="M1130" s="2221"/>
      <c r="T1130" s="2222"/>
      <c r="AT1130" s="2218" t="s">
        <v>3303</v>
      </c>
      <c r="AU1130" s="2218" t="s">
        <v>134</v>
      </c>
      <c r="AV1130" s="2216" t="s">
        <v>856</v>
      </c>
      <c r="AW1130" s="2216" t="s">
        <v>3171</v>
      </c>
      <c r="AX1130" s="2216" t="s">
        <v>133</v>
      </c>
      <c r="AY1130" s="2218" t="s">
        <v>3285</v>
      </c>
    </row>
    <row r="1131" spans="2:65" s="2209" customFormat="1">
      <c r="B1131" s="2210"/>
      <c r="D1131" s="2197" t="s">
        <v>3303</v>
      </c>
      <c r="F1131" s="2212" t="s">
        <v>5448</v>
      </c>
      <c r="H1131" s="2213">
        <v>72.599999999999994</v>
      </c>
      <c r="L1131" s="2210"/>
      <c r="M1131" s="2214"/>
      <c r="T1131" s="2215"/>
      <c r="AT1131" s="2211" t="s">
        <v>3303</v>
      </c>
      <c r="AU1131" s="2211" t="s">
        <v>134</v>
      </c>
      <c r="AV1131" s="2209" t="s">
        <v>134</v>
      </c>
      <c r="AW1131" s="2209" t="s">
        <v>3148</v>
      </c>
      <c r="AX1131" s="2209" t="s">
        <v>133</v>
      </c>
      <c r="AY1131" s="2211" t="s">
        <v>3285</v>
      </c>
    </row>
    <row r="1132" spans="2:65" s="2070" customFormat="1" ht="16.5" customHeight="1">
      <c r="B1132" s="2164"/>
      <c r="C1132" s="4608" t="s">
        <v>4618</v>
      </c>
      <c r="D1132" s="4608" t="s">
        <v>3286</v>
      </c>
      <c r="E1132" s="4609" t="s">
        <v>5449</v>
      </c>
      <c r="F1132" s="4610" t="s">
        <v>5450</v>
      </c>
      <c r="G1132" s="4611" t="s">
        <v>155</v>
      </c>
      <c r="H1132" s="4612">
        <v>13</v>
      </c>
      <c r="I1132" s="4613"/>
      <c r="J1132" s="4613">
        <f>ROUND(I1132*H1132,2)</f>
        <v>0</v>
      </c>
      <c r="K1132" s="4610" t="s">
        <v>142</v>
      </c>
      <c r="L1132" s="2071"/>
      <c r="M1132" s="2190" t="s">
        <v>3146</v>
      </c>
      <c r="N1132" s="2163" t="s">
        <v>3181</v>
      </c>
      <c r="O1132" s="2191">
        <v>0.36399999999999999</v>
      </c>
      <c r="P1132" s="2191">
        <f>O1132*H1132</f>
        <v>4.7320000000000002</v>
      </c>
      <c r="Q1132" s="2191">
        <v>0</v>
      </c>
      <c r="R1132" s="2191">
        <f>Q1132*H1132</f>
        <v>0</v>
      </c>
      <c r="S1132" s="2191">
        <v>0</v>
      </c>
      <c r="T1132" s="2192">
        <f>S1132*H1132</f>
        <v>0</v>
      </c>
      <c r="AR1132" s="2193" t="s">
        <v>2894</v>
      </c>
      <c r="AT1132" s="2193" t="s">
        <v>3286</v>
      </c>
      <c r="AU1132" s="2193" t="s">
        <v>134</v>
      </c>
      <c r="AY1132" s="2056" t="s">
        <v>3285</v>
      </c>
      <c r="BE1132" s="2194">
        <f>IF(N1132="základní",J1132,0)</f>
        <v>0</v>
      </c>
      <c r="BF1132" s="2194">
        <f>IF(N1132="snížená",J1132,0)</f>
        <v>0</v>
      </c>
      <c r="BG1132" s="2194">
        <f>IF(N1132="zákl. přenesená",J1132,0)</f>
        <v>0</v>
      </c>
      <c r="BH1132" s="2194">
        <f>IF(N1132="sníž. přenesená",J1132,0)</f>
        <v>0</v>
      </c>
      <c r="BI1132" s="2194">
        <f>IF(N1132="nulová",J1132,0)</f>
        <v>0</v>
      </c>
      <c r="BJ1132" s="2056" t="s">
        <v>134</v>
      </c>
      <c r="BK1132" s="2194">
        <f>ROUND(I1132*H1132,2)</f>
        <v>0</v>
      </c>
      <c r="BL1132" s="2056" t="s">
        <v>2894</v>
      </c>
      <c r="BM1132" s="2193" t="s">
        <v>5451</v>
      </c>
    </row>
    <row r="1133" spans="2:65" s="2195" customFormat="1">
      <c r="B1133" s="2196"/>
      <c r="D1133" s="2197" t="s">
        <v>3303</v>
      </c>
      <c r="E1133" s="2198" t="s">
        <v>3146</v>
      </c>
      <c r="F1133" s="2199" t="s">
        <v>5049</v>
      </c>
      <c r="H1133" s="2198" t="s">
        <v>3146</v>
      </c>
      <c r="L1133" s="2196"/>
      <c r="M1133" s="2200"/>
      <c r="T1133" s="2201"/>
      <c r="AT1133" s="2198" t="s">
        <v>3303</v>
      </c>
      <c r="AU1133" s="2198" t="s">
        <v>134</v>
      </c>
      <c r="AV1133" s="2195" t="s">
        <v>133</v>
      </c>
      <c r="AW1133" s="2195" t="s">
        <v>3171</v>
      </c>
      <c r="AX1133" s="2195" t="s">
        <v>3213</v>
      </c>
      <c r="AY1133" s="2198" t="s">
        <v>3285</v>
      </c>
    </row>
    <row r="1134" spans="2:65" s="2209" customFormat="1">
      <c r="B1134" s="2210"/>
      <c r="D1134" s="2197" t="s">
        <v>3303</v>
      </c>
      <c r="E1134" s="2211" t="s">
        <v>3146</v>
      </c>
      <c r="F1134" s="2212" t="s">
        <v>858</v>
      </c>
      <c r="H1134" s="2213">
        <v>5</v>
      </c>
      <c r="L1134" s="2210"/>
      <c r="M1134" s="2214"/>
      <c r="T1134" s="2215"/>
      <c r="AT1134" s="2211" t="s">
        <v>3303</v>
      </c>
      <c r="AU1134" s="2211" t="s">
        <v>134</v>
      </c>
      <c r="AV1134" s="2209" t="s">
        <v>134</v>
      </c>
      <c r="AW1134" s="2209" t="s">
        <v>3171</v>
      </c>
      <c r="AX1134" s="2209" t="s">
        <v>3213</v>
      </c>
      <c r="AY1134" s="2211" t="s">
        <v>3285</v>
      </c>
    </row>
    <row r="1135" spans="2:65" s="2195" customFormat="1">
      <c r="B1135" s="2196"/>
      <c r="D1135" s="2197" t="s">
        <v>3303</v>
      </c>
      <c r="E1135" s="2198" t="s">
        <v>3146</v>
      </c>
      <c r="F1135" s="2199" t="s">
        <v>5051</v>
      </c>
      <c r="H1135" s="2198" t="s">
        <v>3146</v>
      </c>
      <c r="L1135" s="2196"/>
      <c r="M1135" s="2200"/>
      <c r="T1135" s="2201"/>
      <c r="AT1135" s="2198" t="s">
        <v>3303</v>
      </c>
      <c r="AU1135" s="2198" t="s">
        <v>134</v>
      </c>
      <c r="AV1135" s="2195" t="s">
        <v>133</v>
      </c>
      <c r="AW1135" s="2195" t="s">
        <v>3171</v>
      </c>
      <c r="AX1135" s="2195" t="s">
        <v>3213</v>
      </c>
      <c r="AY1135" s="2198" t="s">
        <v>3285</v>
      </c>
    </row>
    <row r="1136" spans="2:65" s="2209" customFormat="1">
      <c r="B1136" s="2210"/>
      <c r="D1136" s="2197" t="s">
        <v>3303</v>
      </c>
      <c r="E1136" s="2211" t="s">
        <v>3146</v>
      </c>
      <c r="F1136" s="2212" t="s">
        <v>134</v>
      </c>
      <c r="H1136" s="2213">
        <v>2</v>
      </c>
      <c r="L1136" s="2210"/>
      <c r="M1136" s="2214"/>
      <c r="T1136" s="2215"/>
      <c r="AT1136" s="2211" t="s">
        <v>3303</v>
      </c>
      <c r="AU1136" s="2211" t="s">
        <v>134</v>
      </c>
      <c r="AV1136" s="2209" t="s">
        <v>134</v>
      </c>
      <c r="AW1136" s="2209" t="s">
        <v>3171</v>
      </c>
      <c r="AX1136" s="2209" t="s">
        <v>3213</v>
      </c>
      <c r="AY1136" s="2211" t="s">
        <v>3285</v>
      </c>
    </row>
    <row r="1137" spans="2:65" s="2195" customFormat="1">
      <c r="B1137" s="2196"/>
      <c r="D1137" s="2197" t="s">
        <v>3303</v>
      </c>
      <c r="E1137" s="2198" t="s">
        <v>3146</v>
      </c>
      <c r="F1137" s="2199" t="s">
        <v>5421</v>
      </c>
      <c r="H1137" s="2198" t="s">
        <v>3146</v>
      </c>
      <c r="L1137" s="2196"/>
      <c r="M1137" s="2200"/>
      <c r="T1137" s="2201"/>
      <c r="AT1137" s="2198" t="s">
        <v>3303</v>
      </c>
      <c r="AU1137" s="2198" t="s">
        <v>134</v>
      </c>
      <c r="AV1137" s="2195" t="s">
        <v>133</v>
      </c>
      <c r="AW1137" s="2195" t="s">
        <v>3171</v>
      </c>
      <c r="AX1137" s="2195" t="s">
        <v>3213</v>
      </c>
      <c r="AY1137" s="2198" t="s">
        <v>3285</v>
      </c>
    </row>
    <row r="1138" spans="2:65" s="2209" customFormat="1">
      <c r="B1138" s="2210"/>
      <c r="D1138" s="2197" t="s">
        <v>3303</v>
      </c>
      <c r="E1138" s="2211" t="s">
        <v>3146</v>
      </c>
      <c r="F1138" s="2212" t="s">
        <v>134</v>
      </c>
      <c r="H1138" s="2213">
        <v>2</v>
      </c>
      <c r="L1138" s="2210"/>
      <c r="M1138" s="2214"/>
      <c r="T1138" s="2215"/>
      <c r="AT1138" s="2211" t="s">
        <v>3303</v>
      </c>
      <c r="AU1138" s="2211" t="s">
        <v>134</v>
      </c>
      <c r="AV1138" s="2209" t="s">
        <v>134</v>
      </c>
      <c r="AW1138" s="2209" t="s">
        <v>3171</v>
      </c>
      <c r="AX1138" s="2209" t="s">
        <v>3213</v>
      </c>
      <c r="AY1138" s="2211" t="s">
        <v>3285</v>
      </c>
    </row>
    <row r="1139" spans="2:65" s="2195" customFormat="1">
      <c r="B1139" s="2196"/>
      <c r="D1139" s="2197" t="s">
        <v>3303</v>
      </c>
      <c r="E1139" s="2198" t="s">
        <v>3146</v>
      </c>
      <c r="F1139" s="2199" t="s">
        <v>5429</v>
      </c>
      <c r="H1139" s="2198" t="s">
        <v>3146</v>
      </c>
      <c r="L1139" s="2196"/>
      <c r="M1139" s="2200"/>
      <c r="T1139" s="2201"/>
      <c r="AT1139" s="2198" t="s">
        <v>3303</v>
      </c>
      <c r="AU1139" s="2198" t="s">
        <v>134</v>
      </c>
      <c r="AV1139" s="2195" t="s">
        <v>133</v>
      </c>
      <c r="AW1139" s="2195" t="s">
        <v>3171</v>
      </c>
      <c r="AX1139" s="2195" t="s">
        <v>3213</v>
      </c>
      <c r="AY1139" s="2198" t="s">
        <v>3285</v>
      </c>
    </row>
    <row r="1140" spans="2:65" s="2209" customFormat="1">
      <c r="B1140" s="2210"/>
      <c r="D1140" s="2197" t="s">
        <v>3303</v>
      </c>
      <c r="E1140" s="2211" t="s">
        <v>3146</v>
      </c>
      <c r="F1140" s="2212" t="s">
        <v>134</v>
      </c>
      <c r="H1140" s="2213">
        <v>2</v>
      </c>
      <c r="L1140" s="2210"/>
      <c r="M1140" s="2214"/>
      <c r="T1140" s="2215"/>
      <c r="AT1140" s="2211" t="s">
        <v>3303</v>
      </c>
      <c r="AU1140" s="2211" t="s">
        <v>134</v>
      </c>
      <c r="AV1140" s="2209" t="s">
        <v>134</v>
      </c>
      <c r="AW1140" s="2209" t="s">
        <v>3171</v>
      </c>
      <c r="AX1140" s="2209" t="s">
        <v>3213</v>
      </c>
      <c r="AY1140" s="2211" t="s">
        <v>3285</v>
      </c>
    </row>
    <row r="1141" spans="2:65" s="2195" customFormat="1">
      <c r="B1141" s="2196"/>
      <c r="D1141" s="2197" t="s">
        <v>3303</v>
      </c>
      <c r="E1141" s="2198" t="s">
        <v>3146</v>
      </c>
      <c r="F1141" s="2199" t="s">
        <v>5434</v>
      </c>
      <c r="H1141" s="2198" t="s">
        <v>3146</v>
      </c>
      <c r="L1141" s="2196"/>
      <c r="M1141" s="2200"/>
      <c r="T1141" s="2201"/>
      <c r="AT1141" s="2198" t="s">
        <v>3303</v>
      </c>
      <c r="AU1141" s="2198" t="s">
        <v>134</v>
      </c>
      <c r="AV1141" s="2195" t="s">
        <v>133</v>
      </c>
      <c r="AW1141" s="2195" t="s">
        <v>3171</v>
      </c>
      <c r="AX1141" s="2195" t="s">
        <v>3213</v>
      </c>
      <c r="AY1141" s="2198" t="s">
        <v>3285</v>
      </c>
    </row>
    <row r="1142" spans="2:65" s="2209" customFormat="1">
      <c r="B1142" s="2210"/>
      <c r="D1142" s="2197" t="s">
        <v>3303</v>
      </c>
      <c r="E1142" s="2211" t="s">
        <v>3146</v>
      </c>
      <c r="F1142" s="2212" t="s">
        <v>134</v>
      </c>
      <c r="H1142" s="2213">
        <v>2</v>
      </c>
      <c r="L1142" s="2210"/>
      <c r="M1142" s="2214"/>
      <c r="T1142" s="2215"/>
      <c r="AT1142" s="2211" t="s">
        <v>3303</v>
      </c>
      <c r="AU1142" s="2211" t="s">
        <v>134</v>
      </c>
      <c r="AV1142" s="2209" t="s">
        <v>134</v>
      </c>
      <c r="AW1142" s="2209" t="s">
        <v>3171</v>
      </c>
      <c r="AX1142" s="2209" t="s">
        <v>3213</v>
      </c>
      <c r="AY1142" s="2211" t="s">
        <v>3285</v>
      </c>
    </row>
    <row r="1143" spans="2:65" s="2216" customFormat="1">
      <c r="B1143" s="2217"/>
      <c r="D1143" s="2197" t="s">
        <v>3303</v>
      </c>
      <c r="E1143" s="2218" t="s">
        <v>3146</v>
      </c>
      <c r="F1143" s="2219" t="s">
        <v>3306</v>
      </c>
      <c r="H1143" s="2220">
        <v>13</v>
      </c>
      <c r="L1143" s="2217"/>
      <c r="M1143" s="2221"/>
      <c r="T1143" s="2222"/>
      <c r="AT1143" s="2218" t="s">
        <v>3303</v>
      </c>
      <c r="AU1143" s="2218" t="s">
        <v>134</v>
      </c>
      <c r="AV1143" s="2216" t="s">
        <v>856</v>
      </c>
      <c r="AW1143" s="2216" t="s">
        <v>3171</v>
      </c>
      <c r="AX1143" s="2216" t="s">
        <v>133</v>
      </c>
      <c r="AY1143" s="2218" t="s">
        <v>3285</v>
      </c>
    </row>
    <row r="1144" spans="2:65" s="2070" customFormat="1" ht="16.5" customHeight="1">
      <c r="B1144" s="2164"/>
      <c r="C1144" s="4614" t="s">
        <v>4622</v>
      </c>
      <c r="D1144" s="4614" t="s">
        <v>135</v>
      </c>
      <c r="E1144" s="4615" t="s">
        <v>5452</v>
      </c>
      <c r="F1144" s="4616" t="s">
        <v>5453</v>
      </c>
      <c r="G1144" s="4617" t="s">
        <v>155</v>
      </c>
      <c r="H1144" s="4618">
        <v>13</v>
      </c>
      <c r="I1144" s="4619"/>
      <c r="J1144" s="4619">
        <f>ROUND(I1144*H1144,2)</f>
        <v>0</v>
      </c>
      <c r="K1144" s="4616" t="s">
        <v>142</v>
      </c>
      <c r="L1144" s="2223"/>
      <c r="M1144" s="2224" t="s">
        <v>3146</v>
      </c>
      <c r="N1144" s="2225" t="s">
        <v>3181</v>
      </c>
      <c r="O1144" s="2191">
        <v>0</v>
      </c>
      <c r="P1144" s="2191">
        <f>O1144*H1144</f>
        <v>0</v>
      </c>
      <c r="Q1144" s="2191">
        <v>1E-3</v>
      </c>
      <c r="R1144" s="2191">
        <f>Q1144*H1144</f>
        <v>1.3000000000000001E-2</v>
      </c>
      <c r="S1144" s="2191">
        <v>0</v>
      </c>
      <c r="T1144" s="2192">
        <f>S1144*H1144</f>
        <v>0</v>
      </c>
      <c r="AR1144" s="2193" t="s">
        <v>3389</v>
      </c>
      <c r="AT1144" s="2193" t="s">
        <v>135</v>
      </c>
      <c r="AU1144" s="2193" t="s">
        <v>134</v>
      </c>
      <c r="AY1144" s="2056" t="s">
        <v>3285</v>
      </c>
      <c r="BE1144" s="2194">
        <f>IF(N1144="základní",J1144,0)</f>
        <v>0</v>
      </c>
      <c r="BF1144" s="2194">
        <f>IF(N1144="snížená",J1144,0)</f>
        <v>0</v>
      </c>
      <c r="BG1144" s="2194">
        <f>IF(N1144="zákl. přenesená",J1144,0)</f>
        <v>0</v>
      </c>
      <c r="BH1144" s="2194">
        <f>IF(N1144="sníž. přenesená",J1144,0)</f>
        <v>0</v>
      </c>
      <c r="BI1144" s="2194">
        <f>IF(N1144="nulová",J1144,0)</f>
        <v>0</v>
      </c>
      <c r="BJ1144" s="2056" t="s">
        <v>134</v>
      </c>
      <c r="BK1144" s="2194">
        <f>ROUND(I1144*H1144,2)</f>
        <v>0</v>
      </c>
      <c r="BL1144" s="2056" t="s">
        <v>2894</v>
      </c>
      <c r="BM1144" s="2193" t="s">
        <v>5454</v>
      </c>
    </row>
    <row r="1145" spans="2:65" s="2070" customFormat="1" ht="24.2" customHeight="1">
      <c r="B1145" s="2164"/>
      <c r="C1145" s="4608" t="s">
        <v>5808</v>
      </c>
      <c r="D1145" s="4608" t="s">
        <v>3286</v>
      </c>
      <c r="E1145" s="4609" t="s">
        <v>5455</v>
      </c>
      <c r="F1145" s="4610" t="s">
        <v>5456</v>
      </c>
      <c r="G1145" s="4611" t="s">
        <v>141</v>
      </c>
      <c r="H1145" s="4612">
        <v>253.8</v>
      </c>
      <c r="I1145" s="4613"/>
      <c r="J1145" s="4613">
        <f>ROUND(I1145*H1145,2)</f>
        <v>0</v>
      </c>
      <c r="K1145" s="4610" t="s">
        <v>142</v>
      </c>
      <c r="L1145" s="2071"/>
      <c r="M1145" s="2190" t="s">
        <v>3146</v>
      </c>
      <c r="N1145" s="2163" t="s">
        <v>3181</v>
      </c>
      <c r="O1145" s="2191">
        <v>0.22</v>
      </c>
      <c r="P1145" s="2191">
        <f>O1145*H1145</f>
        <v>55.836000000000006</v>
      </c>
      <c r="Q1145" s="2191">
        <v>2.9E-4</v>
      </c>
      <c r="R1145" s="2191">
        <f>Q1145*H1145</f>
        <v>7.3602000000000001E-2</v>
      </c>
      <c r="S1145" s="2191">
        <v>0</v>
      </c>
      <c r="T1145" s="2192">
        <f>S1145*H1145</f>
        <v>0</v>
      </c>
      <c r="AR1145" s="2193" t="s">
        <v>2894</v>
      </c>
      <c r="AT1145" s="2193" t="s">
        <v>3286</v>
      </c>
      <c r="AU1145" s="2193" t="s">
        <v>134</v>
      </c>
      <c r="AY1145" s="2056" t="s">
        <v>3285</v>
      </c>
      <c r="BE1145" s="2194">
        <f>IF(N1145="základní",J1145,0)</f>
        <v>0</v>
      </c>
      <c r="BF1145" s="2194">
        <f>IF(N1145="snížená",J1145,0)</f>
        <v>0</v>
      </c>
      <c r="BG1145" s="2194">
        <f>IF(N1145="zákl. přenesená",J1145,0)</f>
        <v>0</v>
      </c>
      <c r="BH1145" s="2194">
        <f>IF(N1145="sníž. přenesená",J1145,0)</f>
        <v>0</v>
      </c>
      <c r="BI1145" s="2194">
        <f>IF(N1145="nulová",J1145,0)</f>
        <v>0</v>
      </c>
      <c r="BJ1145" s="2056" t="s">
        <v>134</v>
      </c>
      <c r="BK1145" s="2194">
        <f>ROUND(I1145*H1145,2)</f>
        <v>0</v>
      </c>
      <c r="BL1145" s="2056" t="s">
        <v>2894</v>
      </c>
      <c r="BM1145" s="2193" t="s">
        <v>5457</v>
      </c>
    </row>
    <row r="1146" spans="2:65" s="2195" customFormat="1">
      <c r="B1146" s="2196"/>
      <c r="D1146" s="2197" t="s">
        <v>3303</v>
      </c>
      <c r="E1146" s="2198" t="s">
        <v>3146</v>
      </c>
      <c r="F1146" s="2199" t="s">
        <v>5049</v>
      </c>
      <c r="H1146" s="2198" t="s">
        <v>3146</v>
      </c>
      <c r="L1146" s="2196"/>
      <c r="M1146" s="2200"/>
      <c r="T1146" s="2201"/>
      <c r="AT1146" s="2198" t="s">
        <v>3303</v>
      </c>
      <c r="AU1146" s="2198" t="s">
        <v>134</v>
      </c>
      <c r="AV1146" s="2195" t="s">
        <v>133</v>
      </c>
      <c r="AW1146" s="2195" t="s">
        <v>3171</v>
      </c>
      <c r="AX1146" s="2195" t="s">
        <v>3213</v>
      </c>
      <c r="AY1146" s="2198" t="s">
        <v>3285</v>
      </c>
    </row>
    <row r="1147" spans="2:65" s="2209" customFormat="1">
      <c r="B1147" s="2210"/>
      <c r="D1147" s="2197" t="s">
        <v>3303</v>
      </c>
      <c r="E1147" s="2211" t="s">
        <v>3146</v>
      </c>
      <c r="F1147" s="2212" t="s">
        <v>5458</v>
      </c>
      <c r="H1147" s="2213">
        <v>22</v>
      </c>
      <c r="L1147" s="2210"/>
      <c r="M1147" s="2214"/>
      <c r="T1147" s="2215"/>
      <c r="AT1147" s="2211" t="s">
        <v>3303</v>
      </c>
      <c r="AU1147" s="2211" t="s">
        <v>134</v>
      </c>
      <c r="AV1147" s="2209" t="s">
        <v>134</v>
      </c>
      <c r="AW1147" s="2209" t="s">
        <v>3171</v>
      </c>
      <c r="AX1147" s="2209" t="s">
        <v>3213</v>
      </c>
      <c r="AY1147" s="2211" t="s">
        <v>3285</v>
      </c>
    </row>
    <row r="1148" spans="2:65" s="2195" customFormat="1">
      <c r="B1148" s="2196"/>
      <c r="D1148" s="2197" t="s">
        <v>3303</v>
      </c>
      <c r="E1148" s="2198" t="s">
        <v>3146</v>
      </c>
      <c r="F1148" s="2199" t="s">
        <v>5051</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5459</v>
      </c>
      <c r="H1149" s="2213">
        <v>13.2</v>
      </c>
      <c r="L1149" s="2210"/>
      <c r="M1149" s="2214"/>
      <c r="T1149" s="2215"/>
      <c r="AT1149" s="2211" t="s">
        <v>3303</v>
      </c>
      <c r="AU1149" s="2211" t="s">
        <v>134</v>
      </c>
      <c r="AV1149" s="2209" t="s">
        <v>134</v>
      </c>
      <c r="AW1149" s="2209" t="s">
        <v>3171</v>
      </c>
      <c r="AX1149" s="2209" t="s">
        <v>3213</v>
      </c>
      <c r="AY1149" s="2211" t="s">
        <v>3285</v>
      </c>
    </row>
    <row r="1150" spans="2:65" s="2195" customFormat="1">
      <c r="B1150" s="2196"/>
      <c r="D1150" s="2197" t="s">
        <v>3303</v>
      </c>
      <c r="E1150" s="2198" t="s">
        <v>3146</v>
      </c>
      <c r="F1150" s="2199" t="s">
        <v>5419</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5460</v>
      </c>
      <c r="H1151" s="2213">
        <v>188.1</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5461</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5462</v>
      </c>
      <c r="H1153" s="2213">
        <v>7.5</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5421</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5463</v>
      </c>
      <c r="H1155" s="2213">
        <v>9.5</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5442</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5464</v>
      </c>
      <c r="H1157" s="2213">
        <v>13.5</v>
      </c>
      <c r="L1157" s="2210"/>
      <c r="M1157" s="2214"/>
      <c r="T1157" s="2215"/>
      <c r="AT1157" s="2211" t="s">
        <v>3303</v>
      </c>
      <c r="AU1157" s="2211" t="s">
        <v>134</v>
      </c>
      <c r="AV1157" s="2209" t="s">
        <v>134</v>
      </c>
      <c r="AW1157" s="2209" t="s">
        <v>3171</v>
      </c>
      <c r="AX1157" s="2209" t="s">
        <v>3213</v>
      </c>
      <c r="AY1157" s="2211" t="s">
        <v>3285</v>
      </c>
    </row>
    <row r="1158" spans="2:65" s="2202" customFormat="1">
      <c r="B1158" s="2203"/>
      <c r="D1158" s="2197" t="s">
        <v>3303</v>
      </c>
      <c r="E1158" s="2204" t="s">
        <v>3146</v>
      </c>
      <c r="F1158" s="2205" t="s">
        <v>3305</v>
      </c>
      <c r="H1158" s="2206">
        <v>253.8</v>
      </c>
      <c r="L1158" s="2203"/>
      <c r="M1158" s="2207"/>
      <c r="T1158" s="2208"/>
      <c r="AT1158" s="2204" t="s">
        <v>3303</v>
      </c>
      <c r="AU1158" s="2204" t="s">
        <v>134</v>
      </c>
      <c r="AV1158" s="2202" t="s">
        <v>854</v>
      </c>
      <c r="AW1158" s="2202" t="s">
        <v>3171</v>
      </c>
      <c r="AX1158" s="2202" t="s">
        <v>133</v>
      </c>
      <c r="AY1158" s="2204" t="s">
        <v>3285</v>
      </c>
    </row>
    <row r="1159" spans="2:65" s="2070" customFormat="1" ht="24.2" customHeight="1">
      <c r="B1159" s="2164"/>
      <c r="C1159" s="4608" t="s">
        <v>5079</v>
      </c>
      <c r="D1159" s="4608" t="s">
        <v>3286</v>
      </c>
      <c r="E1159" s="4609" t="s">
        <v>5465</v>
      </c>
      <c r="F1159" s="4610" t="s">
        <v>5466</v>
      </c>
      <c r="G1159" s="4611" t="s">
        <v>611</v>
      </c>
      <c r="H1159" s="4612">
        <v>2</v>
      </c>
      <c r="I1159" s="4613"/>
      <c r="J1159" s="4613">
        <f>ROUND(I1159*H1159,2)</f>
        <v>0</v>
      </c>
      <c r="K1159" s="4610" t="s">
        <v>142</v>
      </c>
      <c r="L1159" s="2071"/>
      <c r="M1159" s="2190" t="s">
        <v>3146</v>
      </c>
      <c r="N1159" s="2163" t="s">
        <v>3181</v>
      </c>
      <c r="O1159" s="2191">
        <v>2.3170000000000002</v>
      </c>
      <c r="P1159" s="2191">
        <f>O1159*H1159</f>
        <v>4.6340000000000003</v>
      </c>
      <c r="Q1159" s="2191">
        <v>9.3999999999999997E-4</v>
      </c>
      <c r="R1159" s="2191">
        <f>Q1159*H1159</f>
        <v>1.8799999999999999E-3</v>
      </c>
      <c r="S1159" s="2191">
        <v>0</v>
      </c>
      <c r="T1159" s="2192">
        <f>S1159*H1159</f>
        <v>0</v>
      </c>
      <c r="AR1159" s="2193" t="s">
        <v>2894</v>
      </c>
      <c r="AT1159" s="2193" t="s">
        <v>3286</v>
      </c>
      <c r="AU1159" s="2193" t="s">
        <v>134</v>
      </c>
      <c r="AY1159" s="2056" t="s">
        <v>3285</v>
      </c>
      <c r="BE1159" s="2194">
        <f>IF(N1159="základní",J1159,0)</f>
        <v>0</v>
      </c>
      <c r="BF1159" s="2194">
        <f>IF(N1159="snížená",J1159,0)</f>
        <v>0</v>
      </c>
      <c r="BG1159" s="2194">
        <f>IF(N1159="zákl. přenesená",J1159,0)</f>
        <v>0</v>
      </c>
      <c r="BH1159" s="2194">
        <f>IF(N1159="sníž. přenesená",J1159,0)</f>
        <v>0</v>
      </c>
      <c r="BI1159" s="2194">
        <f>IF(N1159="nulová",J1159,0)</f>
        <v>0</v>
      </c>
      <c r="BJ1159" s="2056" t="s">
        <v>134</v>
      </c>
      <c r="BK1159" s="2194">
        <f>ROUND(I1159*H1159,2)</f>
        <v>0</v>
      </c>
      <c r="BL1159" s="2056" t="s">
        <v>2894</v>
      </c>
      <c r="BM1159" s="2193" t="s">
        <v>5467</v>
      </c>
    </row>
    <row r="1160" spans="2:65" s="2195" customFormat="1">
      <c r="B1160" s="2196"/>
      <c r="D1160" s="2197" t="s">
        <v>3303</v>
      </c>
      <c r="E1160" s="2198" t="s">
        <v>3146</v>
      </c>
      <c r="F1160" s="2199" t="s">
        <v>5468</v>
      </c>
      <c r="H1160" s="2198" t="s">
        <v>3146</v>
      </c>
      <c r="L1160" s="2196"/>
      <c r="M1160" s="2200"/>
      <c r="T1160" s="2201"/>
      <c r="AT1160" s="2198" t="s">
        <v>3303</v>
      </c>
      <c r="AU1160" s="2198" t="s">
        <v>134</v>
      </c>
      <c r="AV1160" s="2195" t="s">
        <v>133</v>
      </c>
      <c r="AW1160" s="2195" t="s">
        <v>3171</v>
      </c>
      <c r="AX1160" s="2195" t="s">
        <v>3213</v>
      </c>
      <c r="AY1160" s="2198" t="s">
        <v>3285</v>
      </c>
    </row>
    <row r="1161" spans="2:65" s="2209" customFormat="1">
      <c r="B1161" s="2210"/>
      <c r="D1161" s="2197" t="s">
        <v>3303</v>
      </c>
      <c r="E1161" s="2211" t="s">
        <v>3146</v>
      </c>
      <c r="F1161" s="2212" t="s">
        <v>133</v>
      </c>
      <c r="H1161" s="2213">
        <v>1</v>
      </c>
      <c r="L1161" s="2210"/>
      <c r="M1161" s="2214"/>
      <c r="T1161" s="2215"/>
      <c r="AT1161" s="2211" t="s">
        <v>3303</v>
      </c>
      <c r="AU1161" s="2211" t="s">
        <v>134</v>
      </c>
      <c r="AV1161" s="2209" t="s">
        <v>134</v>
      </c>
      <c r="AW1161" s="2209" t="s">
        <v>3171</v>
      </c>
      <c r="AX1161" s="2209" t="s">
        <v>3213</v>
      </c>
      <c r="AY1161" s="2211" t="s">
        <v>3285</v>
      </c>
    </row>
    <row r="1162" spans="2:65" s="2195" customFormat="1">
      <c r="B1162" s="2196"/>
      <c r="D1162" s="2197" t="s">
        <v>3303</v>
      </c>
      <c r="E1162" s="2198" t="s">
        <v>3146</v>
      </c>
      <c r="F1162" s="2199" t="s">
        <v>5469</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2212" t="s">
        <v>133</v>
      </c>
      <c r="H1163" s="2213">
        <v>1</v>
      </c>
      <c r="L1163" s="2210"/>
      <c r="M1163" s="2214"/>
      <c r="T1163" s="2215"/>
      <c r="AT1163" s="2211" t="s">
        <v>3303</v>
      </c>
      <c r="AU1163" s="2211" t="s">
        <v>134</v>
      </c>
      <c r="AV1163" s="2209" t="s">
        <v>134</v>
      </c>
      <c r="AW1163" s="2209" t="s">
        <v>3171</v>
      </c>
      <c r="AX1163" s="2209" t="s">
        <v>3213</v>
      </c>
      <c r="AY1163" s="2211" t="s">
        <v>3285</v>
      </c>
    </row>
    <row r="1164" spans="2:65" s="2216" customFormat="1">
      <c r="B1164" s="2217"/>
      <c r="D1164" s="2197" t="s">
        <v>3303</v>
      </c>
      <c r="E1164" s="2218" t="s">
        <v>3146</v>
      </c>
      <c r="F1164" s="2219" t="s">
        <v>3306</v>
      </c>
      <c r="H1164" s="2220">
        <v>2</v>
      </c>
      <c r="L1164" s="2217"/>
      <c r="M1164" s="2221"/>
      <c r="T1164" s="2222"/>
      <c r="AT1164" s="2218" t="s">
        <v>3303</v>
      </c>
      <c r="AU1164" s="2218" t="s">
        <v>134</v>
      </c>
      <c r="AV1164" s="2216" t="s">
        <v>856</v>
      </c>
      <c r="AW1164" s="2216" t="s">
        <v>3171</v>
      </c>
      <c r="AX1164" s="2216" t="s">
        <v>133</v>
      </c>
      <c r="AY1164" s="2218" t="s">
        <v>3285</v>
      </c>
    </row>
    <row r="1165" spans="2:65" s="2070" customFormat="1" ht="24.2" customHeight="1">
      <c r="B1165" s="2164"/>
      <c r="C1165" s="4614" t="s">
        <v>5253</v>
      </c>
      <c r="D1165" s="4614" t="s">
        <v>135</v>
      </c>
      <c r="E1165" s="4615" t="s">
        <v>5470</v>
      </c>
      <c r="F1165" s="4616" t="s">
        <v>5471</v>
      </c>
      <c r="G1165" s="4617" t="s">
        <v>611</v>
      </c>
      <c r="H1165" s="4618">
        <v>4</v>
      </c>
      <c r="I1165" s="4619"/>
      <c r="J1165" s="4619">
        <f>ROUND(I1165*H1165,2)</f>
        <v>0</v>
      </c>
      <c r="K1165" s="4616" t="s">
        <v>142</v>
      </c>
      <c r="L1165" s="2223"/>
      <c r="M1165" s="2224" t="s">
        <v>3146</v>
      </c>
      <c r="N1165" s="2225" t="s">
        <v>3181</v>
      </c>
      <c r="O1165" s="2191">
        <v>0</v>
      </c>
      <c r="P1165" s="2191">
        <f>O1165*H1165</f>
        <v>0</v>
      </c>
      <c r="Q1165" s="2191">
        <v>0.03</v>
      </c>
      <c r="R1165" s="2191">
        <f>Q1165*H1165</f>
        <v>0.12</v>
      </c>
      <c r="S1165" s="2191">
        <v>0</v>
      </c>
      <c r="T1165" s="2192">
        <f>S1165*H1165</f>
        <v>0</v>
      </c>
      <c r="AR1165" s="2193" t="s">
        <v>3389</v>
      </c>
      <c r="AT1165" s="2193" t="s">
        <v>135</v>
      </c>
      <c r="AU1165" s="2193" t="s">
        <v>134</v>
      </c>
      <c r="AY1165" s="2056" t="s">
        <v>3285</v>
      </c>
      <c r="BE1165" s="2194">
        <f>IF(N1165="základní",J1165,0)</f>
        <v>0</v>
      </c>
      <c r="BF1165" s="2194">
        <f>IF(N1165="snížená",J1165,0)</f>
        <v>0</v>
      </c>
      <c r="BG1165" s="2194">
        <f>IF(N1165="zákl. přenesená",J1165,0)</f>
        <v>0</v>
      </c>
      <c r="BH1165" s="2194">
        <f>IF(N1165="sníž. přenesená",J1165,0)</f>
        <v>0</v>
      </c>
      <c r="BI1165" s="2194">
        <f>IF(N1165="nulová",J1165,0)</f>
        <v>0</v>
      </c>
      <c r="BJ1165" s="2056" t="s">
        <v>134</v>
      </c>
      <c r="BK1165" s="2194">
        <f>ROUND(I1165*H1165,2)</f>
        <v>0</v>
      </c>
      <c r="BL1165" s="2056" t="s">
        <v>2894</v>
      </c>
      <c r="BM1165" s="2193" t="s">
        <v>5472</v>
      </c>
    </row>
    <row r="1166" spans="2:65" s="2195" customFormat="1">
      <c r="B1166" s="2196"/>
      <c r="D1166" s="2197" t="s">
        <v>3303</v>
      </c>
      <c r="E1166" s="2198" t="s">
        <v>3146</v>
      </c>
      <c r="F1166" s="2199" t="s">
        <v>5468</v>
      </c>
      <c r="H1166" s="2198" t="s">
        <v>3146</v>
      </c>
      <c r="L1166" s="2196"/>
      <c r="M1166" s="2200"/>
      <c r="T1166" s="2201"/>
      <c r="AT1166" s="2198" t="s">
        <v>3303</v>
      </c>
      <c r="AU1166" s="2198" t="s">
        <v>134</v>
      </c>
      <c r="AV1166" s="2195" t="s">
        <v>133</v>
      </c>
      <c r="AW1166" s="2195" t="s">
        <v>3171</v>
      </c>
      <c r="AX1166" s="2195" t="s">
        <v>3213</v>
      </c>
      <c r="AY1166" s="2198" t="s">
        <v>3285</v>
      </c>
    </row>
    <row r="1167" spans="2:65" s="2209" customFormat="1">
      <c r="B1167" s="2210"/>
      <c r="D1167" s="2197" t="s">
        <v>3303</v>
      </c>
      <c r="E1167" s="2211" t="s">
        <v>3146</v>
      </c>
      <c r="F1167" s="2212" t="s">
        <v>5473</v>
      </c>
      <c r="H1167" s="2213">
        <v>2</v>
      </c>
      <c r="L1167" s="2210"/>
      <c r="M1167" s="2214"/>
      <c r="T1167" s="2215"/>
      <c r="AT1167" s="2211" t="s">
        <v>3303</v>
      </c>
      <c r="AU1167" s="2211" t="s">
        <v>134</v>
      </c>
      <c r="AV1167" s="2209" t="s">
        <v>134</v>
      </c>
      <c r="AW1167" s="2209" t="s">
        <v>3171</v>
      </c>
      <c r="AX1167" s="2209" t="s">
        <v>3213</v>
      </c>
      <c r="AY1167" s="2211" t="s">
        <v>3285</v>
      </c>
    </row>
    <row r="1168" spans="2:65" s="2195" customFormat="1">
      <c r="B1168" s="2196"/>
      <c r="D1168" s="2197" t="s">
        <v>3303</v>
      </c>
      <c r="E1168" s="2198" t="s">
        <v>3146</v>
      </c>
      <c r="F1168" s="2199" t="s">
        <v>5469</v>
      </c>
      <c r="H1168" s="2198" t="s">
        <v>3146</v>
      </c>
      <c r="L1168" s="2196"/>
      <c r="M1168" s="2200"/>
      <c r="T1168" s="2201"/>
      <c r="AT1168" s="2198" t="s">
        <v>3303</v>
      </c>
      <c r="AU1168" s="2198" t="s">
        <v>134</v>
      </c>
      <c r="AV1168" s="2195" t="s">
        <v>133</v>
      </c>
      <c r="AW1168" s="2195" t="s">
        <v>3171</v>
      </c>
      <c r="AX1168" s="2195" t="s">
        <v>3213</v>
      </c>
      <c r="AY1168" s="2198" t="s">
        <v>3285</v>
      </c>
    </row>
    <row r="1169" spans="2:65" s="2209" customFormat="1">
      <c r="B1169" s="2210"/>
      <c r="D1169" s="2197" t="s">
        <v>3303</v>
      </c>
      <c r="E1169" s="2211" t="s">
        <v>3146</v>
      </c>
      <c r="F1169" s="2212" t="s">
        <v>5473</v>
      </c>
      <c r="H1169" s="2213">
        <v>2</v>
      </c>
      <c r="L1169" s="2210"/>
      <c r="M1169" s="2214"/>
      <c r="T1169" s="2215"/>
      <c r="AT1169" s="2211" t="s">
        <v>3303</v>
      </c>
      <c r="AU1169" s="2211" t="s">
        <v>134</v>
      </c>
      <c r="AV1169" s="2209" t="s">
        <v>134</v>
      </c>
      <c r="AW1169" s="2209" t="s">
        <v>3171</v>
      </c>
      <c r="AX1169" s="2209" t="s">
        <v>3213</v>
      </c>
      <c r="AY1169" s="2211" t="s">
        <v>3285</v>
      </c>
    </row>
    <row r="1170" spans="2:65" s="2216" customFormat="1">
      <c r="B1170" s="2217"/>
      <c r="D1170" s="2197" t="s">
        <v>3303</v>
      </c>
      <c r="E1170" s="2218" t="s">
        <v>3146</v>
      </c>
      <c r="F1170" s="2219" t="s">
        <v>3306</v>
      </c>
      <c r="H1170" s="2220">
        <v>4</v>
      </c>
      <c r="L1170" s="2217"/>
      <c r="M1170" s="2221"/>
      <c r="T1170" s="2222"/>
      <c r="AT1170" s="2218" t="s">
        <v>3303</v>
      </c>
      <c r="AU1170" s="2218" t="s">
        <v>134</v>
      </c>
      <c r="AV1170" s="2216" t="s">
        <v>856</v>
      </c>
      <c r="AW1170" s="2216" t="s">
        <v>3171</v>
      </c>
      <c r="AX1170" s="2216" t="s">
        <v>133</v>
      </c>
      <c r="AY1170" s="2218" t="s">
        <v>3285</v>
      </c>
    </row>
    <row r="1171" spans="2:65" s="2070" customFormat="1" ht="24.2" customHeight="1">
      <c r="B1171" s="2164"/>
      <c r="C1171" s="4608" t="s">
        <v>5254</v>
      </c>
      <c r="D1171" s="4608" t="s">
        <v>3286</v>
      </c>
      <c r="E1171" s="4609" t="s">
        <v>5474</v>
      </c>
      <c r="F1171" s="4610" t="s">
        <v>5475</v>
      </c>
      <c r="G1171" s="4611" t="s">
        <v>155</v>
      </c>
      <c r="H1171" s="4612">
        <v>2</v>
      </c>
      <c r="I1171" s="4613"/>
      <c r="J1171" s="4613">
        <f>ROUND(I1171*H1171,2)</f>
        <v>0</v>
      </c>
      <c r="K1171" s="4610" t="s">
        <v>142</v>
      </c>
      <c r="L1171" s="2071"/>
      <c r="M1171" s="2190" t="s">
        <v>3146</v>
      </c>
      <c r="N1171" s="2163" t="s">
        <v>3181</v>
      </c>
      <c r="O1171" s="2191">
        <v>7.62</v>
      </c>
      <c r="P1171" s="2191">
        <f>O1171*H1171</f>
        <v>15.24</v>
      </c>
      <c r="Q1171" s="2191">
        <v>0</v>
      </c>
      <c r="R1171" s="2191">
        <f>Q1171*H1171</f>
        <v>0</v>
      </c>
      <c r="S1171" s="2191">
        <v>0</v>
      </c>
      <c r="T1171" s="2192">
        <f>S1171*H1171</f>
        <v>0</v>
      </c>
      <c r="AR1171" s="2193" t="s">
        <v>2894</v>
      </c>
      <c r="AT1171" s="2193" t="s">
        <v>3286</v>
      </c>
      <c r="AU1171" s="2193" t="s">
        <v>134</v>
      </c>
      <c r="AY1171" s="2056" t="s">
        <v>3285</v>
      </c>
      <c r="BE1171" s="2194">
        <f>IF(N1171="základní",J1171,0)</f>
        <v>0</v>
      </c>
      <c r="BF1171" s="2194">
        <f>IF(N1171="snížená",J1171,0)</f>
        <v>0</v>
      </c>
      <c r="BG1171" s="2194">
        <f>IF(N1171="zákl. přenesená",J1171,0)</f>
        <v>0</v>
      </c>
      <c r="BH1171" s="2194">
        <f>IF(N1171="sníž. přenesená",J1171,0)</f>
        <v>0</v>
      </c>
      <c r="BI1171" s="2194">
        <f>IF(N1171="nulová",J1171,0)</f>
        <v>0</v>
      </c>
      <c r="BJ1171" s="2056" t="s">
        <v>134</v>
      </c>
      <c r="BK1171" s="2194">
        <f>ROUND(I1171*H1171,2)</f>
        <v>0</v>
      </c>
      <c r="BL1171" s="2056" t="s">
        <v>2894</v>
      </c>
      <c r="BM1171" s="2193" t="s">
        <v>5476</v>
      </c>
    </row>
    <row r="1172" spans="2:65" s="2195" customFormat="1">
      <c r="B1172" s="2196"/>
      <c r="D1172" s="2197" t="s">
        <v>3303</v>
      </c>
      <c r="E1172" s="2198" t="s">
        <v>3146</v>
      </c>
      <c r="F1172" s="2199" t="s">
        <v>5477</v>
      </c>
      <c r="H1172" s="2198" t="s">
        <v>3146</v>
      </c>
      <c r="L1172" s="2196"/>
      <c r="M1172" s="2200"/>
      <c r="T1172" s="2201"/>
      <c r="AT1172" s="2198" t="s">
        <v>3303</v>
      </c>
      <c r="AU1172" s="2198" t="s">
        <v>134</v>
      </c>
      <c r="AV1172" s="2195" t="s">
        <v>133</v>
      </c>
      <c r="AW1172" s="2195" t="s">
        <v>3171</v>
      </c>
      <c r="AX1172" s="2195" t="s">
        <v>3213</v>
      </c>
      <c r="AY1172" s="2198" t="s">
        <v>3285</v>
      </c>
    </row>
    <row r="1173" spans="2:65" s="2209" customFormat="1">
      <c r="B1173" s="2210"/>
      <c r="D1173" s="2197" t="s">
        <v>3303</v>
      </c>
      <c r="E1173" s="2211" t="s">
        <v>3146</v>
      </c>
      <c r="F1173" s="2212" t="s">
        <v>133</v>
      </c>
      <c r="H1173" s="2213">
        <v>1</v>
      </c>
      <c r="L1173" s="2210"/>
      <c r="M1173" s="2214"/>
      <c r="T1173" s="2215"/>
      <c r="AT1173" s="2211" t="s">
        <v>3303</v>
      </c>
      <c r="AU1173" s="2211" t="s">
        <v>134</v>
      </c>
      <c r="AV1173" s="2209" t="s">
        <v>134</v>
      </c>
      <c r="AW1173" s="2209" t="s">
        <v>3171</v>
      </c>
      <c r="AX1173" s="2209" t="s">
        <v>3213</v>
      </c>
      <c r="AY1173" s="2211" t="s">
        <v>3285</v>
      </c>
    </row>
    <row r="1174" spans="2:65" s="2195" customFormat="1">
      <c r="B1174" s="2196"/>
      <c r="D1174" s="2197" t="s">
        <v>3303</v>
      </c>
      <c r="E1174" s="2198" t="s">
        <v>3146</v>
      </c>
      <c r="F1174" s="2199" t="s">
        <v>5478</v>
      </c>
      <c r="H1174" s="2198" t="s">
        <v>3146</v>
      </c>
      <c r="L1174" s="2196"/>
      <c r="M1174" s="2200"/>
      <c r="T1174" s="2201"/>
      <c r="AT1174" s="2198" t="s">
        <v>3303</v>
      </c>
      <c r="AU1174" s="2198" t="s">
        <v>134</v>
      </c>
      <c r="AV1174" s="2195" t="s">
        <v>133</v>
      </c>
      <c r="AW1174" s="2195" t="s">
        <v>3171</v>
      </c>
      <c r="AX1174" s="2195" t="s">
        <v>3213</v>
      </c>
      <c r="AY1174" s="2198" t="s">
        <v>3285</v>
      </c>
    </row>
    <row r="1175" spans="2:65" s="2209" customFormat="1">
      <c r="B1175" s="2210"/>
      <c r="D1175" s="2197" t="s">
        <v>3303</v>
      </c>
      <c r="E1175" s="2211" t="s">
        <v>3146</v>
      </c>
      <c r="F1175" s="2212" t="s">
        <v>133</v>
      </c>
      <c r="H1175" s="2213">
        <v>1</v>
      </c>
      <c r="L1175" s="2210"/>
      <c r="M1175" s="2214"/>
      <c r="T1175" s="2215"/>
      <c r="AT1175" s="2211" t="s">
        <v>3303</v>
      </c>
      <c r="AU1175" s="2211" t="s">
        <v>134</v>
      </c>
      <c r="AV1175" s="2209" t="s">
        <v>134</v>
      </c>
      <c r="AW1175" s="2209" t="s">
        <v>3171</v>
      </c>
      <c r="AX1175" s="2209" t="s">
        <v>3213</v>
      </c>
      <c r="AY1175" s="2211" t="s">
        <v>3285</v>
      </c>
    </row>
    <row r="1176" spans="2:65" s="2216" customFormat="1">
      <c r="B1176" s="2217"/>
      <c r="D1176" s="2197" t="s">
        <v>3303</v>
      </c>
      <c r="E1176" s="2218" t="s">
        <v>3146</v>
      </c>
      <c r="F1176" s="2219" t="s">
        <v>3306</v>
      </c>
      <c r="H1176" s="2220">
        <v>2</v>
      </c>
      <c r="L1176" s="2217"/>
      <c r="M1176" s="2221"/>
      <c r="T1176" s="2222"/>
      <c r="AT1176" s="2218" t="s">
        <v>3303</v>
      </c>
      <c r="AU1176" s="2218" t="s">
        <v>134</v>
      </c>
      <c r="AV1176" s="2216" t="s">
        <v>856</v>
      </c>
      <c r="AW1176" s="2216" t="s">
        <v>3171</v>
      </c>
      <c r="AX1176" s="2216" t="s">
        <v>133</v>
      </c>
      <c r="AY1176" s="2218" t="s">
        <v>3285</v>
      </c>
    </row>
    <row r="1177" spans="2:65" s="2070" customFormat="1" ht="37.9" customHeight="1">
      <c r="B1177" s="2164"/>
      <c r="C1177" s="4614" t="s">
        <v>990</v>
      </c>
      <c r="D1177" s="4614" t="s">
        <v>135</v>
      </c>
      <c r="E1177" s="4615" t="s">
        <v>5479</v>
      </c>
      <c r="F1177" s="4616" t="s">
        <v>5480</v>
      </c>
      <c r="G1177" s="4617" t="s">
        <v>155</v>
      </c>
      <c r="H1177" s="4618">
        <v>1</v>
      </c>
      <c r="I1177" s="4619"/>
      <c r="J1177" s="4619">
        <f>ROUND(I1177*H1177,2)</f>
        <v>0</v>
      </c>
      <c r="K1177" s="4616" t="s">
        <v>3146</v>
      </c>
      <c r="L1177" s="2223"/>
      <c r="M1177" s="2224" t="s">
        <v>3146</v>
      </c>
      <c r="N1177" s="2225" t="s">
        <v>3181</v>
      </c>
      <c r="O1177" s="2191">
        <v>0</v>
      </c>
      <c r="P1177" s="2191">
        <f>O1177*H1177</f>
        <v>0</v>
      </c>
      <c r="Q1177" s="2191">
        <v>9.8000000000000004E-2</v>
      </c>
      <c r="R1177" s="2191">
        <f>Q1177*H1177</f>
        <v>9.8000000000000004E-2</v>
      </c>
      <c r="S1177" s="2191">
        <v>0</v>
      </c>
      <c r="T1177" s="2192">
        <f>S1177*H1177</f>
        <v>0</v>
      </c>
      <c r="AR1177" s="2193" t="s">
        <v>3389</v>
      </c>
      <c r="AT1177" s="2193" t="s">
        <v>135</v>
      </c>
      <c r="AU1177" s="2193" t="s">
        <v>134</v>
      </c>
      <c r="AY1177" s="2056" t="s">
        <v>3285</v>
      </c>
      <c r="BE1177" s="2194">
        <f>IF(N1177="základní",J1177,0)</f>
        <v>0</v>
      </c>
      <c r="BF1177" s="2194">
        <f>IF(N1177="snížená",J1177,0)</f>
        <v>0</v>
      </c>
      <c r="BG1177" s="2194">
        <f>IF(N1177="zákl. přenesená",J1177,0)</f>
        <v>0</v>
      </c>
      <c r="BH1177" s="2194">
        <f>IF(N1177="sníž. přenesená",J1177,0)</f>
        <v>0</v>
      </c>
      <c r="BI1177" s="2194">
        <f>IF(N1177="nulová",J1177,0)</f>
        <v>0</v>
      </c>
      <c r="BJ1177" s="2056" t="s">
        <v>134</v>
      </c>
      <c r="BK1177" s="2194">
        <f>ROUND(I1177*H1177,2)</f>
        <v>0</v>
      </c>
      <c r="BL1177" s="2056" t="s">
        <v>2894</v>
      </c>
      <c r="BM1177" s="2193" t="s">
        <v>5481</v>
      </c>
    </row>
    <row r="1178" spans="2:65" s="2195" customFormat="1">
      <c r="B1178" s="2196"/>
      <c r="D1178" s="2197" t="s">
        <v>3303</v>
      </c>
      <c r="E1178" s="2198" t="s">
        <v>3146</v>
      </c>
      <c r="F1178" s="2199" t="s">
        <v>5478</v>
      </c>
      <c r="H1178" s="2198" t="s">
        <v>3146</v>
      </c>
      <c r="L1178" s="2196"/>
      <c r="M1178" s="2200"/>
      <c r="T1178" s="2201"/>
      <c r="AT1178" s="2198" t="s">
        <v>3303</v>
      </c>
      <c r="AU1178" s="2198" t="s">
        <v>134</v>
      </c>
      <c r="AV1178" s="2195" t="s">
        <v>133</v>
      </c>
      <c r="AW1178" s="2195" t="s">
        <v>3171</v>
      </c>
      <c r="AX1178" s="2195" t="s">
        <v>3213</v>
      </c>
      <c r="AY1178" s="2198" t="s">
        <v>3285</v>
      </c>
    </row>
    <row r="1179" spans="2:65" s="2209" customFormat="1">
      <c r="B1179" s="2210"/>
      <c r="D1179" s="2197" t="s">
        <v>3303</v>
      </c>
      <c r="E1179" s="2211" t="s">
        <v>3146</v>
      </c>
      <c r="F1179" s="2212" t="s">
        <v>133</v>
      </c>
      <c r="H1179" s="2213">
        <v>1</v>
      </c>
      <c r="L1179" s="2210"/>
      <c r="M1179" s="2214"/>
      <c r="T1179" s="2215"/>
      <c r="AT1179" s="2211" t="s">
        <v>3303</v>
      </c>
      <c r="AU1179" s="2211" t="s">
        <v>134</v>
      </c>
      <c r="AV1179" s="2209" t="s">
        <v>134</v>
      </c>
      <c r="AW1179" s="2209" t="s">
        <v>3171</v>
      </c>
      <c r="AX1179" s="2209" t="s">
        <v>3213</v>
      </c>
      <c r="AY1179" s="2211" t="s">
        <v>3285</v>
      </c>
    </row>
    <row r="1180" spans="2:65" s="2216" customFormat="1">
      <c r="B1180" s="2217"/>
      <c r="D1180" s="2197" t="s">
        <v>3303</v>
      </c>
      <c r="E1180" s="2218" t="s">
        <v>3146</v>
      </c>
      <c r="F1180" s="2219" t="s">
        <v>3306</v>
      </c>
      <c r="H1180" s="2220">
        <v>1</v>
      </c>
      <c r="L1180" s="2217"/>
      <c r="M1180" s="2221"/>
      <c r="T1180" s="2222"/>
      <c r="AT1180" s="2218" t="s">
        <v>3303</v>
      </c>
      <c r="AU1180" s="2218" t="s">
        <v>134</v>
      </c>
      <c r="AV1180" s="2216" t="s">
        <v>856</v>
      </c>
      <c r="AW1180" s="2216" t="s">
        <v>3171</v>
      </c>
      <c r="AX1180" s="2216" t="s">
        <v>133</v>
      </c>
      <c r="AY1180" s="2218" t="s">
        <v>3285</v>
      </c>
    </row>
    <row r="1181" spans="2:65" s="2070" customFormat="1" ht="24.2" customHeight="1">
      <c r="B1181" s="2164"/>
      <c r="C1181" s="4614" t="s">
        <v>5255</v>
      </c>
      <c r="D1181" s="4614" t="s">
        <v>135</v>
      </c>
      <c r="E1181" s="4615" t="s">
        <v>5482</v>
      </c>
      <c r="F1181" s="4616" t="s">
        <v>5483</v>
      </c>
      <c r="G1181" s="4617" t="s">
        <v>155</v>
      </c>
      <c r="H1181" s="4618">
        <v>1</v>
      </c>
      <c r="I1181" s="4619"/>
      <c r="J1181" s="4619">
        <f>ROUND(I1181*H1181,2)</f>
        <v>0</v>
      </c>
      <c r="K1181" s="4616" t="s">
        <v>3146</v>
      </c>
      <c r="L1181" s="2223"/>
      <c r="M1181" s="2224" t="s">
        <v>3146</v>
      </c>
      <c r="N1181" s="2225" t="s">
        <v>3181</v>
      </c>
      <c r="O1181" s="2191">
        <v>0</v>
      </c>
      <c r="P1181" s="2191">
        <f>O1181*H1181</f>
        <v>0</v>
      </c>
      <c r="Q1181" s="2191">
        <v>2.4230000000000002E-2</v>
      </c>
      <c r="R1181" s="2191">
        <f>Q1181*H1181</f>
        <v>2.4230000000000002E-2</v>
      </c>
      <c r="S1181" s="2191">
        <v>0</v>
      </c>
      <c r="T1181" s="2192">
        <f>S1181*H1181</f>
        <v>0</v>
      </c>
      <c r="AR1181" s="2193" t="s">
        <v>3389</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2894</v>
      </c>
      <c r="BM1181" s="2193" t="s">
        <v>5484</v>
      </c>
    </row>
    <row r="1182" spans="2:65" s="2195" customFormat="1">
      <c r="B1182" s="2196"/>
      <c r="D1182" s="2197" t="s">
        <v>3303</v>
      </c>
      <c r="E1182" s="2198" t="s">
        <v>3146</v>
      </c>
      <c r="F1182" s="2199" t="s">
        <v>5477</v>
      </c>
      <c r="H1182" s="2198" t="s">
        <v>3146</v>
      </c>
      <c r="L1182" s="2196"/>
      <c r="M1182" s="2200"/>
      <c r="T1182" s="2201"/>
      <c r="AT1182" s="2198" t="s">
        <v>3303</v>
      </c>
      <c r="AU1182" s="2198" t="s">
        <v>134</v>
      </c>
      <c r="AV1182" s="2195" t="s">
        <v>133</v>
      </c>
      <c r="AW1182" s="2195" t="s">
        <v>3171</v>
      </c>
      <c r="AX1182" s="2195" t="s">
        <v>3213</v>
      </c>
      <c r="AY1182" s="2198" t="s">
        <v>3285</v>
      </c>
    </row>
    <row r="1183" spans="2:65" s="2209" customFormat="1">
      <c r="B1183" s="2210"/>
      <c r="D1183" s="2197" t="s">
        <v>3303</v>
      </c>
      <c r="E1183" s="2211" t="s">
        <v>3146</v>
      </c>
      <c r="F1183" s="2212" t="s">
        <v>133</v>
      </c>
      <c r="H1183" s="2213">
        <v>1</v>
      </c>
      <c r="L1183" s="2210"/>
      <c r="M1183" s="2214"/>
      <c r="T1183" s="2215"/>
      <c r="AT1183" s="2211" t="s">
        <v>3303</v>
      </c>
      <c r="AU1183" s="2211" t="s">
        <v>134</v>
      </c>
      <c r="AV1183" s="2209" t="s">
        <v>134</v>
      </c>
      <c r="AW1183" s="2209" t="s">
        <v>3171</v>
      </c>
      <c r="AX1183" s="2209" t="s">
        <v>3213</v>
      </c>
      <c r="AY1183" s="2211" t="s">
        <v>3285</v>
      </c>
    </row>
    <row r="1184" spans="2:65" s="2216" customFormat="1">
      <c r="B1184" s="2217"/>
      <c r="D1184" s="2197" t="s">
        <v>3303</v>
      </c>
      <c r="E1184" s="2218" t="s">
        <v>3146</v>
      </c>
      <c r="F1184" s="2219" t="s">
        <v>3306</v>
      </c>
      <c r="H1184" s="2220">
        <v>1</v>
      </c>
      <c r="L1184" s="2217"/>
      <c r="M1184" s="2221"/>
      <c r="T1184" s="2222"/>
      <c r="AT1184" s="2218" t="s">
        <v>3303</v>
      </c>
      <c r="AU1184" s="2218" t="s">
        <v>134</v>
      </c>
      <c r="AV1184" s="2216" t="s">
        <v>856</v>
      </c>
      <c r="AW1184" s="2216" t="s">
        <v>3171</v>
      </c>
      <c r="AX1184" s="2216" t="s">
        <v>133</v>
      </c>
      <c r="AY1184" s="2218" t="s">
        <v>3285</v>
      </c>
    </row>
    <row r="1185" spans="2:65" s="2070" customFormat="1" ht="24.2" customHeight="1">
      <c r="B1185" s="2164"/>
      <c r="C1185" s="4608" t="s">
        <v>5256</v>
      </c>
      <c r="D1185" s="4608" t="s">
        <v>3286</v>
      </c>
      <c r="E1185" s="4609" t="s">
        <v>5485</v>
      </c>
      <c r="F1185" s="4610" t="s">
        <v>5486</v>
      </c>
      <c r="G1185" s="4611" t="s">
        <v>155</v>
      </c>
      <c r="H1185" s="4612">
        <v>4</v>
      </c>
      <c r="I1185" s="4613"/>
      <c r="J1185" s="4613">
        <f>ROUND(I1185*H1185,2)</f>
        <v>0</v>
      </c>
      <c r="K1185" s="4610" t="s">
        <v>142</v>
      </c>
      <c r="L1185" s="2071"/>
      <c r="M1185" s="2190" t="s">
        <v>3146</v>
      </c>
      <c r="N1185" s="2163" t="s">
        <v>3181</v>
      </c>
      <c r="O1185" s="2191">
        <v>9.1</v>
      </c>
      <c r="P1185" s="2191">
        <f>O1185*H1185</f>
        <v>36.4</v>
      </c>
      <c r="Q1185" s="2191">
        <v>0</v>
      </c>
      <c r="R1185" s="2191">
        <f>Q1185*H1185</f>
        <v>0</v>
      </c>
      <c r="S1185" s="2191">
        <v>0</v>
      </c>
      <c r="T1185" s="2192">
        <f>S1185*H1185</f>
        <v>0</v>
      </c>
      <c r="AR1185" s="2193" t="s">
        <v>2894</v>
      </c>
      <c r="AT1185" s="2193" t="s">
        <v>3286</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f>ROUND(I1185*H1185,2)</f>
        <v>0</v>
      </c>
      <c r="BL1185" s="2056" t="s">
        <v>2894</v>
      </c>
      <c r="BM1185" s="2193" t="s">
        <v>5487</v>
      </c>
    </row>
    <row r="1186" spans="2:65" s="2195" customFormat="1">
      <c r="B1186" s="2196"/>
      <c r="D1186" s="2197" t="s">
        <v>3303</v>
      </c>
      <c r="E1186" s="2198" t="s">
        <v>3146</v>
      </c>
      <c r="F1186" s="2199" t="s">
        <v>5488</v>
      </c>
      <c r="H1186" s="2198" t="s">
        <v>3146</v>
      </c>
      <c r="L1186" s="2196"/>
      <c r="M1186" s="2200"/>
      <c r="T1186" s="2201"/>
      <c r="AT1186" s="2198" t="s">
        <v>3303</v>
      </c>
      <c r="AU1186" s="2198" t="s">
        <v>134</v>
      </c>
      <c r="AV1186" s="2195" t="s">
        <v>133</v>
      </c>
      <c r="AW1186" s="2195" t="s">
        <v>3171</v>
      </c>
      <c r="AX1186" s="2195" t="s">
        <v>3213</v>
      </c>
      <c r="AY1186" s="2198" t="s">
        <v>3285</v>
      </c>
    </row>
    <row r="1187" spans="2:65" s="2209" customFormat="1">
      <c r="B1187" s="2210"/>
      <c r="D1187" s="2197" t="s">
        <v>3303</v>
      </c>
      <c r="E1187" s="2211" t="s">
        <v>3146</v>
      </c>
      <c r="F1187" s="2212" t="s">
        <v>133</v>
      </c>
      <c r="H1187" s="2213">
        <v>1</v>
      </c>
      <c r="L1187" s="2210"/>
      <c r="M1187" s="2214"/>
      <c r="T1187" s="2215"/>
      <c r="AT1187" s="2211" t="s">
        <v>3303</v>
      </c>
      <c r="AU1187" s="2211" t="s">
        <v>134</v>
      </c>
      <c r="AV1187" s="2209" t="s">
        <v>134</v>
      </c>
      <c r="AW1187" s="2209" t="s">
        <v>3171</v>
      </c>
      <c r="AX1187" s="2209" t="s">
        <v>3213</v>
      </c>
      <c r="AY1187" s="2211" t="s">
        <v>3285</v>
      </c>
    </row>
    <row r="1188" spans="2:65" s="2195" customFormat="1">
      <c r="B1188" s="2196"/>
      <c r="D1188" s="2197" t="s">
        <v>3303</v>
      </c>
      <c r="E1188" s="2198" t="s">
        <v>3146</v>
      </c>
      <c r="F1188" s="2199" t="s">
        <v>5489</v>
      </c>
      <c r="H1188" s="2198" t="s">
        <v>3146</v>
      </c>
      <c r="L1188" s="2196"/>
      <c r="M1188" s="2200"/>
      <c r="T1188" s="2201"/>
      <c r="AT1188" s="2198" t="s">
        <v>3303</v>
      </c>
      <c r="AU1188" s="2198" t="s">
        <v>134</v>
      </c>
      <c r="AV1188" s="2195" t="s">
        <v>133</v>
      </c>
      <c r="AW1188" s="2195" t="s">
        <v>3171</v>
      </c>
      <c r="AX1188" s="2195" t="s">
        <v>3213</v>
      </c>
      <c r="AY1188" s="2198" t="s">
        <v>3285</v>
      </c>
    </row>
    <row r="1189" spans="2:65" s="2209" customFormat="1">
      <c r="B1189" s="2210"/>
      <c r="D1189" s="2197" t="s">
        <v>3303</v>
      </c>
      <c r="E1189" s="2211" t="s">
        <v>3146</v>
      </c>
      <c r="F1189" s="2212" t="s">
        <v>133</v>
      </c>
      <c r="H1189" s="2213">
        <v>1</v>
      </c>
      <c r="L1189" s="2210"/>
      <c r="M1189" s="2214"/>
      <c r="T1189" s="2215"/>
      <c r="AT1189" s="2211" t="s">
        <v>3303</v>
      </c>
      <c r="AU1189" s="2211" t="s">
        <v>134</v>
      </c>
      <c r="AV1189" s="2209" t="s">
        <v>134</v>
      </c>
      <c r="AW1189" s="2209" t="s">
        <v>3171</v>
      </c>
      <c r="AX1189" s="2209" t="s">
        <v>3213</v>
      </c>
      <c r="AY1189" s="2211" t="s">
        <v>3285</v>
      </c>
    </row>
    <row r="1190" spans="2:65" s="2195" customFormat="1">
      <c r="B1190" s="2196"/>
      <c r="D1190" s="2197" t="s">
        <v>3303</v>
      </c>
      <c r="E1190" s="2198" t="s">
        <v>3146</v>
      </c>
      <c r="F1190" s="2199" t="s">
        <v>5490</v>
      </c>
      <c r="H1190" s="2198" t="s">
        <v>3146</v>
      </c>
      <c r="L1190" s="2196"/>
      <c r="M1190" s="2200"/>
      <c r="T1190" s="2201"/>
      <c r="AT1190" s="2198" t="s">
        <v>3303</v>
      </c>
      <c r="AU1190" s="2198" t="s">
        <v>134</v>
      </c>
      <c r="AV1190" s="2195" t="s">
        <v>133</v>
      </c>
      <c r="AW1190" s="2195" t="s">
        <v>3171</v>
      </c>
      <c r="AX1190" s="2195" t="s">
        <v>3213</v>
      </c>
      <c r="AY1190" s="2198" t="s">
        <v>3285</v>
      </c>
    </row>
    <row r="1191" spans="2:65" s="2209" customFormat="1">
      <c r="B1191" s="2210"/>
      <c r="D1191" s="2197" t="s">
        <v>3303</v>
      </c>
      <c r="E1191" s="2211" t="s">
        <v>3146</v>
      </c>
      <c r="F1191" s="2212" t="s">
        <v>133</v>
      </c>
      <c r="H1191" s="2213">
        <v>1</v>
      </c>
      <c r="L1191" s="2210"/>
      <c r="M1191" s="2214"/>
      <c r="T1191" s="2215"/>
      <c r="AT1191" s="2211" t="s">
        <v>3303</v>
      </c>
      <c r="AU1191" s="2211" t="s">
        <v>134</v>
      </c>
      <c r="AV1191" s="2209" t="s">
        <v>134</v>
      </c>
      <c r="AW1191" s="2209" t="s">
        <v>3171</v>
      </c>
      <c r="AX1191" s="2209" t="s">
        <v>3213</v>
      </c>
      <c r="AY1191" s="2211" t="s">
        <v>3285</v>
      </c>
    </row>
    <row r="1192" spans="2:65" s="2195" customFormat="1">
      <c r="B1192" s="2196"/>
      <c r="D1192" s="2197" t="s">
        <v>3303</v>
      </c>
      <c r="E1192" s="2198" t="s">
        <v>3146</v>
      </c>
      <c r="F1192" s="2199" t="s">
        <v>5491</v>
      </c>
      <c r="H1192" s="2198" t="s">
        <v>3146</v>
      </c>
      <c r="L1192" s="2196"/>
      <c r="M1192" s="2200"/>
      <c r="T1192" s="2201"/>
      <c r="AT1192" s="2198" t="s">
        <v>3303</v>
      </c>
      <c r="AU1192" s="2198" t="s">
        <v>134</v>
      </c>
      <c r="AV1192" s="2195" t="s">
        <v>133</v>
      </c>
      <c r="AW1192" s="2195" t="s">
        <v>3171</v>
      </c>
      <c r="AX1192" s="2195" t="s">
        <v>3213</v>
      </c>
      <c r="AY1192" s="2198" t="s">
        <v>3285</v>
      </c>
    </row>
    <row r="1193" spans="2:65" s="2209" customFormat="1">
      <c r="B1193" s="2210"/>
      <c r="D1193" s="2197" t="s">
        <v>3303</v>
      </c>
      <c r="E1193" s="2211" t="s">
        <v>3146</v>
      </c>
      <c r="F1193" s="2212" t="s">
        <v>133</v>
      </c>
      <c r="H1193" s="2213">
        <v>1</v>
      </c>
      <c r="L1193" s="2210"/>
      <c r="M1193" s="2214"/>
      <c r="T1193" s="2215"/>
      <c r="AT1193" s="2211" t="s">
        <v>3303</v>
      </c>
      <c r="AU1193" s="2211" t="s">
        <v>134</v>
      </c>
      <c r="AV1193" s="2209" t="s">
        <v>134</v>
      </c>
      <c r="AW1193" s="2209" t="s">
        <v>3171</v>
      </c>
      <c r="AX1193" s="2209" t="s">
        <v>3213</v>
      </c>
      <c r="AY1193" s="2211" t="s">
        <v>3285</v>
      </c>
    </row>
    <row r="1194" spans="2:65" s="2216" customFormat="1">
      <c r="B1194" s="2217"/>
      <c r="D1194" s="2197" t="s">
        <v>3303</v>
      </c>
      <c r="E1194" s="2218" t="s">
        <v>3146</v>
      </c>
      <c r="F1194" s="2219" t="s">
        <v>3306</v>
      </c>
      <c r="H1194" s="2220">
        <v>4</v>
      </c>
      <c r="L1194" s="2217"/>
      <c r="M1194" s="2221"/>
      <c r="T1194" s="2222"/>
      <c r="AT1194" s="2218" t="s">
        <v>3303</v>
      </c>
      <c r="AU1194" s="2218" t="s">
        <v>134</v>
      </c>
      <c r="AV1194" s="2216" t="s">
        <v>856</v>
      </c>
      <c r="AW1194" s="2216" t="s">
        <v>3171</v>
      </c>
      <c r="AX1194" s="2216" t="s">
        <v>133</v>
      </c>
      <c r="AY1194" s="2218" t="s">
        <v>3285</v>
      </c>
    </row>
    <row r="1195" spans="2:65" s="2070" customFormat="1" ht="33" customHeight="1">
      <c r="B1195" s="2164"/>
      <c r="C1195" s="4614" t="s">
        <v>5257</v>
      </c>
      <c r="D1195" s="4614" t="s">
        <v>135</v>
      </c>
      <c r="E1195" s="4615" t="s">
        <v>5492</v>
      </c>
      <c r="F1195" s="4616" t="s">
        <v>5493</v>
      </c>
      <c r="G1195" s="4617" t="s">
        <v>611</v>
      </c>
      <c r="H1195" s="4618">
        <v>13.26</v>
      </c>
      <c r="I1195" s="4619"/>
      <c r="J1195" s="4619">
        <f>ROUND(I1195*H1195,2)</f>
        <v>0</v>
      </c>
      <c r="K1195" s="4616" t="s">
        <v>142</v>
      </c>
      <c r="L1195" s="2223"/>
      <c r="M1195" s="2224" t="s">
        <v>3146</v>
      </c>
      <c r="N1195" s="2225" t="s">
        <v>3181</v>
      </c>
      <c r="O1195" s="2191">
        <v>0</v>
      </c>
      <c r="P1195" s="2191">
        <f>O1195*H1195</f>
        <v>0</v>
      </c>
      <c r="Q1195" s="2191">
        <v>3.8150000000000003E-2</v>
      </c>
      <c r="R1195" s="2191">
        <f>Q1195*H1195</f>
        <v>0.50586900000000001</v>
      </c>
      <c r="S1195" s="2191">
        <v>0</v>
      </c>
      <c r="T1195" s="2192">
        <f>S1195*H1195</f>
        <v>0</v>
      </c>
      <c r="AR1195" s="2193" t="s">
        <v>3389</v>
      </c>
      <c r="AT1195" s="2193" t="s">
        <v>135</v>
      </c>
      <c r="AU1195" s="2193" t="s">
        <v>134</v>
      </c>
      <c r="AY1195" s="2056" t="s">
        <v>3285</v>
      </c>
      <c r="BE1195" s="2194">
        <f>IF(N1195="základní",J1195,0)</f>
        <v>0</v>
      </c>
      <c r="BF1195" s="2194">
        <f>IF(N1195="snížená",J1195,0)</f>
        <v>0</v>
      </c>
      <c r="BG1195" s="2194">
        <f>IF(N1195="zákl. přenesená",J1195,0)</f>
        <v>0</v>
      </c>
      <c r="BH1195" s="2194">
        <f>IF(N1195="sníž. přenesená",J1195,0)</f>
        <v>0</v>
      </c>
      <c r="BI1195" s="2194">
        <f>IF(N1195="nulová",J1195,0)</f>
        <v>0</v>
      </c>
      <c r="BJ1195" s="2056" t="s">
        <v>134</v>
      </c>
      <c r="BK1195" s="2194">
        <f>ROUND(I1195*H1195,2)</f>
        <v>0</v>
      </c>
      <c r="BL1195" s="2056" t="s">
        <v>2894</v>
      </c>
      <c r="BM1195" s="2193" t="s">
        <v>5494</v>
      </c>
    </row>
    <row r="1196" spans="2:65" s="2195" customFormat="1">
      <c r="B1196" s="2196"/>
      <c r="D1196" s="2197" t="s">
        <v>3303</v>
      </c>
      <c r="E1196" s="2198" t="s">
        <v>3146</v>
      </c>
      <c r="F1196" s="2199" t="s">
        <v>5488</v>
      </c>
      <c r="H1196" s="2198" t="s">
        <v>3146</v>
      </c>
      <c r="L1196" s="2196"/>
      <c r="M1196" s="2200"/>
      <c r="T1196" s="2201"/>
      <c r="AT1196" s="2198" t="s">
        <v>3303</v>
      </c>
      <c r="AU1196" s="2198" t="s">
        <v>134</v>
      </c>
      <c r="AV1196" s="2195" t="s">
        <v>133</v>
      </c>
      <c r="AW1196" s="2195" t="s">
        <v>3171</v>
      </c>
      <c r="AX1196" s="2195" t="s">
        <v>3213</v>
      </c>
      <c r="AY1196" s="2198" t="s">
        <v>3285</v>
      </c>
    </row>
    <row r="1197" spans="2:65" s="2209" customFormat="1">
      <c r="B1197" s="2210"/>
      <c r="D1197" s="2197" t="s">
        <v>3303</v>
      </c>
      <c r="E1197" s="2211" t="s">
        <v>3146</v>
      </c>
      <c r="F1197" s="2212" t="s">
        <v>5495</v>
      </c>
      <c r="H1197" s="2213">
        <v>3.38</v>
      </c>
      <c r="L1197" s="2210"/>
      <c r="M1197" s="2214"/>
      <c r="T1197" s="2215"/>
      <c r="AT1197" s="2211" t="s">
        <v>3303</v>
      </c>
      <c r="AU1197" s="2211" t="s">
        <v>134</v>
      </c>
      <c r="AV1197" s="2209" t="s">
        <v>134</v>
      </c>
      <c r="AW1197" s="2209" t="s">
        <v>3171</v>
      </c>
      <c r="AX1197" s="2209" t="s">
        <v>3213</v>
      </c>
      <c r="AY1197" s="2211" t="s">
        <v>3285</v>
      </c>
    </row>
    <row r="1198" spans="2:65" s="2195" customFormat="1">
      <c r="B1198" s="2196"/>
      <c r="D1198" s="2197" t="s">
        <v>3303</v>
      </c>
      <c r="E1198" s="2198" t="s">
        <v>3146</v>
      </c>
      <c r="F1198" s="2199" t="s">
        <v>5489</v>
      </c>
      <c r="H1198" s="2198" t="s">
        <v>3146</v>
      </c>
      <c r="L1198" s="2196"/>
      <c r="M1198" s="2200"/>
      <c r="T1198" s="2201"/>
      <c r="AT1198" s="2198" t="s">
        <v>3303</v>
      </c>
      <c r="AU1198" s="2198" t="s">
        <v>134</v>
      </c>
      <c r="AV1198" s="2195" t="s">
        <v>133</v>
      </c>
      <c r="AW1198" s="2195" t="s">
        <v>3171</v>
      </c>
      <c r="AX1198" s="2195" t="s">
        <v>3213</v>
      </c>
      <c r="AY1198" s="2198" t="s">
        <v>3285</v>
      </c>
    </row>
    <row r="1199" spans="2:65" s="2209" customFormat="1">
      <c r="B1199" s="2210"/>
      <c r="D1199" s="2197" t="s">
        <v>3303</v>
      </c>
      <c r="E1199" s="2211" t="s">
        <v>3146</v>
      </c>
      <c r="F1199" s="2212" t="s">
        <v>5496</v>
      </c>
      <c r="H1199" s="2213">
        <v>3.12</v>
      </c>
      <c r="L1199" s="2210"/>
      <c r="M1199" s="2214"/>
      <c r="T1199" s="2215"/>
      <c r="AT1199" s="2211" t="s">
        <v>3303</v>
      </c>
      <c r="AU1199" s="2211" t="s">
        <v>134</v>
      </c>
      <c r="AV1199" s="2209" t="s">
        <v>134</v>
      </c>
      <c r="AW1199" s="2209" t="s">
        <v>3171</v>
      </c>
      <c r="AX1199" s="2209" t="s">
        <v>3213</v>
      </c>
      <c r="AY1199" s="2211" t="s">
        <v>3285</v>
      </c>
    </row>
    <row r="1200" spans="2:65" s="2195" customFormat="1">
      <c r="B1200" s="2196"/>
      <c r="D1200" s="2197" t="s">
        <v>3303</v>
      </c>
      <c r="E1200" s="2198" t="s">
        <v>3146</v>
      </c>
      <c r="F1200" s="2199" t="s">
        <v>5490</v>
      </c>
      <c r="H1200" s="2198" t="s">
        <v>3146</v>
      </c>
      <c r="L1200" s="2196"/>
      <c r="M1200" s="2200"/>
      <c r="T1200" s="2201"/>
      <c r="AT1200" s="2198" t="s">
        <v>3303</v>
      </c>
      <c r="AU1200" s="2198" t="s">
        <v>134</v>
      </c>
      <c r="AV1200" s="2195" t="s">
        <v>133</v>
      </c>
      <c r="AW1200" s="2195" t="s">
        <v>3171</v>
      </c>
      <c r="AX1200" s="2195" t="s">
        <v>3213</v>
      </c>
      <c r="AY1200" s="2198" t="s">
        <v>3285</v>
      </c>
    </row>
    <row r="1201" spans="2:65" s="2209" customFormat="1">
      <c r="B1201" s="2210"/>
      <c r="D1201" s="2197" t="s">
        <v>3303</v>
      </c>
      <c r="E1201" s="2211" t="s">
        <v>3146</v>
      </c>
      <c r="F1201" s="2212" t="s">
        <v>5495</v>
      </c>
      <c r="H1201" s="2213">
        <v>3.38</v>
      </c>
      <c r="L1201" s="2210"/>
      <c r="M1201" s="2214"/>
      <c r="T1201" s="2215"/>
      <c r="AT1201" s="2211" t="s">
        <v>3303</v>
      </c>
      <c r="AU1201" s="2211" t="s">
        <v>134</v>
      </c>
      <c r="AV1201" s="2209" t="s">
        <v>134</v>
      </c>
      <c r="AW1201" s="2209" t="s">
        <v>3171</v>
      </c>
      <c r="AX1201" s="2209" t="s">
        <v>3213</v>
      </c>
      <c r="AY1201" s="2211" t="s">
        <v>3285</v>
      </c>
    </row>
    <row r="1202" spans="2:65" s="2195" customFormat="1">
      <c r="B1202" s="2196"/>
      <c r="D1202" s="2197" t="s">
        <v>3303</v>
      </c>
      <c r="E1202" s="2198" t="s">
        <v>3146</v>
      </c>
      <c r="F1202" s="2199" t="s">
        <v>5491</v>
      </c>
      <c r="H1202" s="2198" t="s">
        <v>3146</v>
      </c>
      <c r="L1202" s="2196"/>
      <c r="M1202" s="2200"/>
      <c r="T1202" s="2201"/>
      <c r="AT1202" s="2198" t="s">
        <v>3303</v>
      </c>
      <c r="AU1202" s="2198" t="s">
        <v>134</v>
      </c>
      <c r="AV1202" s="2195" t="s">
        <v>133</v>
      </c>
      <c r="AW1202" s="2195" t="s">
        <v>3171</v>
      </c>
      <c r="AX1202" s="2195" t="s">
        <v>3213</v>
      </c>
      <c r="AY1202" s="2198" t="s">
        <v>3285</v>
      </c>
    </row>
    <row r="1203" spans="2:65" s="2209" customFormat="1">
      <c r="B1203" s="2210"/>
      <c r="D1203" s="2197" t="s">
        <v>3303</v>
      </c>
      <c r="E1203" s="2211" t="s">
        <v>3146</v>
      </c>
      <c r="F1203" s="2212" t="s">
        <v>5495</v>
      </c>
      <c r="H1203" s="2213">
        <v>3.38</v>
      </c>
      <c r="L1203" s="2210"/>
      <c r="M1203" s="2214"/>
      <c r="T1203" s="2215"/>
      <c r="AT1203" s="2211" t="s">
        <v>3303</v>
      </c>
      <c r="AU1203" s="2211" t="s">
        <v>134</v>
      </c>
      <c r="AV1203" s="2209" t="s">
        <v>134</v>
      </c>
      <c r="AW1203" s="2209" t="s">
        <v>3171</v>
      </c>
      <c r="AX1203" s="2209" t="s">
        <v>3213</v>
      </c>
      <c r="AY1203" s="2211" t="s">
        <v>3285</v>
      </c>
    </row>
    <row r="1204" spans="2:65" s="2216" customFormat="1">
      <c r="B1204" s="2217"/>
      <c r="D1204" s="2197" t="s">
        <v>3303</v>
      </c>
      <c r="E1204" s="2218" t="s">
        <v>3146</v>
      </c>
      <c r="F1204" s="2219" t="s">
        <v>3306</v>
      </c>
      <c r="H1204" s="2220">
        <v>13.26</v>
      </c>
      <c r="L1204" s="2217"/>
      <c r="M1204" s="2221"/>
      <c r="T1204" s="2222"/>
      <c r="AT1204" s="2218" t="s">
        <v>3303</v>
      </c>
      <c r="AU1204" s="2218" t="s">
        <v>134</v>
      </c>
      <c r="AV1204" s="2216" t="s">
        <v>856</v>
      </c>
      <c r="AW1204" s="2216" t="s">
        <v>3171</v>
      </c>
      <c r="AX1204" s="2216" t="s">
        <v>133</v>
      </c>
      <c r="AY1204" s="2218" t="s">
        <v>3285</v>
      </c>
    </row>
    <row r="1205" spans="2:65" s="2070" customFormat="1" ht="24.2" customHeight="1">
      <c r="B1205" s="2164"/>
      <c r="C1205" s="4608" t="s">
        <v>5258</v>
      </c>
      <c r="D1205" s="4608" t="s">
        <v>3286</v>
      </c>
      <c r="E1205" s="4609" t="s">
        <v>5497</v>
      </c>
      <c r="F1205" s="4610" t="s">
        <v>5498</v>
      </c>
      <c r="G1205" s="4611" t="s">
        <v>155</v>
      </c>
      <c r="H1205" s="4612">
        <v>3</v>
      </c>
      <c r="I1205" s="4613"/>
      <c r="J1205" s="4613">
        <f>ROUND(I1205*H1205,2)</f>
        <v>0</v>
      </c>
      <c r="K1205" s="4610" t="s">
        <v>142</v>
      </c>
      <c r="L1205" s="2071"/>
      <c r="M1205" s="2190" t="s">
        <v>3146</v>
      </c>
      <c r="N1205" s="2163" t="s">
        <v>3181</v>
      </c>
      <c r="O1205" s="2191">
        <v>13.65</v>
      </c>
      <c r="P1205" s="2191">
        <f>O1205*H1205</f>
        <v>40.950000000000003</v>
      </c>
      <c r="Q1205" s="2191">
        <v>0</v>
      </c>
      <c r="R1205" s="2191">
        <f>Q1205*H1205</f>
        <v>0</v>
      </c>
      <c r="S1205" s="2191">
        <v>0</v>
      </c>
      <c r="T1205" s="2192">
        <f>S1205*H1205</f>
        <v>0</v>
      </c>
      <c r="AR1205" s="2193" t="s">
        <v>2894</v>
      </c>
      <c r="AT1205" s="2193" t="s">
        <v>3286</v>
      </c>
      <c r="AU1205" s="2193" t="s">
        <v>134</v>
      </c>
      <c r="AY1205" s="2056" t="s">
        <v>3285</v>
      </c>
      <c r="BE1205" s="2194">
        <f>IF(N1205="základní",J1205,0)</f>
        <v>0</v>
      </c>
      <c r="BF1205" s="2194">
        <f>IF(N1205="snížená",J1205,0)</f>
        <v>0</v>
      </c>
      <c r="BG1205" s="2194">
        <f>IF(N1205="zákl. přenesená",J1205,0)</f>
        <v>0</v>
      </c>
      <c r="BH1205" s="2194">
        <f>IF(N1205="sníž. přenesená",J1205,0)</f>
        <v>0</v>
      </c>
      <c r="BI1205" s="2194">
        <f>IF(N1205="nulová",J1205,0)</f>
        <v>0</v>
      </c>
      <c r="BJ1205" s="2056" t="s">
        <v>134</v>
      </c>
      <c r="BK1205" s="2194">
        <f>ROUND(I1205*H1205,2)</f>
        <v>0</v>
      </c>
      <c r="BL1205" s="2056" t="s">
        <v>2894</v>
      </c>
      <c r="BM1205" s="2193" t="s">
        <v>5499</v>
      </c>
    </row>
    <row r="1206" spans="2:65" s="2195" customFormat="1">
      <c r="B1206" s="2196"/>
      <c r="D1206" s="2197" t="s">
        <v>3303</v>
      </c>
      <c r="E1206" s="2198" t="s">
        <v>3146</v>
      </c>
      <c r="F1206" s="2199" t="s">
        <v>5500</v>
      </c>
      <c r="H1206" s="2198" t="s">
        <v>3146</v>
      </c>
      <c r="L1206" s="2196"/>
      <c r="M1206" s="2200"/>
      <c r="T1206" s="2201"/>
      <c r="AT1206" s="2198" t="s">
        <v>3303</v>
      </c>
      <c r="AU1206" s="2198" t="s">
        <v>134</v>
      </c>
      <c r="AV1206" s="2195" t="s">
        <v>133</v>
      </c>
      <c r="AW1206" s="2195" t="s">
        <v>3171</v>
      </c>
      <c r="AX1206" s="2195" t="s">
        <v>3213</v>
      </c>
      <c r="AY1206" s="2198" t="s">
        <v>3285</v>
      </c>
    </row>
    <row r="1207" spans="2:65" s="2209" customFormat="1">
      <c r="B1207" s="2210"/>
      <c r="D1207" s="2197" t="s">
        <v>3303</v>
      </c>
      <c r="E1207" s="2211" t="s">
        <v>3146</v>
      </c>
      <c r="F1207" s="2212" t="s">
        <v>133</v>
      </c>
      <c r="H1207" s="2213">
        <v>1</v>
      </c>
      <c r="L1207" s="2210"/>
      <c r="M1207" s="2214"/>
      <c r="T1207" s="2215"/>
      <c r="AT1207" s="2211" t="s">
        <v>3303</v>
      </c>
      <c r="AU1207" s="2211" t="s">
        <v>134</v>
      </c>
      <c r="AV1207" s="2209" t="s">
        <v>134</v>
      </c>
      <c r="AW1207" s="2209" t="s">
        <v>3171</v>
      </c>
      <c r="AX1207" s="2209" t="s">
        <v>3213</v>
      </c>
      <c r="AY1207" s="2211" t="s">
        <v>3285</v>
      </c>
    </row>
    <row r="1208" spans="2:65" s="2195" customFormat="1">
      <c r="B1208" s="2196"/>
      <c r="D1208" s="2197" t="s">
        <v>3303</v>
      </c>
      <c r="E1208" s="2198" t="s">
        <v>3146</v>
      </c>
      <c r="F1208" s="2199" t="s">
        <v>5501</v>
      </c>
      <c r="H1208" s="2198" t="s">
        <v>3146</v>
      </c>
      <c r="L1208" s="2196"/>
      <c r="M1208" s="2200"/>
      <c r="T1208" s="2201"/>
      <c r="AT1208" s="2198" t="s">
        <v>3303</v>
      </c>
      <c r="AU1208" s="2198" t="s">
        <v>134</v>
      </c>
      <c r="AV1208" s="2195" t="s">
        <v>133</v>
      </c>
      <c r="AW1208" s="2195" t="s">
        <v>3171</v>
      </c>
      <c r="AX1208" s="2195" t="s">
        <v>3213</v>
      </c>
      <c r="AY1208" s="2198" t="s">
        <v>3285</v>
      </c>
    </row>
    <row r="1209" spans="2:65" s="2209" customFormat="1">
      <c r="B1209" s="2210"/>
      <c r="D1209" s="2197" t="s">
        <v>3303</v>
      </c>
      <c r="E1209" s="2211" t="s">
        <v>3146</v>
      </c>
      <c r="F1209" s="2212" t="s">
        <v>133</v>
      </c>
      <c r="H1209" s="2213">
        <v>1</v>
      </c>
      <c r="L1209" s="2210"/>
      <c r="M1209" s="2214"/>
      <c r="T1209" s="2215"/>
      <c r="AT1209" s="2211" t="s">
        <v>3303</v>
      </c>
      <c r="AU1209" s="2211" t="s">
        <v>134</v>
      </c>
      <c r="AV1209" s="2209" t="s">
        <v>134</v>
      </c>
      <c r="AW1209" s="2209" t="s">
        <v>3171</v>
      </c>
      <c r="AX1209" s="2209" t="s">
        <v>3213</v>
      </c>
      <c r="AY1209" s="2211" t="s">
        <v>3285</v>
      </c>
    </row>
    <row r="1210" spans="2:65" s="2195" customFormat="1">
      <c r="B1210" s="2196"/>
      <c r="D1210" s="2197" t="s">
        <v>3303</v>
      </c>
      <c r="E1210" s="2198" t="s">
        <v>3146</v>
      </c>
      <c r="F1210" s="2199" t="s">
        <v>5502</v>
      </c>
      <c r="H1210" s="2198" t="s">
        <v>3146</v>
      </c>
      <c r="L1210" s="2196"/>
      <c r="M1210" s="2200"/>
      <c r="T1210" s="2201"/>
      <c r="AT1210" s="2198" t="s">
        <v>3303</v>
      </c>
      <c r="AU1210" s="2198" t="s">
        <v>134</v>
      </c>
      <c r="AV1210" s="2195" t="s">
        <v>133</v>
      </c>
      <c r="AW1210" s="2195" t="s">
        <v>3171</v>
      </c>
      <c r="AX1210" s="2195" t="s">
        <v>3213</v>
      </c>
      <c r="AY1210" s="2198" t="s">
        <v>3285</v>
      </c>
    </row>
    <row r="1211" spans="2:65" s="2209" customFormat="1">
      <c r="B1211" s="2210"/>
      <c r="D1211" s="2197" t="s">
        <v>3303</v>
      </c>
      <c r="E1211" s="2211" t="s">
        <v>3146</v>
      </c>
      <c r="F1211" s="2212" t="s">
        <v>133</v>
      </c>
      <c r="H1211" s="2213">
        <v>1</v>
      </c>
      <c r="L1211" s="2210"/>
      <c r="M1211" s="2214"/>
      <c r="T1211" s="2215"/>
      <c r="AT1211" s="2211" t="s">
        <v>3303</v>
      </c>
      <c r="AU1211" s="2211" t="s">
        <v>134</v>
      </c>
      <c r="AV1211" s="2209" t="s">
        <v>134</v>
      </c>
      <c r="AW1211" s="2209" t="s">
        <v>3171</v>
      </c>
      <c r="AX1211" s="2209" t="s">
        <v>3213</v>
      </c>
      <c r="AY1211" s="2211" t="s">
        <v>3285</v>
      </c>
    </row>
    <row r="1212" spans="2:65" s="2216" customFormat="1">
      <c r="B1212" s="2217"/>
      <c r="D1212" s="2197" t="s">
        <v>3303</v>
      </c>
      <c r="E1212" s="2218" t="s">
        <v>3146</v>
      </c>
      <c r="F1212" s="2219" t="s">
        <v>3306</v>
      </c>
      <c r="H1212" s="2220">
        <v>3</v>
      </c>
      <c r="L1212" s="2217"/>
      <c r="M1212" s="2221"/>
      <c r="T1212" s="2222"/>
      <c r="AT1212" s="2218" t="s">
        <v>3303</v>
      </c>
      <c r="AU1212" s="2218" t="s">
        <v>134</v>
      </c>
      <c r="AV1212" s="2216" t="s">
        <v>856</v>
      </c>
      <c r="AW1212" s="2216" t="s">
        <v>3171</v>
      </c>
      <c r="AX1212" s="2216" t="s">
        <v>133</v>
      </c>
      <c r="AY1212" s="2218" t="s">
        <v>3285</v>
      </c>
    </row>
    <row r="1213" spans="2:65" s="2070" customFormat="1" ht="24.2" customHeight="1">
      <c r="B1213" s="2164"/>
      <c r="C1213" s="4614" t="s">
        <v>5259</v>
      </c>
      <c r="D1213" s="4614" t="s">
        <v>135</v>
      </c>
      <c r="E1213" s="4615" t="s">
        <v>5503</v>
      </c>
      <c r="F1213" s="4616" t="s">
        <v>5504</v>
      </c>
      <c r="G1213" s="4617" t="s">
        <v>611</v>
      </c>
      <c r="H1213" s="4618">
        <v>11</v>
      </c>
      <c r="I1213" s="4619"/>
      <c r="J1213" s="4619">
        <f>ROUND(I1213*H1213,2)</f>
        <v>0</v>
      </c>
      <c r="K1213" s="4616" t="s">
        <v>142</v>
      </c>
      <c r="L1213" s="2223"/>
      <c r="M1213" s="2224" t="s">
        <v>3146</v>
      </c>
      <c r="N1213" s="2225" t="s">
        <v>3181</v>
      </c>
      <c r="O1213" s="2191">
        <v>0</v>
      </c>
      <c r="P1213" s="2191">
        <f>O1213*H1213</f>
        <v>0</v>
      </c>
      <c r="Q1213" s="2191">
        <v>2.4230000000000002E-2</v>
      </c>
      <c r="R1213" s="2191">
        <f>Q1213*H1213</f>
        <v>0.26653000000000004</v>
      </c>
      <c r="S1213" s="2191">
        <v>0</v>
      </c>
      <c r="T1213" s="2192">
        <f>S1213*H1213</f>
        <v>0</v>
      </c>
      <c r="AR1213" s="2193" t="s">
        <v>3389</v>
      </c>
      <c r="AT1213" s="2193" t="s">
        <v>135</v>
      </c>
      <c r="AU1213" s="2193" t="s">
        <v>134</v>
      </c>
      <c r="AY1213" s="2056" t="s">
        <v>3285</v>
      </c>
      <c r="BE1213" s="2194">
        <f>IF(N1213="základní",J1213,0)</f>
        <v>0</v>
      </c>
      <c r="BF1213" s="2194">
        <f>IF(N1213="snížená",J1213,0)</f>
        <v>0</v>
      </c>
      <c r="BG1213" s="2194">
        <f>IF(N1213="zákl. přenesená",J1213,0)</f>
        <v>0</v>
      </c>
      <c r="BH1213" s="2194">
        <f>IF(N1213="sníž. přenesená",J1213,0)</f>
        <v>0</v>
      </c>
      <c r="BI1213" s="2194">
        <f>IF(N1213="nulová",J1213,0)</f>
        <v>0</v>
      </c>
      <c r="BJ1213" s="2056" t="s">
        <v>134</v>
      </c>
      <c r="BK1213" s="2194">
        <f>ROUND(I1213*H1213,2)</f>
        <v>0</v>
      </c>
      <c r="BL1213" s="2056" t="s">
        <v>2894</v>
      </c>
      <c r="BM1213" s="2193" t="s">
        <v>5505</v>
      </c>
    </row>
    <row r="1214" spans="2:65" s="2195" customFormat="1">
      <c r="B1214" s="2196"/>
      <c r="D1214" s="2197" t="s">
        <v>3303</v>
      </c>
      <c r="E1214" s="2198" t="s">
        <v>3146</v>
      </c>
      <c r="F1214" s="2199" t="s">
        <v>5500</v>
      </c>
      <c r="H1214" s="2198" t="s">
        <v>3146</v>
      </c>
      <c r="L1214" s="2196"/>
      <c r="M1214" s="2200"/>
      <c r="T1214" s="2201"/>
      <c r="AT1214" s="2198" t="s">
        <v>3303</v>
      </c>
      <c r="AU1214" s="2198" t="s">
        <v>134</v>
      </c>
      <c r="AV1214" s="2195" t="s">
        <v>133</v>
      </c>
      <c r="AW1214" s="2195" t="s">
        <v>3171</v>
      </c>
      <c r="AX1214" s="2195" t="s">
        <v>3213</v>
      </c>
      <c r="AY1214" s="2198" t="s">
        <v>3285</v>
      </c>
    </row>
    <row r="1215" spans="2:65" s="2209" customFormat="1">
      <c r="B1215" s="2210"/>
      <c r="D1215" s="2197" t="s">
        <v>3303</v>
      </c>
      <c r="E1215" s="2211" t="s">
        <v>3146</v>
      </c>
      <c r="F1215" s="2212" t="s">
        <v>5506</v>
      </c>
      <c r="H1215" s="2213">
        <v>3.74</v>
      </c>
      <c r="L1215" s="2210"/>
      <c r="M1215" s="2214"/>
      <c r="T1215" s="2215"/>
      <c r="AT1215" s="2211" t="s">
        <v>3303</v>
      </c>
      <c r="AU1215" s="2211" t="s">
        <v>134</v>
      </c>
      <c r="AV1215" s="2209" t="s">
        <v>134</v>
      </c>
      <c r="AW1215" s="2209" t="s">
        <v>3171</v>
      </c>
      <c r="AX1215" s="2209" t="s">
        <v>3213</v>
      </c>
      <c r="AY1215" s="2211" t="s">
        <v>3285</v>
      </c>
    </row>
    <row r="1216" spans="2:65" s="2195" customFormat="1">
      <c r="B1216" s="2196"/>
      <c r="D1216" s="2197" t="s">
        <v>3303</v>
      </c>
      <c r="E1216" s="2198" t="s">
        <v>3146</v>
      </c>
      <c r="F1216" s="2199" t="s">
        <v>5501</v>
      </c>
      <c r="H1216" s="2198" t="s">
        <v>3146</v>
      </c>
      <c r="L1216" s="2196"/>
      <c r="M1216" s="2200"/>
      <c r="T1216" s="2201"/>
      <c r="AT1216" s="2198" t="s">
        <v>3303</v>
      </c>
      <c r="AU1216" s="2198" t="s">
        <v>134</v>
      </c>
      <c r="AV1216" s="2195" t="s">
        <v>133</v>
      </c>
      <c r="AW1216" s="2195" t="s">
        <v>3171</v>
      </c>
      <c r="AX1216" s="2195" t="s">
        <v>3213</v>
      </c>
      <c r="AY1216" s="2198" t="s">
        <v>3285</v>
      </c>
    </row>
    <row r="1217" spans="2:65" s="2209" customFormat="1">
      <c r="B1217" s="2210"/>
      <c r="D1217" s="2197" t="s">
        <v>3303</v>
      </c>
      <c r="E1217" s="2211" t="s">
        <v>3146</v>
      </c>
      <c r="F1217" s="2212" t="s">
        <v>5506</v>
      </c>
      <c r="H1217" s="2213">
        <v>3.74</v>
      </c>
      <c r="L1217" s="2210"/>
      <c r="M1217" s="2214"/>
      <c r="T1217" s="2215"/>
      <c r="AT1217" s="2211" t="s">
        <v>3303</v>
      </c>
      <c r="AU1217" s="2211" t="s">
        <v>134</v>
      </c>
      <c r="AV1217" s="2209" t="s">
        <v>134</v>
      </c>
      <c r="AW1217" s="2209" t="s">
        <v>3171</v>
      </c>
      <c r="AX1217" s="2209" t="s">
        <v>3213</v>
      </c>
      <c r="AY1217" s="2211" t="s">
        <v>3285</v>
      </c>
    </row>
    <row r="1218" spans="2:65" s="2195" customFormat="1">
      <c r="B1218" s="2196"/>
      <c r="D1218" s="2197" t="s">
        <v>3303</v>
      </c>
      <c r="E1218" s="2198" t="s">
        <v>3146</v>
      </c>
      <c r="F1218" s="2199" t="s">
        <v>5502</v>
      </c>
      <c r="H1218" s="2198" t="s">
        <v>3146</v>
      </c>
      <c r="L1218" s="2196"/>
      <c r="M1218" s="2200"/>
      <c r="T1218" s="2201"/>
      <c r="AT1218" s="2198" t="s">
        <v>3303</v>
      </c>
      <c r="AU1218" s="2198" t="s">
        <v>134</v>
      </c>
      <c r="AV1218" s="2195" t="s">
        <v>133</v>
      </c>
      <c r="AW1218" s="2195" t="s">
        <v>3171</v>
      </c>
      <c r="AX1218" s="2195" t="s">
        <v>3213</v>
      </c>
      <c r="AY1218" s="2198" t="s">
        <v>3285</v>
      </c>
    </row>
    <row r="1219" spans="2:65" s="2209" customFormat="1">
      <c r="B1219" s="2210"/>
      <c r="D1219" s="2197" t="s">
        <v>3303</v>
      </c>
      <c r="E1219" s="2211" t="s">
        <v>3146</v>
      </c>
      <c r="F1219" s="2212" t="s">
        <v>5507</v>
      </c>
      <c r="H1219" s="2213">
        <v>3.52</v>
      </c>
      <c r="L1219" s="2210"/>
      <c r="M1219" s="2214"/>
      <c r="T1219" s="2215"/>
      <c r="AT1219" s="2211" t="s">
        <v>3303</v>
      </c>
      <c r="AU1219" s="2211" t="s">
        <v>134</v>
      </c>
      <c r="AV1219" s="2209" t="s">
        <v>134</v>
      </c>
      <c r="AW1219" s="2209" t="s">
        <v>3171</v>
      </c>
      <c r="AX1219" s="2209" t="s">
        <v>3213</v>
      </c>
      <c r="AY1219" s="2211" t="s">
        <v>3285</v>
      </c>
    </row>
    <row r="1220" spans="2:65" s="2216" customFormat="1">
      <c r="B1220" s="2217"/>
      <c r="D1220" s="2197" t="s">
        <v>3303</v>
      </c>
      <c r="E1220" s="2218" t="s">
        <v>3146</v>
      </c>
      <c r="F1220" s="2219" t="s">
        <v>3306</v>
      </c>
      <c r="H1220" s="2220">
        <v>11</v>
      </c>
      <c r="L1220" s="2217"/>
      <c r="M1220" s="2221"/>
      <c r="T1220" s="2222"/>
      <c r="AT1220" s="2218" t="s">
        <v>3303</v>
      </c>
      <c r="AU1220" s="2218" t="s">
        <v>134</v>
      </c>
      <c r="AV1220" s="2216" t="s">
        <v>856</v>
      </c>
      <c r="AW1220" s="2216" t="s">
        <v>3171</v>
      </c>
      <c r="AX1220" s="2216" t="s">
        <v>133</v>
      </c>
      <c r="AY1220" s="2218" t="s">
        <v>3285</v>
      </c>
    </row>
    <row r="1221" spans="2:65" s="2070" customFormat="1" ht="24.2" customHeight="1">
      <c r="B1221" s="2164"/>
      <c r="C1221" s="4608" t="s">
        <v>5260</v>
      </c>
      <c r="D1221" s="4608" t="s">
        <v>3286</v>
      </c>
      <c r="E1221" s="4609" t="s">
        <v>5508</v>
      </c>
      <c r="F1221" s="4610" t="s">
        <v>5509</v>
      </c>
      <c r="G1221" s="4611" t="s">
        <v>155</v>
      </c>
      <c r="H1221" s="4612">
        <v>1</v>
      </c>
      <c r="I1221" s="4613"/>
      <c r="J1221" s="4613">
        <f>ROUND(I1221*H1221,2)</f>
        <v>0</v>
      </c>
      <c r="K1221" s="4610" t="s">
        <v>142</v>
      </c>
      <c r="L1221" s="2071"/>
      <c r="M1221" s="2190" t="s">
        <v>3146</v>
      </c>
      <c r="N1221" s="2163" t="s">
        <v>3181</v>
      </c>
      <c r="O1221" s="2191">
        <v>16.399999999999999</v>
      </c>
      <c r="P1221" s="2191">
        <f>O1221*H1221</f>
        <v>16.399999999999999</v>
      </c>
      <c r="Q1221" s="2191">
        <v>0</v>
      </c>
      <c r="R1221" s="2191">
        <f>Q1221*H1221</f>
        <v>0</v>
      </c>
      <c r="S1221" s="2191">
        <v>0</v>
      </c>
      <c r="T1221" s="2192">
        <f>S1221*H1221</f>
        <v>0</v>
      </c>
      <c r="AR1221" s="2193" t="s">
        <v>2894</v>
      </c>
      <c r="AT1221" s="2193" t="s">
        <v>3286</v>
      </c>
      <c r="AU1221" s="2193" t="s">
        <v>134</v>
      </c>
      <c r="AY1221" s="2056" t="s">
        <v>3285</v>
      </c>
      <c r="BE1221" s="2194">
        <f>IF(N1221="základní",J1221,0)</f>
        <v>0</v>
      </c>
      <c r="BF1221" s="2194">
        <f>IF(N1221="snížená",J1221,0)</f>
        <v>0</v>
      </c>
      <c r="BG1221" s="2194">
        <f>IF(N1221="zákl. přenesená",J1221,0)</f>
        <v>0</v>
      </c>
      <c r="BH1221" s="2194">
        <f>IF(N1221="sníž. přenesená",J1221,0)</f>
        <v>0</v>
      </c>
      <c r="BI1221" s="2194">
        <f>IF(N1221="nulová",J1221,0)</f>
        <v>0</v>
      </c>
      <c r="BJ1221" s="2056" t="s">
        <v>134</v>
      </c>
      <c r="BK1221" s="2194">
        <f>ROUND(I1221*H1221,2)</f>
        <v>0</v>
      </c>
      <c r="BL1221" s="2056" t="s">
        <v>2894</v>
      </c>
      <c r="BM1221" s="2193" t="s">
        <v>5510</v>
      </c>
    </row>
    <row r="1222" spans="2:65" s="2195" customFormat="1">
      <c r="B1222" s="2196"/>
      <c r="D1222" s="2197" t="s">
        <v>3303</v>
      </c>
      <c r="E1222" s="2198" t="s">
        <v>3146</v>
      </c>
      <c r="F1222" s="2199" t="s">
        <v>5511</v>
      </c>
      <c r="H1222" s="2198" t="s">
        <v>3146</v>
      </c>
      <c r="L1222" s="2196"/>
      <c r="M1222" s="2200"/>
      <c r="T1222" s="2201"/>
      <c r="AT1222" s="2198" t="s">
        <v>3303</v>
      </c>
      <c r="AU1222" s="2198" t="s">
        <v>134</v>
      </c>
      <c r="AV1222" s="2195" t="s">
        <v>133</v>
      </c>
      <c r="AW1222" s="2195" t="s">
        <v>3171</v>
      </c>
      <c r="AX1222" s="2195" t="s">
        <v>3213</v>
      </c>
      <c r="AY1222" s="2198" t="s">
        <v>3285</v>
      </c>
    </row>
    <row r="1223" spans="2:65" s="2209" customFormat="1">
      <c r="B1223" s="2210"/>
      <c r="D1223" s="2197" t="s">
        <v>3303</v>
      </c>
      <c r="E1223" s="2211" t="s">
        <v>3146</v>
      </c>
      <c r="F1223" s="2212" t="s">
        <v>133</v>
      </c>
      <c r="H1223" s="2213">
        <v>1</v>
      </c>
      <c r="L1223" s="2210"/>
      <c r="M1223" s="2214"/>
      <c r="T1223" s="2215"/>
      <c r="AT1223" s="2211" t="s">
        <v>3303</v>
      </c>
      <c r="AU1223" s="2211" t="s">
        <v>134</v>
      </c>
      <c r="AV1223" s="2209" t="s">
        <v>134</v>
      </c>
      <c r="AW1223" s="2209" t="s">
        <v>3171</v>
      </c>
      <c r="AX1223" s="2209" t="s">
        <v>3213</v>
      </c>
      <c r="AY1223" s="2211" t="s">
        <v>3285</v>
      </c>
    </row>
    <row r="1224" spans="2:65" s="2216" customFormat="1">
      <c r="B1224" s="2217"/>
      <c r="D1224" s="2197" t="s">
        <v>3303</v>
      </c>
      <c r="E1224" s="2218" t="s">
        <v>3146</v>
      </c>
      <c r="F1224" s="2219" t="s">
        <v>3306</v>
      </c>
      <c r="H1224" s="2220">
        <v>1</v>
      </c>
      <c r="L1224" s="2217"/>
      <c r="M1224" s="2221"/>
      <c r="T1224" s="2222"/>
      <c r="AT1224" s="2218" t="s">
        <v>3303</v>
      </c>
      <c r="AU1224" s="2218" t="s">
        <v>134</v>
      </c>
      <c r="AV1224" s="2216" t="s">
        <v>856</v>
      </c>
      <c r="AW1224" s="2216" t="s">
        <v>3171</v>
      </c>
      <c r="AX1224" s="2216" t="s">
        <v>133</v>
      </c>
      <c r="AY1224" s="2218" t="s">
        <v>3285</v>
      </c>
    </row>
    <row r="1225" spans="2:65" s="2070" customFormat="1" ht="24.2" customHeight="1">
      <c r="B1225" s="2164"/>
      <c r="C1225" s="4614" t="s">
        <v>5261</v>
      </c>
      <c r="D1225" s="4614" t="s">
        <v>135</v>
      </c>
      <c r="E1225" s="4615" t="s">
        <v>5512</v>
      </c>
      <c r="F1225" s="4616" t="s">
        <v>5513</v>
      </c>
      <c r="G1225" s="4617" t="s">
        <v>611</v>
      </c>
      <c r="H1225" s="4618">
        <v>5.2</v>
      </c>
      <c r="I1225" s="4619"/>
      <c r="J1225" s="4619">
        <f>ROUND(I1225*H1225,2)</f>
        <v>0</v>
      </c>
      <c r="K1225" s="4616" t="s">
        <v>142</v>
      </c>
      <c r="L1225" s="2223"/>
      <c r="M1225" s="2224" t="s">
        <v>3146</v>
      </c>
      <c r="N1225" s="2225" t="s">
        <v>3181</v>
      </c>
      <c r="O1225" s="2191">
        <v>0</v>
      </c>
      <c r="P1225" s="2191">
        <f>O1225*H1225</f>
        <v>0</v>
      </c>
      <c r="Q1225" s="2191">
        <v>3.8289999999999998E-2</v>
      </c>
      <c r="R1225" s="2191">
        <f>Q1225*H1225</f>
        <v>0.19910800000000001</v>
      </c>
      <c r="S1225" s="2191">
        <v>0</v>
      </c>
      <c r="T1225" s="2192">
        <f>S1225*H1225</f>
        <v>0</v>
      </c>
      <c r="AR1225" s="2193" t="s">
        <v>3389</v>
      </c>
      <c r="AT1225" s="2193" t="s">
        <v>135</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f>ROUND(I1225*H1225,2)</f>
        <v>0</v>
      </c>
      <c r="BL1225" s="2056" t="s">
        <v>2894</v>
      </c>
      <c r="BM1225" s="2193" t="s">
        <v>5514</v>
      </c>
    </row>
    <row r="1226" spans="2:65" s="2195" customFormat="1">
      <c r="B1226" s="2196"/>
      <c r="D1226" s="2197" t="s">
        <v>3303</v>
      </c>
      <c r="E1226" s="2198" t="s">
        <v>3146</v>
      </c>
      <c r="F1226" s="2199" t="s">
        <v>5511</v>
      </c>
      <c r="H1226" s="2198" t="s">
        <v>3146</v>
      </c>
      <c r="L1226" s="2196"/>
      <c r="M1226" s="2200"/>
      <c r="T1226" s="2201"/>
      <c r="AT1226" s="2198" t="s">
        <v>3303</v>
      </c>
      <c r="AU1226" s="2198" t="s">
        <v>134</v>
      </c>
      <c r="AV1226" s="2195" t="s">
        <v>133</v>
      </c>
      <c r="AW1226" s="2195" t="s">
        <v>3171</v>
      </c>
      <c r="AX1226" s="2195" t="s">
        <v>3213</v>
      </c>
      <c r="AY1226" s="2198" t="s">
        <v>3285</v>
      </c>
    </row>
    <row r="1227" spans="2:65" s="2209" customFormat="1">
      <c r="B1227" s="2210"/>
      <c r="D1227" s="2197" t="s">
        <v>3303</v>
      </c>
      <c r="E1227" s="2211" t="s">
        <v>3146</v>
      </c>
      <c r="F1227" s="2212" t="s">
        <v>5515</v>
      </c>
      <c r="H1227" s="2213">
        <v>5.2</v>
      </c>
      <c r="L1227" s="2210"/>
      <c r="M1227" s="2214"/>
      <c r="T1227" s="2215"/>
      <c r="AT1227" s="2211" t="s">
        <v>3303</v>
      </c>
      <c r="AU1227" s="2211" t="s">
        <v>134</v>
      </c>
      <c r="AV1227" s="2209" t="s">
        <v>134</v>
      </c>
      <c r="AW1227" s="2209" t="s">
        <v>3171</v>
      </c>
      <c r="AX1227" s="2209" t="s">
        <v>133</v>
      </c>
      <c r="AY1227" s="2211" t="s">
        <v>3285</v>
      </c>
    </row>
    <row r="1228" spans="2:65" s="2070" customFormat="1" ht="24.2" customHeight="1">
      <c r="B1228" s="2164"/>
      <c r="C1228" s="4614" t="s">
        <v>5262</v>
      </c>
      <c r="D1228" s="4614" t="s">
        <v>135</v>
      </c>
      <c r="E1228" s="4615" t="s">
        <v>5516</v>
      </c>
      <c r="F1228" s="4616" t="s">
        <v>5517</v>
      </c>
      <c r="G1228" s="4617" t="s">
        <v>155</v>
      </c>
      <c r="H1228" s="4618">
        <v>1</v>
      </c>
      <c r="I1228" s="4619"/>
      <c r="J1228" s="4619">
        <f>ROUND(I1228*H1228,2)</f>
        <v>0</v>
      </c>
      <c r="K1228" s="4616" t="s">
        <v>3146</v>
      </c>
      <c r="L1228" s="2223"/>
      <c r="M1228" s="2224" t="s">
        <v>3146</v>
      </c>
      <c r="N1228" s="2225" t="s">
        <v>3181</v>
      </c>
      <c r="O1228" s="2191">
        <v>0</v>
      </c>
      <c r="P1228" s="2191">
        <f>O1228*H1228</f>
        <v>0</v>
      </c>
      <c r="Q1228" s="2191">
        <v>0</v>
      </c>
      <c r="R1228" s="2191">
        <f>Q1228*H1228</f>
        <v>0</v>
      </c>
      <c r="S1228" s="2191">
        <v>0</v>
      </c>
      <c r="T1228" s="2192">
        <f>S1228*H1228</f>
        <v>0</v>
      </c>
      <c r="AR1228" s="2193" t="s">
        <v>3389</v>
      </c>
      <c r="AT1228" s="2193" t="s">
        <v>135</v>
      </c>
      <c r="AU1228" s="2193" t="s">
        <v>134</v>
      </c>
      <c r="AY1228" s="2056" t="s">
        <v>3285</v>
      </c>
      <c r="BE1228" s="2194">
        <f>IF(N1228="základní",J1228,0)</f>
        <v>0</v>
      </c>
      <c r="BF1228" s="2194">
        <f>IF(N1228="snížená",J1228,0)</f>
        <v>0</v>
      </c>
      <c r="BG1228" s="2194">
        <f>IF(N1228="zákl. přenesená",J1228,0)</f>
        <v>0</v>
      </c>
      <c r="BH1228" s="2194">
        <f>IF(N1228="sníž. přenesená",J1228,0)</f>
        <v>0</v>
      </c>
      <c r="BI1228" s="2194">
        <f>IF(N1228="nulová",J1228,0)</f>
        <v>0</v>
      </c>
      <c r="BJ1228" s="2056" t="s">
        <v>134</v>
      </c>
      <c r="BK1228" s="2194">
        <f>ROUND(I1228*H1228,2)</f>
        <v>0</v>
      </c>
      <c r="BL1228" s="2056" t="s">
        <v>2894</v>
      </c>
      <c r="BM1228" s="2193" t="s">
        <v>5518</v>
      </c>
    </row>
    <row r="1229" spans="2:65" s="2070" customFormat="1" ht="24.2" customHeight="1">
      <c r="B1229" s="2164"/>
      <c r="C1229" s="4608" t="s">
        <v>5263</v>
      </c>
      <c r="D1229" s="4608" t="s">
        <v>3286</v>
      </c>
      <c r="E1229" s="4609" t="s">
        <v>5519</v>
      </c>
      <c r="F1229" s="4610" t="s">
        <v>5520</v>
      </c>
      <c r="G1229" s="4611" t="s">
        <v>155</v>
      </c>
      <c r="H1229" s="4612">
        <v>4</v>
      </c>
      <c r="I1229" s="4613"/>
      <c r="J1229" s="4613">
        <f>ROUND(I1229*H1229,2)</f>
        <v>0</v>
      </c>
      <c r="K1229" s="4610" t="s">
        <v>142</v>
      </c>
      <c r="L1229" s="2071"/>
      <c r="M1229" s="2190" t="s">
        <v>3146</v>
      </c>
      <c r="N1229" s="2163" t="s">
        <v>3181</v>
      </c>
      <c r="O1229" s="2191">
        <v>2.0499999999999998</v>
      </c>
      <c r="P1229" s="2191">
        <f>O1229*H1229</f>
        <v>8.1999999999999993</v>
      </c>
      <c r="Q1229" s="2191">
        <v>0</v>
      </c>
      <c r="R1229" s="2191">
        <f>Q1229*H1229</f>
        <v>0</v>
      </c>
      <c r="S1229" s="2191">
        <v>0</v>
      </c>
      <c r="T1229" s="2192">
        <f>S1229*H1229</f>
        <v>0</v>
      </c>
      <c r="AR1229" s="2193" t="s">
        <v>2894</v>
      </c>
      <c r="AT1229" s="2193" t="s">
        <v>3286</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f>ROUND(I1229*H1229,2)</f>
        <v>0</v>
      </c>
      <c r="BL1229" s="2056" t="s">
        <v>2894</v>
      </c>
      <c r="BM1229" s="2193" t="s">
        <v>5521</v>
      </c>
    </row>
    <row r="1230" spans="2:65" s="2195" customFormat="1">
      <c r="B1230" s="2196"/>
      <c r="D1230" s="2197" t="s">
        <v>3303</v>
      </c>
      <c r="E1230" s="2198" t="s">
        <v>3146</v>
      </c>
      <c r="F1230" s="2199" t="s">
        <v>5522</v>
      </c>
      <c r="H1230" s="2198" t="s">
        <v>3146</v>
      </c>
      <c r="L1230" s="2196"/>
      <c r="M1230" s="2200"/>
      <c r="T1230" s="2201"/>
      <c r="AT1230" s="2198" t="s">
        <v>3303</v>
      </c>
      <c r="AU1230" s="2198" t="s">
        <v>134</v>
      </c>
      <c r="AV1230" s="2195" t="s">
        <v>133</v>
      </c>
      <c r="AW1230" s="2195" t="s">
        <v>3171</v>
      </c>
      <c r="AX1230" s="2195" t="s">
        <v>3213</v>
      </c>
      <c r="AY1230" s="2198" t="s">
        <v>3285</v>
      </c>
    </row>
    <row r="1231" spans="2:65" s="2209" customFormat="1">
      <c r="B1231" s="2210"/>
      <c r="D1231" s="2197" t="s">
        <v>3303</v>
      </c>
      <c r="E1231" s="2211" t="s">
        <v>3146</v>
      </c>
      <c r="F1231" s="2212" t="s">
        <v>133</v>
      </c>
      <c r="H1231" s="2213">
        <v>1</v>
      </c>
      <c r="L1231" s="2210"/>
      <c r="M1231" s="2214"/>
      <c r="T1231" s="2215"/>
      <c r="AT1231" s="2211" t="s">
        <v>3303</v>
      </c>
      <c r="AU1231" s="2211" t="s">
        <v>134</v>
      </c>
      <c r="AV1231" s="2209" t="s">
        <v>134</v>
      </c>
      <c r="AW1231" s="2209" t="s">
        <v>3171</v>
      </c>
      <c r="AX1231" s="2209" t="s">
        <v>3213</v>
      </c>
      <c r="AY1231" s="2211" t="s">
        <v>3285</v>
      </c>
    </row>
    <row r="1232" spans="2:65" s="2195" customFormat="1">
      <c r="B1232" s="2196"/>
      <c r="D1232" s="2197" t="s">
        <v>3303</v>
      </c>
      <c r="E1232" s="2198" t="s">
        <v>3146</v>
      </c>
      <c r="F1232" s="2199" t="s">
        <v>5523</v>
      </c>
      <c r="H1232" s="2198" t="s">
        <v>3146</v>
      </c>
      <c r="L1232" s="2196"/>
      <c r="M1232" s="2200"/>
      <c r="T1232" s="2201"/>
      <c r="AT1232" s="2198" t="s">
        <v>3303</v>
      </c>
      <c r="AU1232" s="2198" t="s">
        <v>134</v>
      </c>
      <c r="AV1232" s="2195" t="s">
        <v>133</v>
      </c>
      <c r="AW1232" s="2195" t="s">
        <v>3171</v>
      </c>
      <c r="AX1232" s="2195" t="s">
        <v>3213</v>
      </c>
      <c r="AY1232" s="2198" t="s">
        <v>3285</v>
      </c>
    </row>
    <row r="1233" spans="2:65" s="2209" customFormat="1">
      <c r="B1233" s="2210"/>
      <c r="D1233" s="2197" t="s">
        <v>3303</v>
      </c>
      <c r="E1233" s="2211" t="s">
        <v>3146</v>
      </c>
      <c r="F1233" s="2212" t="s">
        <v>133</v>
      </c>
      <c r="H1233" s="2213">
        <v>1</v>
      </c>
      <c r="L1233" s="2210"/>
      <c r="M1233" s="2214"/>
      <c r="T1233" s="2215"/>
      <c r="AT1233" s="2211" t="s">
        <v>3303</v>
      </c>
      <c r="AU1233" s="2211" t="s">
        <v>134</v>
      </c>
      <c r="AV1233" s="2209" t="s">
        <v>134</v>
      </c>
      <c r="AW1233" s="2209" t="s">
        <v>3171</v>
      </c>
      <c r="AX1233" s="2209" t="s">
        <v>3213</v>
      </c>
      <c r="AY1233" s="2211" t="s">
        <v>3285</v>
      </c>
    </row>
    <row r="1234" spans="2:65" s="2195" customFormat="1">
      <c r="B1234" s="2196"/>
      <c r="D1234" s="2197" t="s">
        <v>3303</v>
      </c>
      <c r="E1234" s="2198" t="s">
        <v>3146</v>
      </c>
      <c r="F1234" s="2199" t="s">
        <v>5524</v>
      </c>
      <c r="H1234" s="2198" t="s">
        <v>3146</v>
      </c>
      <c r="L1234" s="2196"/>
      <c r="M1234" s="2200"/>
      <c r="T1234" s="2201"/>
      <c r="AT1234" s="2198" t="s">
        <v>3303</v>
      </c>
      <c r="AU1234" s="2198" t="s">
        <v>134</v>
      </c>
      <c r="AV1234" s="2195" t="s">
        <v>133</v>
      </c>
      <c r="AW1234" s="2195" t="s">
        <v>3171</v>
      </c>
      <c r="AX1234" s="2195" t="s">
        <v>3213</v>
      </c>
      <c r="AY1234" s="2198" t="s">
        <v>3285</v>
      </c>
    </row>
    <row r="1235" spans="2:65" s="2209" customFormat="1">
      <c r="B1235" s="2210"/>
      <c r="D1235" s="2197" t="s">
        <v>3303</v>
      </c>
      <c r="E1235" s="2211" t="s">
        <v>3146</v>
      </c>
      <c r="F1235" s="2212" t="s">
        <v>133</v>
      </c>
      <c r="H1235" s="2213">
        <v>1</v>
      </c>
      <c r="L1235" s="2210"/>
      <c r="M1235" s="2214"/>
      <c r="T1235" s="2215"/>
      <c r="AT1235" s="2211" t="s">
        <v>3303</v>
      </c>
      <c r="AU1235" s="2211" t="s">
        <v>134</v>
      </c>
      <c r="AV1235" s="2209" t="s">
        <v>134</v>
      </c>
      <c r="AW1235" s="2209" t="s">
        <v>3171</v>
      </c>
      <c r="AX1235" s="2209" t="s">
        <v>3213</v>
      </c>
      <c r="AY1235" s="2211" t="s">
        <v>3285</v>
      </c>
    </row>
    <row r="1236" spans="2:65" s="2195" customFormat="1">
      <c r="B1236" s="2196"/>
      <c r="D1236" s="2197" t="s">
        <v>3303</v>
      </c>
      <c r="E1236" s="2198" t="s">
        <v>3146</v>
      </c>
      <c r="F1236" s="2199" t="s">
        <v>5525</v>
      </c>
      <c r="H1236" s="2198" t="s">
        <v>3146</v>
      </c>
      <c r="L1236" s="2196"/>
      <c r="M1236" s="2200"/>
      <c r="T1236" s="2201"/>
      <c r="AT1236" s="2198" t="s">
        <v>3303</v>
      </c>
      <c r="AU1236" s="2198" t="s">
        <v>134</v>
      </c>
      <c r="AV1236" s="2195" t="s">
        <v>133</v>
      </c>
      <c r="AW1236" s="2195" t="s">
        <v>3171</v>
      </c>
      <c r="AX1236" s="2195" t="s">
        <v>3213</v>
      </c>
      <c r="AY1236" s="2198" t="s">
        <v>3285</v>
      </c>
    </row>
    <row r="1237" spans="2:65" s="2209" customFormat="1">
      <c r="B1237" s="2210"/>
      <c r="D1237" s="2197" t="s">
        <v>3303</v>
      </c>
      <c r="E1237" s="2211" t="s">
        <v>3146</v>
      </c>
      <c r="F1237" s="2212" t="s">
        <v>133</v>
      </c>
      <c r="H1237" s="2213">
        <v>1</v>
      </c>
      <c r="L1237" s="2210"/>
      <c r="M1237" s="2214"/>
      <c r="T1237" s="2215"/>
      <c r="AT1237" s="2211" t="s">
        <v>3303</v>
      </c>
      <c r="AU1237" s="2211" t="s">
        <v>134</v>
      </c>
      <c r="AV1237" s="2209" t="s">
        <v>134</v>
      </c>
      <c r="AW1237" s="2209" t="s">
        <v>3171</v>
      </c>
      <c r="AX1237" s="2209" t="s">
        <v>3213</v>
      </c>
      <c r="AY1237" s="2211" t="s">
        <v>3285</v>
      </c>
    </row>
    <row r="1238" spans="2:65" s="2216" customFormat="1">
      <c r="B1238" s="2217"/>
      <c r="D1238" s="2197" t="s">
        <v>3303</v>
      </c>
      <c r="E1238" s="2218" t="s">
        <v>3146</v>
      </c>
      <c r="F1238" s="2219" t="s">
        <v>3306</v>
      </c>
      <c r="H1238" s="2220">
        <v>4</v>
      </c>
      <c r="L1238" s="2217"/>
      <c r="M1238" s="2221"/>
      <c r="T1238" s="2222"/>
      <c r="AT1238" s="2218" t="s">
        <v>3303</v>
      </c>
      <c r="AU1238" s="2218" t="s">
        <v>134</v>
      </c>
      <c r="AV1238" s="2216" t="s">
        <v>856</v>
      </c>
      <c r="AW1238" s="2216" t="s">
        <v>3171</v>
      </c>
      <c r="AX1238" s="2216" t="s">
        <v>133</v>
      </c>
      <c r="AY1238" s="2218" t="s">
        <v>3285</v>
      </c>
    </row>
    <row r="1239" spans="2:65" s="2070" customFormat="1" ht="16.5" customHeight="1">
      <c r="B1239" s="2164"/>
      <c r="C1239" s="4614" t="s">
        <v>5264</v>
      </c>
      <c r="D1239" s="4614" t="s">
        <v>135</v>
      </c>
      <c r="E1239" s="4615" t="s">
        <v>5526</v>
      </c>
      <c r="F1239" s="4616" t="s">
        <v>5527</v>
      </c>
      <c r="G1239" s="4617" t="s">
        <v>155</v>
      </c>
      <c r="H1239" s="4618">
        <v>4</v>
      </c>
      <c r="I1239" s="4619"/>
      <c r="J1239" s="4619">
        <f>ROUND(I1239*H1239,2)</f>
        <v>0</v>
      </c>
      <c r="K1239" s="4616" t="s">
        <v>3146</v>
      </c>
      <c r="L1239" s="2223"/>
      <c r="M1239" s="2224" t="s">
        <v>3146</v>
      </c>
      <c r="N1239" s="2225" t="s">
        <v>3181</v>
      </c>
      <c r="O1239" s="2191">
        <v>0</v>
      </c>
      <c r="P1239" s="2191">
        <f>O1239*H1239</f>
        <v>0</v>
      </c>
      <c r="Q1239" s="2191">
        <v>7.2370000000000004E-2</v>
      </c>
      <c r="R1239" s="2191">
        <f>Q1239*H1239</f>
        <v>0.28948000000000002</v>
      </c>
      <c r="S1239" s="2191">
        <v>0</v>
      </c>
      <c r="T1239" s="2192">
        <f>S1239*H1239</f>
        <v>0</v>
      </c>
      <c r="AR1239" s="2193" t="s">
        <v>3389</v>
      </c>
      <c r="AT1239" s="2193" t="s">
        <v>135</v>
      </c>
      <c r="AU1239" s="2193" t="s">
        <v>134</v>
      </c>
      <c r="AY1239" s="2056" t="s">
        <v>3285</v>
      </c>
      <c r="BE1239" s="2194">
        <f>IF(N1239="základní",J1239,0)</f>
        <v>0</v>
      </c>
      <c r="BF1239" s="2194">
        <f>IF(N1239="snížená",J1239,0)</f>
        <v>0</v>
      </c>
      <c r="BG1239" s="2194">
        <f>IF(N1239="zákl. přenesená",J1239,0)</f>
        <v>0</v>
      </c>
      <c r="BH1239" s="2194">
        <f>IF(N1239="sníž. přenesená",J1239,0)</f>
        <v>0</v>
      </c>
      <c r="BI1239" s="2194">
        <f>IF(N1239="nulová",J1239,0)</f>
        <v>0</v>
      </c>
      <c r="BJ1239" s="2056" t="s">
        <v>134</v>
      </c>
      <c r="BK1239" s="2194">
        <f>ROUND(I1239*H1239,2)</f>
        <v>0</v>
      </c>
      <c r="BL1239" s="2056" t="s">
        <v>2894</v>
      </c>
      <c r="BM1239" s="2193" t="s">
        <v>5528</v>
      </c>
    </row>
    <row r="1240" spans="2:65" s="2195" customFormat="1">
      <c r="B1240" s="2196"/>
      <c r="D1240" s="2197" t="s">
        <v>3303</v>
      </c>
      <c r="E1240" s="2198" t="s">
        <v>3146</v>
      </c>
      <c r="F1240" s="2199" t="s">
        <v>5522</v>
      </c>
      <c r="H1240" s="2198" t="s">
        <v>3146</v>
      </c>
      <c r="L1240" s="2196"/>
      <c r="M1240" s="2200"/>
      <c r="T1240" s="2201"/>
      <c r="AT1240" s="2198" t="s">
        <v>3303</v>
      </c>
      <c r="AU1240" s="2198" t="s">
        <v>134</v>
      </c>
      <c r="AV1240" s="2195" t="s">
        <v>133</v>
      </c>
      <c r="AW1240" s="2195" t="s">
        <v>3171</v>
      </c>
      <c r="AX1240" s="2195" t="s">
        <v>3213</v>
      </c>
      <c r="AY1240" s="2198" t="s">
        <v>3285</v>
      </c>
    </row>
    <row r="1241" spans="2:65" s="2209" customFormat="1">
      <c r="B1241" s="2210"/>
      <c r="D1241" s="2197" t="s">
        <v>3303</v>
      </c>
      <c r="E1241" s="2211" t="s">
        <v>3146</v>
      </c>
      <c r="F1241" s="2212" t="s">
        <v>133</v>
      </c>
      <c r="H1241" s="2213">
        <v>1</v>
      </c>
      <c r="L1241" s="2210"/>
      <c r="M1241" s="2214"/>
      <c r="T1241" s="2215"/>
      <c r="AT1241" s="2211" t="s">
        <v>3303</v>
      </c>
      <c r="AU1241" s="2211" t="s">
        <v>134</v>
      </c>
      <c r="AV1241" s="2209" t="s">
        <v>134</v>
      </c>
      <c r="AW1241" s="2209" t="s">
        <v>3171</v>
      </c>
      <c r="AX1241" s="2209" t="s">
        <v>3213</v>
      </c>
      <c r="AY1241" s="2211" t="s">
        <v>3285</v>
      </c>
    </row>
    <row r="1242" spans="2:65" s="2195" customFormat="1">
      <c r="B1242" s="2196"/>
      <c r="D1242" s="2197" t="s">
        <v>3303</v>
      </c>
      <c r="E1242" s="2198" t="s">
        <v>3146</v>
      </c>
      <c r="F1242" s="2199" t="s">
        <v>5523</v>
      </c>
      <c r="H1242" s="2198" t="s">
        <v>3146</v>
      </c>
      <c r="L1242" s="2196"/>
      <c r="M1242" s="2200"/>
      <c r="T1242" s="2201"/>
      <c r="AT1242" s="2198" t="s">
        <v>3303</v>
      </c>
      <c r="AU1242" s="2198" t="s">
        <v>134</v>
      </c>
      <c r="AV1242" s="2195" t="s">
        <v>133</v>
      </c>
      <c r="AW1242" s="2195" t="s">
        <v>3171</v>
      </c>
      <c r="AX1242" s="2195" t="s">
        <v>3213</v>
      </c>
      <c r="AY1242" s="2198" t="s">
        <v>3285</v>
      </c>
    </row>
    <row r="1243" spans="2:65" s="2209" customFormat="1">
      <c r="B1243" s="2210"/>
      <c r="D1243" s="2197" t="s">
        <v>3303</v>
      </c>
      <c r="E1243" s="2211" t="s">
        <v>3146</v>
      </c>
      <c r="F1243" s="2212" t="s">
        <v>133</v>
      </c>
      <c r="H1243" s="2213">
        <v>1</v>
      </c>
      <c r="L1243" s="2210"/>
      <c r="M1243" s="2214"/>
      <c r="T1243" s="2215"/>
      <c r="AT1243" s="2211" t="s">
        <v>3303</v>
      </c>
      <c r="AU1243" s="2211" t="s">
        <v>134</v>
      </c>
      <c r="AV1243" s="2209" t="s">
        <v>134</v>
      </c>
      <c r="AW1243" s="2209" t="s">
        <v>3171</v>
      </c>
      <c r="AX1243" s="2209" t="s">
        <v>3213</v>
      </c>
      <c r="AY1243" s="2211" t="s">
        <v>3285</v>
      </c>
    </row>
    <row r="1244" spans="2:65" s="2195" customFormat="1">
      <c r="B1244" s="2196"/>
      <c r="D1244" s="2197" t="s">
        <v>3303</v>
      </c>
      <c r="E1244" s="2198" t="s">
        <v>3146</v>
      </c>
      <c r="F1244" s="2199" t="s">
        <v>5524</v>
      </c>
      <c r="H1244" s="2198" t="s">
        <v>3146</v>
      </c>
      <c r="L1244" s="2196"/>
      <c r="M1244" s="2200"/>
      <c r="T1244" s="2201"/>
      <c r="AT1244" s="2198" t="s">
        <v>3303</v>
      </c>
      <c r="AU1244" s="2198" t="s">
        <v>134</v>
      </c>
      <c r="AV1244" s="2195" t="s">
        <v>133</v>
      </c>
      <c r="AW1244" s="2195" t="s">
        <v>3171</v>
      </c>
      <c r="AX1244" s="2195" t="s">
        <v>3213</v>
      </c>
      <c r="AY1244" s="2198" t="s">
        <v>3285</v>
      </c>
    </row>
    <row r="1245" spans="2:65" s="2209" customFormat="1">
      <c r="B1245" s="2210"/>
      <c r="D1245" s="2197" t="s">
        <v>3303</v>
      </c>
      <c r="E1245" s="2211" t="s">
        <v>3146</v>
      </c>
      <c r="F1245" s="2212" t="s">
        <v>133</v>
      </c>
      <c r="H1245" s="2213">
        <v>1</v>
      </c>
      <c r="L1245" s="2210"/>
      <c r="M1245" s="2214"/>
      <c r="T1245" s="2215"/>
      <c r="AT1245" s="2211" t="s">
        <v>3303</v>
      </c>
      <c r="AU1245" s="2211" t="s">
        <v>134</v>
      </c>
      <c r="AV1245" s="2209" t="s">
        <v>134</v>
      </c>
      <c r="AW1245" s="2209" t="s">
        <v>3171</v>
      </c>
      <c r="AX1245" s="2209" t="s">
        <v>3213</v>
      </c>
      <c r="AY1245" s="2211" t="s">
        <v>3285</v>
      </c>
    </row>
    <row r="1246" spans="2:65" s="2195" customFormat="1">
      <c r="B1246" s="2196"/>
      <c r="D1246" s="2197" t="s">
        <v>3303</v>
      </c>
      <c r="E1246" s="2198" t="s">
        <v>3146</v>
      </c>
      <c r="F1246" s="2199" t="s">
        <v>5525</v>
      </c>
      <c r="H1246" s="2198" t="s">
        <v>3146</v>
      </c>
      <c r="L1246" s="2196"/>
      <c r="M1246" s="2200"/>
      <c r="T1246" s="2201"/>
      <c r="AT1246" s="2198" t="s">
        <v>3303</v>
      </c>
      <c r="AU1246" s="2198" t="s">
        <v>134</v>
      </c>
      <c r="AV1246" s="2195" t="s">
        <v>133</v>
      </c>
      <c r="AW1246" s="2195" t="s">
        <v>3171</v>
      </c>
      <c r="AX1246" s="2195" t="s">
        <v>3213</v>
      </c>
      <c r="AY1246" s="2198" t="s">
        <v>3285</v>
      </c>
    </row>
    <row r="1247" spans="2:65" s="2209" customFormat="1">
      <c r="B1247" s="2210"/>
      <c r="D1247" s="2197" t="s">
        <v>3303</v>
      </c>
      <c r="E1247" s="2211" t="s">
        <v>3146</v>
      </c>
      <c r="F1247" s="2212" t="s">
        <v>133</v>
      </c>
      <c r="H1247" s="2213">
        <v>1</v>
      </c>
      <c r="L1247" s="2210"/>
      <c r="M1247" s="2214"/>
      <c r="T1247" s="2215"/>
      <c r="AT1247" s="2211" t="s">
        <v>3303</v>
      </c>
      <c r="AU1247" s="2211" t="s">
        <v>134</v>
      </c>
      <c r="AV1247" s="2209" t="s">
        <v>134</v>
      </c>
      <c r="AW1247" s="2209" t="s">
        <v>3171</v>
      </c>
      <c r="AX1247" s="2209" t="s">
        <v>3213</v>
      </c>
      <c r="AY1247" s="2211" t="s">
        <v>3285</v>
      </c>
    </row>
    <row r="1248" spans="2:65" s="2216" customFormat="1">
      <c r="B1248" s="2217"/>
      <c r="D1248" s="2197" t="s">
        <v>3303</v>
      </c>
      <c r="E1248" s="2218" t="s">
        <v>3146</v>
      </c>
      <c r="F1248" s="2219" t="s">
        <v>3306</v>
      </c>
      <c r="H1248" s="2220">
        <v>4</v>
      </c>
      <c r="L1248" s="2217"/>
      <c r="M1248" s="2221"/>
      <c r="T1248" s="2222"/>
      <c r="AT1248" s="2218" t="s">
        <v>3303</v>
      </c>
      <c r="AU1248" s="2218" t="s">
        <v>134</v>
      </c>
      <c r="AV1248" s="2216" t="s">
        <v>856</v>
      </c>
      <c r="AW1248" s="2216" t="s">
        <v>3171</v>
      </c>
      <c r="AX1248" s="2216" t="s">
        <v>133</v>
      </c>
      <c r="AY1248" s="2218" t="s">
        <v>3285</v>
      </c>
    </row>
    <row r="1249" spans="2:65" s="2070" customFormat="1" ht="24.2" customHeight="1">
      <c r="B1249" s="2164"/>
      <c r="C1249" s="4608" t="s">
        <v>5265</v>
      </c>
      <c r="D1249" s="4608" t="s">
        <v>3286</v>
      </c>
      <c r="E1249" s="4609" t="s">
        <v>5519</v>
      </c>
      <c r="F1249" s="4610" t="s">
        <v>5520</v>
      </c>
      <c r="G1249" s="4611" t="s">
        <v>155</v>
      </c>
      <c r="H1249" s="4612">
        <v>6</v>
      </c>
      <c r="I1249" s="4613"/>
      <c r="J1249" s="4613">
        <f>ROUND(I1249*H1249,2)</f>
        <v>0</v>
      </c>
      <c r="K1249" s="4610" t="s">
        <v>142</v>
      </c>
      <c r="L1249" s="2071"/>
      <c r="M1249" s="2190" t="s">
        <v>3146</v>
      </c>
      <c r="N1249" s="2163" t="s">
        <v>3181</v>
      </c>
      <c r="O1249" s="2191">
        <v>2.0499999999999998</v>
      </c>
      <c r="P1249" s="2191">
        <f>O1249*H1249</f>
        <v>12.299999999999999</v>
      </c>
      <c r="Q1249" s="2191">
        <v>0</v>
      </c>
      <c r="R1249" s="2191">
        <f>Q1249*H1249</f>
        <v>0</v>
      </c>
      <c r="S1249" s="2191">
        <v>0</v>
      </c>
      <c r="T1249" s="2192">
        <f>S1249*H1249</f>
        <v>0</v>
      </c>
      <c r="AR1249" s="2193" t="s">
        <v>2894</v>
      </c>
      <c r="AT1249" s="2193" t="s">
        <v>3286</v>
      </c>
      <c r="AU1249" s="2193" t="s">
        <v>134</v>
      </c>
      <c r="AY1249" s="2056" t="s">
        <v>3285</v>
      </c>
      <c r="BE1249" s="2194">
        <f>IF(N1249="základní",J1249,0)</f>
        <v>0</v>
      </c>
      <c r="BF1249" s="2194">
        <f>IF(N1249="snížená",J1249,0)</f>
        <v>0</v>
      </c>
      <c r="BG1249" s="2194">
        <f>IF(N1249="zákl. přenesená",J1249,0)</f>
        <v>0</v>
      </c>
      <c r="BH1249" s="2194">
        <f>IF(N1249="sníž. přenesená",J1249,0)</f>
        <v>0</v>
      </c>
      <c r="BI1249" s="2194">
        <f>IF(N1249="nulová",J1249,0)</f>
        <v>0</v>
      </c>
      <c r="BJ1249" s="2056" t="s">
        <v>134</v>
      </c>
      <c r="BK1249" s="2194">
        <f>ROUND(I1249*H1249,2)</f>
        <v>0</v>
      </c>
      <c r="BL1249" s="2056" t="s">
        <v>2894</v>
      </c>
      <c r="BM1249" s="2193" t="s">
        <v>11367</v>
      </c>
    </row>
    <row r="1250" spans="2:65" s="2209" customFormat="1">
      <c r="B1250" s="2210"/>
      <c r="D1250" s="2197" t="s">
        <v>3303</v>
      </c>
      <c r="E1250" s="2211" t="s">
        <v>3146</v>
      </c>
      <c r="F1250" s="2212" t="s">
        <v>4898</v>
      </c>
      <c r="H1250" s="2213">
        <v>6</v>
      </c>
      <c r="L1250" s="2210"/>
      <c r="M1250" s="2214"/>
      <c r="T1250" s="2215"/>
      <c r="AT1250" s="2211" t="s">
        <v>3303</v>
      </c>
      <c r="AU1250" s="2211" t="s">
        <v>134</v>
      </c>
      <c r="AV1250" s="2209" t="s">
        <v>134</v>
      </c>
      <c r="AW1250" s="2209" t="s">
        <v>3171</v>
      </c>
      <c r="AX1250" s="2209" t="s">
        <v>3213</v>
      </c>
      <c r="AY1250" s="2211" t="s">
        <v>3285</v>
      </c>
    </row>
    <row r="1251" spans="2:65" s="2216" customFormat="1">
      <c r="B1251" s="2217"/>
      <c r="D1251" s="2197" t="s">
        <v>3303</v>
      </c>
      <c r="E1251" s="2218" t="s">
        <v>3146</v>
      </c>
      <c r="F1251" s="2219" t="s">
        <v>3306</v>
      </c>
      <c r="H1251" s="2220">
        <v>6</v>
      </c>
      <c r="L1251" s="2217"/>
      <c r="M1251" s="2221"/>
      <c r="T1251" s="2222"/>
      <c r="AT1251" s="2218" t="s">
        <v>3303</v>
      </c>
      <c r="AU1251" s="2218" t="s">
        <v>134</v>
      </c>
      <c r="AV1251" s="2216" t="s">
        <v>856</v>
      </c>
      <c r="AW1251" s="2216" t="s">
        <v>3171</v>
      </c>
      <c r="AX1251" s="2216" t="s">
        <v>133</v>
      </c>
      <c r="AY1251" s="2218" t="s">
        <v>3285</v>
      </c>
    </row>
    <row r="1252" spans="2:65" s="2070" customFormat="1" ht="24.2" customHeight="1">
      <c r="B1252" s="2164"/>
      <c r="C1252" s="4614" t="s">
        <v>5266</v>
      </c>
      <c r="D1252" s="4614" t="s">
        <v>135</v>
      </c>
      <c r="E1252" s="4615" t="s">
        <v>11368</v>
      </c>
      <c r="F1252" s="4616" t="s">
        <v>11369</v>
      </c>
      <c r="G1252" s="4617" t="s">
        <v>155</v>
      </c>
      <c r="H1252" s="4618">
        <v>4</v>
      </c>
      <c r="I1252" s="4619"/>
      <c r="J1252" s="4619">
        <f>ROUND(I1252*H1252,2)</f>
        <v>0</v>
      </c>
      <c r="K1252" s="4616" t="s">
        <v>142</v>
      </c>
      <c r="L1252" s="2223"/>
      <c r="M1252" s="2224" t="s">
        <v>3146</v>
      </c>
      <c r="N1252" s="2225" t="s">
        <v>3181</v>
      </c>
      <c r="O1252" s="2191">
        <v>0</v>
      </c>
      <c r="P1252" s="2191">
        <f>O1252*H1252</f>
        <v>0</v>
      </c>
      <c r="Q1252" s="2191">
        <v>6.5000000000000002E-2</v>
      </c>
      <c r="R1252" s="2191">
        <f>Q1252*H1252</f>
        <v>0.26</v>
      </c>
      <c r="S1252" s="2191">
        <v>0</v>
      </c>
      <c r="T1252" s="2192">
        <f>S1252*H1252</f>
        <v>0</v>
      </c>
      <c r="AR1252" s="2193" t="s">
        <v>3389</v>
      </c>
      <c r="AT1252" s="2193" t="s">
        <v>135</v>
      </c>
      <c r="AU1252" s="2193" t="s">
        <v>134</v>
      </c>
      <c r="AY1252" s="2056" t="s">
        <v>3285</v>
      </c>
      <c r="BE1252" s="2194">
        <f>IF(N1252="základní",J1252,0)</f>
        <v>0</v>
      </c>
      <c r="BF1252" s="2194">
        <f>IF(N1252="snížená",J1252,0)</f>
        <v>0</v>
      </c>
      <c r="BG1252" s="2194">
        <f>IF(N1252="zákl. přenesená",J1252,0)</f>
        <v>0</v>
      </c>
      <c r="BH1252" s="2194">
        <f>IF(N1252="sníž. přenesená",J1252,0)</f>
        <v>0</v>
      </c>
      <c r="BI1252" s="2194">
        <f>IF(N1252="nulová",J1252,0)</f>
        <v>0</v>
      </c>
      <c r="BJ1252" s="2056" t="s">
        <v>134</v>
      </c>
      <c r="BK1252" s="2194">
        <f>ROUND(I1252*H1252,2)</f>
        <v>0</v>
      </c>
      <c r="BL1252" s="2056" t="s">
        <v>2894</v>
      </c>
      <c r="BM1252" s="2193" t="s">
        <v>11370</v>
      </c>
    </row>
    <row r="1253" spans="2:65" s="2209" customFormat="1">
      <c r="B1253" s="2210"/>
      <c r="D1253" s="2197" t="s">
        <v>3303</v>
      </c>
      <c r="E1253" s="2211" t="s">
        <v>3146</v>
      </c>
      <c r="F1253" s="2212" t="s">
        <v>11371</v>
      </c>
      <c r="H1253" s="2213">
        <v>1</v>
      </c>
      <c r="L1253" s="2210"/>
      <c r="M1253" s="2214"/>
      <c r="T1253" s="2215"/>
      <c r="AT1253" s="2211" t="s">
        <v>3303</v>
      </c>
      <c r="AU1253" s="2211" t="s">
        <v>134</v>
      </c>
      <c r="AV1253" s="2209" t="s">
        <v>134</v>
      </c>
      <c r="AW1253" s="2209" t="s">
        <v>3171</v>
      </c>
      <c r="AX1253" s="2209" t="s">
        <v>3213</v>
      </c>
      <c r="AY1253" s="2211" t="s">
        <v>3285</v>
      </c>
    </row>
    <row r="1254" spans="2:65" s="2209" customFormat="1">
      <c r="B1254" s="2210"/>
      <c r="D1254" s="2197" t="s">
        <v>3303</v>
      </c>
      <c r="E1254" s="2211" t="s">
        <v>3146</v>
      </c>
      <c r="F1254" s="2212" t="s">
        <v>11372</v>
      </c>
      <c r="H1254" s="2213">
        <v>1</v>
      </c>
      <c r="L1254" s="2210"/>
      <c r="M1254" s="2214"/>
      <c r="T1254" s="2215"/>
      <c r="AT1254" s="2211" t="s">
        <v>3303</v>
      </c>
      <c r="AU1254" s="2211" t="s">
        <v>134</v>
      </c>
      <c r="AV1254" s="2209" t="s">
        <v>134</v>
      </c>
      <c r="AW1254" s="2209" t="s">
        <v>3171</v>
      </c>
      <c r="AX1254" s="2209" t="s">
        <v>3213</v>
      </c>
      <c r="AY1254" s="2211" t="s">
        <v>3285</v>
      </c>
    </row>
    <row r="1255" spans="2:65" s="2209" customFormat="1">
      <c r="B1255" s="2210"/>
      <c r="D1255" s="2197" t="s">
        <v>3303</v>
      </c>
      <c r="E1255" s="2211" t="s">
        <v>3146</v>
      </c>
      <c r="F1255" s="2212" t="s">
        <v>11373</v>
      </c>
      <c r="H1255" s="2213">
        <v>1</v>
      </c>
      <c r="L1255" s="2210"/>
      <c r="M1255" s="2214"/>
      <c r="T1255" s="2215"/>
      <c r="AT1255" s="2211" t="s">
        <v>3303</v>
      </c>
      <c r="AU1255" s="2211" t="s">
        <v>134</v>
      </c>
      <c r="AV1255" s="2209" t="s">
        <v>134</v>
      </c>
      <c r="AW1255" s="2209" t="s">
        <v>3171</v>
      </c>
      <c r="AX1255" s="2209" t="s">
        <v>3213</v>
      </c>
      <c r="AY1255" s="2211" t="s">
        <v>3285</v>
      </c>
    </row>
    <row r="1256" spans="2:65" s="2209" customFormat="1">
      <c r="B1256" s="2210"/>
      <c r="D1256" s="2197" t="s">
        <v>3303</v>
      </c>
      <c r="E1256" s="2211" t="s">
        <v>3146</v>
      </c>
      <c r="F1256" s="2212" t="s">
        <v>11374</v>
      </c>
      <c r="H1256" s="2213">
        <v>1</v>
      </c>
      <c r="L1256" s="2210"/>
      <c r="M1256" s="2214"/>
      <c r="T1256" s="2215"/>
      <c r="AT1256" s="2211" t="s">
        <v>3303</v>
      </c>
      <c r="AU1256" s="2211" t="s">
        <v>134</v>
      </c>
      <c r="AV1256" s="2209" t="s">
        <v>134</v>
      </c>
      <c r="AW1256" s="2209" t="s">
        <v>3171</v>
      </c>
      <c r="AX1256" s="2209" t="s">
        <v>3213</v>
      </c>
      <c r="AY1256" s="2211" t="s">
        <v>3285</v>
      </c>
    </row>
    <row r="1257" spans="2:65" s="2216" customFormat="1">
      <c r="B1257" s="2217"/>
      <c r="D1257" s="2197" t="s">
        <v>3303</v>
      </c>
      <c r="E1257" s="2218" t="s">
        <v>3146</v>
      </c>
      <c r="F1257" s="2219" t="s">
        <v>3306</v>
      </c>
      <c r="H1257" s="2220">
        <v>4</v>
      </c>
      <c r="L1257" s="2217"/>
      <c r="M1257" s="2221"/>
      <c r="T1257" s="2222"/>
      <c r="AT1257" s="2218" t="s">
        <v>3303</v>
      </c>
      <c r="AU1257" s="2218" t="s">
        <v>134</v>
      </c>
      <c r="AV1257" s="2216" t="s">
        <v>856</v>
      </c>
      <c r="AW1257" s="2216" t="s">
        <v>3171</v>
      </c>
      <c r="AX1257" s="2216" t="s">
        <v>133</v>
      </c>
      <c r="AY1257" s="2218" t="s">
        <v>3285</v>
      </c>
    </row>
    <row r="1258" spans="2:65" s="2070" customFormat="1" ht="24.2" customHeight="1">
      <c r="B1258" s="2164"/>
      <c r="C1258" s="4614" t="s">
        <v>5267</v>
      </c>
      <c r="D1258" s="4614" t="s">
        <v>135</v>
      </c>
      <c r="E1258" s="4615" t="s">
        <v>11375</v>
      </c>
      <c r="F1258" s="4616" t="s">
        <v>11376</v>
      </c>
      <c r="G1258" s="4617" t="s">
        <v>155</v>
      </c>
      <c r="H1258" s="4618">
        <v>2</v>
      </c>
      <c r="I1258" s="4619"/>
      <c r="J1258" s="4619">
        <f>ROUND(I1258*H1258,2)</f>
        <v>0</v>
      </c>
      <c r="K1258" s="4616" t="s">
        <v>142</v>
      </c>
      <c r="L1258" s="2223"/>
      <c r="M1258" s="2224" t="s">
        <v>3146</v>
      </c>
      <c r="N1258" s="2225" t="s">
        <v>3181</v>
      </c>
      <c r="O1258" s="2191">
        <v>0</v>
      </c>
      <c r="P1258" s="2191">
        <f>O1258*H1258</f>
        <v>0</v>
      </c>
      <c r="Q1258" s="2191">
        <v>5.2999999999999999E-2</v>
      </c>
      <c r="R1258" s="2191">
        <f>Q1258*H1258</f>
        <v>0.106</v>
      </c>
      <c r="S1258" s="2191">
        <v>0</v>
      </c>
      <c r="T1258" s="2192">
        <f>S1258*H1258</f>
        <v>0</v>
      </c>
      <c r="AR1258" s="2193" t="s">
        <v>3389</v>
      </c>
      <c r="AT1258" s="2193" t="s">
        <v>135</v>
      </c>
      <c r="AU1258" s="2193" t="s">
        <v>134</v>
      </c>
      <c r="AY1258" s="2056" t="s">
        <v>3285</v>
      </c>
      <c r="BE1258" s="2194">
        <f>IF(N1258="základní",J1258,0)</f>
        <v>0</v>
      </c>
      <c r="BF1258" s="2194">
        <f>IF(N1258="snížená",J1258,0)</f>
        <v>0</v>
      </c>
      <c r="BG1258" s="2194">
        <f>IF(N1258="zákl. přenesená",J1258,0)</f>
        <v>0</v>
      </c>
      <c r="BH1258" s="2194">
        <f>IF(N1258="sníž. přenesená",J1258,0)</f>
        <v>0</v>
      </c>
      <c r="BI1258" s="2194">
        <f>IF(N1258="nulová",J1258,0)</f>
        <v>0</v>
      </c>
      <c r="BJ1258" s="2056" t="s">
        <v>134</v>
      </c>
      <c r="BK1258" s="2194">
        <f>ROUND(I1258*H1258,2)</f>
        <v>0</v>
      </c>
      <c r="BL1258" s="2056" t="s">
        <v>2894</v>
      </c>
      <c r="BM1258" s="2193" t="s">
        <v>11377</v>
      </c>
    </row>
    <row r="1259" spans="2:65" s="2209" customFormat="1">
      <c r="B1259" s="2210"/>
      <c r="D1259" s="2197" t="s">
        <v>3303</v>
      </c>
      <c r="E1259" s="2211" t="s">
        <v>3146</v>
      </c>
      <c r="F1259" s="2212" t="s">
        <v>11378</v>
      </c>
      <c r="H1259" s="2213">
        <v>1</v>
      </c>
      <c r="L1259" s="2210"/>
      <c r="M1259" s="2214"/>
      <c r="T1259" s="2215"/>
      <c r="AT1259" s="2211" t="s">
        <v>3303</v>
      </c>
      <c r="AU1259" s="2211" t="s">
        <v>134</v>
      </c>
      <c r="AV1259" s="2209" t="s">
        <v>134</v>
      </c>
      <c r="AW1259" s="2209" t="s">
        <v>3171</v>
      </c>
      <c r="AX1259" s="2209" t="s">
        <v>3213</v>
      </c>
      <c r="AY1259" s="2211" t="s">
        <v>3285</v>
      </c>
    </row>
    <row r="1260" spans="2:65" s="2209" customFormat="1">
      <c r="B1260" s="2210"/>
      <c r="D1260" s="2197" t="s">
        <v>3303</v>
      </c>
      <c r="E1260" s="2211" t="s">
        <v>3146</v>
      </c>
      <c r="F1260" s="2212" t="s">
        <v>11379</v>
      </c>
      <c r="H1260" s="2213">
        <v>1</v>
      </c>
      <c r="L1260" s="2210"/>
      <c r="M1260" s="2214"/>
      <c r="T1260" s="2215"/>
      <c r="AT1260" s="2211" t="s">
        <v>3303</v>
      </c>
      <c r="AU1260" s="2211" t="s">
        <v>134</v>
      </c>
      <c r="AV1260" s="2209" t="s">
        <v>134</v>
      </c>
      <c r="AW1260" s="2209" t="s">
        <v>3171</v>
      </c>
      <c r="AX1260" s="2209" t="s">
        <v>3213</v>
      </c>
      <c r="AY1260" s="2211" t="s">
        <v>3285</v>
      </c>
    </row>
    <row r="1261" spans="2:65" s="2216" customFormat="1">
      <c r="B1261" s="2217"/>
      <c r="D1261" s="2197" t="s">
        <v>3303</v>
      </c>
      <c r="E1261" s="2218" t="s">
        <v>3146</v>
      </c>
      <c r="F1261" s="2219" t="s">
        <v>3306</v>
      </c>
      <c r="H1261" s="2220">
        <v>2</v>
      </c>
      <c r="L1261" s="2217"/>
      <c r="M1261" s="2221"/>
      <c r="T1261" s="2222"/>
      <c r="AT1261" s="2218" t="s">
        <v>3303</v>
      </c>
      <c r="AU1261" s="2218" t="s">
        <v>134</v>
      </c>
      <c r="AV1261" s="2216" t="s">
        <v>856</v>
      </c>
      <c r="AW1261" s="2216" t="s">
        <v>3171</v>
      </c>
      <c r="AX1261" s="2216" t="s">
        <v>133</v>
      </c>
      <c r="AY1261" s="2218" t="s">
        <v>3285</v>
      </c>
    </row>
    <row r="1262" spans="2:65" s="2070" customFormat="1" ht="24.2" customHeight="1">
      <c r="B1262" s="2164"/>
      <c r="C1262" s="4608" t="s">
        <v>5080</v>
      </c>
      <c r="D1262" s="4608" t="s">
        <v>3286</v>
      </c>
      <c r="E1262" s="4609" t="s">
        <v>5529</v>
      </c>
      <c r="F1262" s="4610" t="s">
        <v>5530</v>
      </c>
      <c r="G1262" s="4611" t="s">
        <v>155</v>
      </c>
      <c r="H1262" s="4612">
        <v>12</v>
      </c>
      <c r="I1262" s="4613"/>
      <c r="J1262" s="4613">
        <f>ROUND(I1262*H1262,2)</f>
        <v>0</v>
      </c>
      <c r="K1262" s="4610" t="s">
        <v>142</v>
      </c>
      <c r="L1262" s="2071"/>
      <c r="M1262" s="2190" t="s">
        <v>3146</v>
      </c>
      <c r="N1262" s="2163" t="s">
        <v>3181</v>
      </c>
      <c r="O1262" s="2191">
        <v>17.46</v>
      </c>
      <c r="P1262" s="2191">
        <f>O1262*H1262</f>
        <v>209.52</v>
      </c>
      <c r="Q1262" s="2191">
        <v>0</v>
      </c>
      <c r="R1262" s="2191">
        <f>Q1262*H1262</f>
        <v>0</v>
      </c>
      <c r="S1262" s="2191">
        <v>0</v>
      </c>
      <c r="T1262" s="2192">
        <f>S1262*H1262</f>
        <v>0</v>
      </c>
      <c r="AR1262" s="2193" t="s">
        <v>2894</v>
      </c>
      <c r="AT1262" s="2193" t="s">
        <v>3286</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f>ROUND(I1262*H1262,2)</f>
        <v>0</v>
      </c>
      <c r="BL1262" s="2056" t="s">
        <v>2894</v>
      </c>
      <c r="BM1262" s="2193" t="s">
        <v>5531</v>
      </c>
    </row>
    <row r="1263" spans="2:65" s="2195" customFormat="1">
      <c r="B1263" s="2196"/>
      <c r="D1263" s="2197" t="s">
        <v>3303</v>
      </c>
      <c r="E1263" s="2198" t="s">
        <v>3146</v>
      </c>
      <c r="F1263" s="2199" t="s">
        <v>5532</v>
      </c>
      <c r="H1263" s="2198" t="s">
        <v>3146</v>
      </c>
      <c r="L1263" s="2196"/>
      <c r="M1263" s="2200"/>
      <c r="T1263" s="2201"/>
      <c r="AT1263" s="2198" t="s">
        <v>3303</v>
      </c>
      <c r="AU1263" s="2198" t="s">
        <v>134</v>
      </c>
      <c r="AV1263" s="2195" t="s">
        <v>133</v>
      </c>
      <c r="AW1263" s="2195" t="s">
        <v>3171</v>
      </c>
      <c r="AX1263" s="2195" t="s">
        <v>3213</v>
      </c>
      <c r="AY1263" s="2198" t="s">
        <v>3285</v>
      </c>
    </row>
    <row r="1264" spans="2:65" s="2209" customFormat="1">
      <c r="B1264" s="2210"/>
      <c r="D1264" s="2197" t="s">
        <v>3303</v>
      </c>
      <c r="E1264" s="2211" t="s">
        <v>3146</v>
      </c>
      <c r="F1264" s="2212" t="s">
        <v>133</v>
      </c>
      <c r="H1264" s="2213">
        <v>1</v>
      </c>
      <c r="L1264" s="2210"/>
      <c r="M1264" s="2214"/>
      <c r="T1264" s="2215"/>
      <c r="AT1264" s="2211" t="s">
        <v>3303</v>
      </c>
      <c r="AU1264" s="2211" t="s">
        <v>134</v>
      </c>
      <c r="AV1264" s="2209" t="s">
        <v>134</v>
      </c>
      <c r="AW1264" s="2209" t="s">
        <v>3171</v>
      </c>
      <c r="AX1264" s="2209" t="s">
        <v>3213</v>
      </c>
      <c r="AY1264" s="2211" t="s">
        <v>3285</v>
      </c>
    </row>
    <row r="1265" spans="2:51" s="2195" customFormat="1">
      <c r="B1265" s="2196"/>
      <c r="D1265" s="2197" t="s">
        <v>3303</v>
      </c>
      <c r="E1265" s="2198" t="s">
        <v>3146</v>
      </c>
      <c r="F1265" s="2199" t="s">
        <v>5533</v>
      </c>
      <c r="H1265" s="2198" t="s">
        <v>3146</v>
      </c>
      <c r="L1265" s="2196"/>
      <c r="M1265" s="2200"/>
      <c r="T1265" s="2201"/>
      <c r="AT1265" s="2198" t="s">
        <v>3303</v>
      </c>
      <c r="AU1265" s="2198" t="s">
        <v>134</v>
      </c>
      <c r="AV1265" s="2195" t="s">
        <v>133</v>
      </c>
      <c r="AW1265" s="2195" t="s">
        <v>3171</v>
      </c>
      <c r="AX1265" s="2195" t="s">
        <v>3213</v>
      </c>
      <c r="AY1265" s="2198" t="s">
        <v>3285</v>
      </c>
    </row>
    <row r="1266" spans="2:51" s="2209" customFormat="1">
      <c r="B1266" s="2210"/>
      <c r="D1266" s="2197" t="s">
        <v>3303</v>
      </c>
      <c r="E1266" s="2211" t="s">
        <v>3146</v>
      </c>
      <c r="F1266" s="2212" t="s">
        <v>133</v>
      </c>
      <c r="H1266" s="2213">
        <v>1</v>
      </c>
      <c r="L1266" s="2210"/>
      <c r="M1266" s="2214"/>
      <c r="T1266" s="2215"/>
      <c r="AT1266" s="2211" t="s">
        <v>3303</v>
      </c>
      <c r="AU1266" s="2211" t="s">
        <v>134</v>
      </c>
      <c r="AV1266" s="2209" t="s">
        <v>134</v>
      </c>
      <c r="AW1266" s="2209" t="s">
        <v>3171</v>
      </c>
      <c r="AX1266" s="2209" t="s">
        <v>3213</v>
      </c>
      <c r="AY1266" s="2211" t="s">
        <v>3285</v>
      </c>
    </row>
    <row r="1267" spans="2:51" s="2195" customFormat="1">
      <c r="B1267" s="2196"/>
      <c r="D1267" s="2197" t="s">
        <v>3303</v>
      </c>
      <c r="E1267" s="2198" t="s">
        <v>3146</v>
      </c>
      <c r="F1267" s="2199" t="s">
        <v>5534</v>
      </c>
      <c r="H1267" s="2198" t="s">
        <v>3146</v>
      </c>
      <c r="L1267" s="2196"/>
      <c r="M1267" s="2200"/>
      <c r="T1267" s="2201"/>
      <c r="AT1267" s="2198" t="s">
        <v>3303</v>
      </c>
      <c r="AU1267" s="2198" t="s">
        <v>134</v>
      </c>
      <c r="AV1267" s="2195" t="s">
        <v>133</v>
      </c>
      <c r="AW1267" s="2195" t="s">
        <v>3171</v>
      </c>
      <c r="AX1267" s="2195" t="s">
        <v>3213</v>
      </c>
      <c r="AY1267" s="2198" t="s">
        <v>3285</v>
      </c>
    </row>
    <row r="1268" spans="2:51" s="2209" customFormat="1">
      <c r="B1268" s="2210"/>
      <c r="D1268" s="2197" t="s">
        <v>3303</v>
      </c>
      <c r="E1268" s="2211" t="s">
        <v>3146</v>
      </c>
      <c r="F1268" s="2212" t="s">
        <v>133</v>
      </c>
      <c r="H1268" s="2213">
        <v>1</v>
      </c>
      <c r="L1268" s="2210"/>
      <c r="M1268" s="2214"/>
      <c r="T1268" s="2215"/>
      <c r="AT1268" s="2211" t="s">
        <v>3303</v>
      </c>
      <c r="AU1268" s="2211" t="s">
        <v>134</v>
      </c>
      <c r="AV1268" s="2209" t="s">
        <v>134</v>
      </c>
      <c r="AW1268" s="2209" t="s">
        <v>3171</v>
      </c>
      <c r="AX1268" s="2209" t="s">
        <v>3213</v>
      </c>
      <c r="AY1268" s="2211" t="s">
        <v>3285</v>
      </c>
    </row>
    <row r="1269" spans="2:51" s="2195" customFormat="1">
      <c r="B1269" s="2196"/>
      <c r="D1269" s="2197" t="s">
        <v>3303</v>
      </c>
      <c r="E1269" s="2198" t="s">
        <v>3146</v>
      </c>
      <c r="F1269" s="2199" t="s">
        <v>5535</v>
      </c>
      <c r="H1269" s="2198" t="s">
        <v>3146</v>
      </c>
      <c r="L1269" s="2196"/>
      <c r="M1269" s="2200"/>
      <c r="T1269" s="2201"/>
      <c r="AT1269" s="2198" t="s">
        <v>3303</v>
      </c>
      <c r="AU1269" s="2198" t="s">
        <v>134</v>
      </c>
      <c r="AV1269" s="2195" t="s">
        <v>133</v>
      </c>
      <c r="AW1269" s="2195" t="s">
        <v>3171</v>
      </c>
      <c r="AX1269" s="2195" t="s">
        <v>3213</v>
      </c>
      <c r="AY1269" s="2198" t="s">
        <v>3285</v>
      </c>
    </row>
    <row r="1270" spans="2:51" s="2209" customFormat="1">
      <c r="B1270" s="2210"/>
      <c r="D1270" s="2197" t="s">
        <v>3303</v>
      </c>
      <c r="E1270" s="2211" t="s">
        <v>3146</v>
      </c>
      <c r="F1270" s="2212" t="s">
        <v>133</v>
      </c>
      <c r="H1270" s="2213">
        <v>1</v>
      </c>
      <c r="L1270" s="2210"/>
      <c r="M1270" s="2214"/>
      <c r="T1270" s="2215"/>
      <c r="AT1270" s="2211" t="s">
        <v>3303</v>
      </c>
      <c r="AU1270" s="2211" t="s">
        <v>134</v>
      </c>
      <c r="AV1270" s="2209" t="s">
        <v>134</v>
      </c>
      <c r="AW1270" s="2209" t="s">
        <v>3171</v>
      </c>
      <c r="AX1270" s="2209" t="s">
        <v>3213</v>
      </c>
      <c r="AY1270" s="2211" t="s">
        <v>3285</v>
      </c>
    </row>
    <row r="1271" spans="2:51" s="2195" customFormat="1">
      <c r="B1271" s="2196"/>
      <c r="D1271" s="2197" t="s">
        <v>3303</v>
      </c>
      <c r="E1271" s="2198" t="s">
        <v>3146</v>
      </c>
      <c r="F1271" s="2199" t="s">
        <v>5536</v>
      </c>
      <c r="H1271" s="2198" t="s">
        <v>3146</v>
      </c>
      <c r="L1271" s="2196"/>
      <c r="M1271" s="2200"/>
      <c r="T1271" s="2201"/>
      <c r="AT1271" s="2198" t="s">
        <v>3303</v>
      </c>
      <c r="AU1271" s="2198" t="s">
        <v>134</v>
      </c>
      <c r="AV1271" s="2195" t="s">
        <v>133</v>
      </c>
      <c r="AW1271" s="2195" t="s">
        <v>3171</v>
      </c>
      <c r="AX1271" s="2195" t="s">
        <v>3213</v>
      </c>
      <c r="AY1271" s="2198" t="s">
        <v>3285</v>
      </c>
    </row>
    <row r="1272" spans="2:51" s="2209" customFormat="1">
      <c r="B1272" s="2210"/>
      <c r="D1272" s="2197" t="s">
        <v>3303</v>
      </c>
      <c r="E1272" s="2211" t="s">
        <v>3146</v>
      </c>
      <c r="F1272" s="2212" t="s">
        <v>133</v>
      </c>
      <c r="H1272" s="2213">
        <v>1</v>
      </c>
      <c r="L1272" s="2210"/>
      <c r="M1272" s="2214"/>
      <c r="T1272" s="2215"/>
      <c r="AT1272" s="2211" t="s">
        <v>3303</v>
      </c>
      <c r="AU1272" s="2211" t="s">
        <v>134</v>
      </c>
      <c r="AV1272" s="2209" t="s">
        <v>134</v>
      </c>
      <c r="AW1272" s="2209" t="s">
        <v>3171</v>
      </c>
      <c r="AX1272" s="2209" t="s">
        <v>3213</v>
      </c>
      <c r="AY1272" s="2211" t="s">
        <v>3285</v>
      </c>
    </row>
    <row r="1273" spans="2:51" s="2195" customFormat="1">
      <c r="B1273" s="2196"/>
      <c r="D1273" s="2197" t="s">
        <v>3303</v>
      </c>
      <c r="E1273" s="2198" t="s">
        <v>3146</v>
      </c>
      <c r="F1273" s="2199" t="s">
        <v>5537</v>
      </c>
      <c r="H1273" s="2198" t="s">
        <v>3146</v>
      </c>
      <c r="L1273" s="2196"/>
      <c r="M1273" s="2200"/>
      <c r="T1273" s="2201"/>
      <c r="AT1273" s="2198" t="s">
        <v>3303</v>
      </c>
      <c r="AU1273" s="2198" t="s">
        <v>134</v>
      </c>
      <c r="AV1273" s="2195" t="s">
        <v>133</v>
      </c>
      <c r="AW1273" s="2195" t="s">
        <v>3171</v>
      </c>
      <c r="AX1273" s="2195" t="s">
        <v>3213</v>
      </c>
      <c r="AY1273" s="2198" t="s">
        <v>3285</v>
      </c>
    </row>
    <row r="1274" spans="2:51" s="2209" customFormat="1">
      <c r="B1274" s="2210"/>
      <c r="D1274" s="2197" t="s">
        <v>3303</v>
      </c>
      <c r="E1274" s="2211" t="s">
        <v>3146</v>
      </c>
      <c r="F1274" s="2212" t="s">
        <v>133</v>
      </c>
      <c r="H1274" s="2213">
        <v>1</v>
      </c>
      <c r="L1274" s="2210"/>
      <c r="M1274" s="2214"/>
      <c r="T1274" s="2215"/>
      <c r="AT1274" s="2211" t="s">
        <v>3303</v>
      </c>
      <c r="AU1274" s="2211" t="s">
        <v>134</v>
      </c>
      <c r="AV1274" s="2209" t="s">
        <v>134</v>
      </c>
      <c r="AW1274" s="2209" t="s">
        <v>3171</v>
      </c>
      <c r="AX1274" s="2209" t="s">
        <v>3213</v>
      </c>
      <c r="AY1274" s="2211" t="s">
        <v>3285</v>
      </c>
    </row>
    <row r="1275" spans="2:51" s="2195" customFormat="1">
      <c r="B1275" s="2196"/>
      <c r="D1275" s="2197" t="s">
        <v>3303</v>
      </c>
      <c r="E1275" s="2198" t="s">
        <v>3146</v>
      </c>
      <c r="F1275" s="2199" t="s">
        <v>5538</v>
      </c>
      <c r="H1275" s="2198" t="s">
        <v>3146</v>
      </c>
      <c r="L1275" s="2196"/>
      <c r="M1275" s="2200"/>
      <c r="T1275" s="2201"/>
      <c r="AT1275" s="2198" t="s">
        <v>3303</v>
      </c>
      <c r="AU1275" s="2198" t="s">
        <v>134</v>
      </c>
      <c r="AV1275" s="2195" t="s">
        <v>133</v>
      </c>
      <c r="AW1275" s="2195" t="s">
        <v>3171</v>
      </c>
      <c r="AX1275" s="2195" t="s">
        <v>3213</v>
      </c>
      <c r="AY1275" s="2198" t="s">
        <v>3285</v>
      </c>
    </row>
    <row r="1276" spans="2:51" s="2209" customFormat="1">
      <c r="B1276" s="2210"/>
      <c r="D1276" s="2197" t="s">
        <v>3303</v>
      </c>
      <c r="E1276" s="2211" t="s">
        <v>3146</v>
      </c>
      <c r="F1276" s="2212" t="s">
        <v>133</v>
      </c>
      <c r="H1276" s="2213">
        <v>1</v>
      </c>
      <c r="L1276" s="2210"/>
      <c r="M1276" s="2214"/>
      <c r="T1276" s="2215"/>
      <c r="AT1276" s="2211" t="s">
        <v>3303</v>
      </c>
      <c r="AU1276" s="2211" t="s">
        <v>134</v>
      </c>
      <c r="AV1276" s="2209" t="s">
        <v>134</v>
      </c>
      <c r="AW1276" s="2209" t="s">
        <v>3171</v>
      </c>
      <c r="AX1276" s="2209" t="s">
        <v>3213</v>
      </c>
      <c r="AY1276" s="2211" t="s">
        <v>3285</v>
      </c>
    </row>
    <row r="1277" spans="2:51" s="2195" customFormat="1">
      <c r="B1277" s="2196"/>
      <c r="D1277" s="2197" t="s">
        <v>3303</v>
      </c>
      <c r="E1277" s="2198" t="s">
        <v>3146</v>
      </c>
      <c r="F1277" s="2199" t="s">
        <v>5539</v>
      </c>
      <c r="H1277" s="2198" t="s">
        <v>3146</v>
      </c>
      <c r="L1277" s="2196"/>
      <c r="M1277" s="2200"/>
      <c r="T1277" s="2201"/>
      <c r="AT1277" s="2198" t="s">
        <v>3303</v>
      </c>
      <c r="AU1277" s="2198" t="s">
        <v>134</v>
      </c>
      <c r="AV1277" s="2195" t="s">
        <v>133</v>
      </c>
      <c r="AW1277" s="2195" t="s">
        <v>3171</v>
      </c>
      <c r="AX1277" s="2195" t="s">
        <v>3213</v>
      </c>
      <c r="AY1277" s="2198" t="s">
        <v>3285</v>
      </c>
    </row>
    <row r="1278" spans="2:51" s="2209" customFormat="1">
      <c r="B1278" s="2210"/>
      <c r="D1278" s="2197" t="s">
        <v>3303</v>
      </c>
      <c r="E1278" s="2211" t="s">
        <v>3146</v>
      </c>
      <c r="F1278" s="2212" t="s">
        <v>133</v>
      </c>
      <c r="H1278" s="2213">
        <v>1</v>
      </c>
      <c r="L1278" s="2210"/>
      <c r="M1278" s="2214"/>
      <c r="T1278" s="2215"/>
      <c r="AT1278" s="2211" t="s">
        <v>3303</v>
      </c>
      <c r="AU1278" s="2211" t="s">
        <v>134</v>
      </c>
      <c r="AV1278" s="2209" t="s">
        <v>134</v>
      </c>
      <c r="AW1278" s="2209" t="s">
        <v>3171</v>
      </c>
      <c r="AX1278" s="2209" t="s">
        <v>3213</v>
      </c>
      <c r="AY1278" s="2211" t="s">
        <v>3285</v>
      </c>
    </row>
    <row r="1279" spans="2:51" s="2195" customFormat="1">
      <c r="B1279" s="2196"/>
      <c r="D1279" s="2197" t="s">
        <v>3303</v>
      </c>
      <c r="E1279" s="2198" t="s">
        <v>3146</v>
      </c>
      <c r="F1279" s="2199" t="s">
        <v>5540</v>
      </c>
      <c r="H1279" s="2198" t="s">
        <v>3146</v>
      </c>
      <c r="L1279" s="2196"/>
      <c r="M1279" s="2200"/>
      <c r="T1279" s="2201"/>
      <c r="AT1279" s="2198" t="s">
        <v>3303</v>
      </c>
      <c r="AU1279" s="2198" t="s">
        <v>134</v>
      </c>
      <c r="AV1279" s="2195" t="s">
        <v>133</v>
      </c>
      <c r="AW1279" s="2195" t="s">
        <v>3171</v>
      </c>
      <c r="AX1279" s="2195" t="s">
        <v>3213</v>
      </c>
      <c r="AY1279" s="2198" t="s">
        <v>3285</v>
      </c>
    </row>
    <row r="1280" spans="2:51" s="2209" customFormat="1">
      <c r="B1280" s="2210"/>
      <c r="D1280" s="2197" t="s">
        <v>3303</v>
      </c>
      <c r="E1280" s="2211" t="s">
        <v>3146</v>
      </c>
      <c r="F1280" s="2212" t="s">
        <v>133</v>
      </c>
      <c r="H1280" s="2213">
        <v>1</v>
      </c>
      <c r="L1280" s="2210"/>
      <c r="M1280" s="2214"/>
      <c r="T1280" s="2215"/>
      <c r="AT1280" s="2211" t="s">
        <v>3303</v>
      </c>
      <c r="AU1280" s="2211" t="s">
        <v>134</v>
      </c>
      <c r="AV1280" s="2209" t="s">
        <v>134</v>
      </c>
      <c r="AW1280" s="2209" t="s">
        <v>3171</v>
      </c>
      <c r="AX1280" s="2209" t="s">
        <v>3213</v>
      </c>
      <c r="AY1280" s="2211" t="s">
        <v>3285</v>
      </c>
    </row>
    <row r="1281" spans="2:65" s="2195" customFormat="1">
      <c r="B1281" s="2196"/>
      <c r="D1281" s="2197" t="s">
        <v>3303</v>
      </c>
      <c r="E1281" s="2198" t="s">
        <v>3146</v>
      </c>
      <c r="F1281" s="2199" t="s">
        <v>5541</v>
      </c>
      <c r="H1281" s="2198" t="s">
        <v>3146</v>
      </c>
      <c r="L1281" s="2196"/>
      <c r="M1281" s="2200"/>
      <c r="T1281" s="2201"/>
      <c r="AT1281" s="2198" t="s">
        <v>3303</v>
      </c>
      <c r="AU1281" s="2198" t="s">
        <v>134</v>
      </c>
      <c r="AV1281" s="2195" t="s">
        <v>133</v>
      </c>
      <c r="AW1281" s="2195" t="s">
        <v>3171</v>
      </c>
      <c r="AX1281" s="2195" t="s">
        <v>3213</v>
      </c>
      <c r="AY1281" s="2198" t="s">
        <v>3285</v>
      </c>
    </row>
    <row r="1282" spans="2:65" s="2209" customFormat="1">
      <c r="B1282" s="2210"/>
      <c r="D1282" s="2197" t="s">
        <v>3303</v>
      </c>
      <c r="E1282" s="2211" t="s">
        <v>3146</v>
      </c>
      <c r="F1282" s="2212" t="s">
        <v>133</v>
      </c>
      <c r="H1282" s="2213">
        <v>1</v>
      </c>
      <c r="L1282" s="2210"/>
      <c r="M1282" s="2214"/>
      <c r="T1282" s="2215"/>
      <c r="AT1282" s="2211" t="s">
        <v>3303</v>
      </c>
      <c r="AU1282" s="2211" t="s">
        <v>134</v>
      </c>
      <c r="AV1282" s="2209" t="s">
        <v>134</v>
      </c>
      <c r="AW1282" s="2209" t="s">
        <v>3171</v>
      </c>
      <c r="AX1282" s="2209" t="s">
        <v>3213</v>
      </c>
      <c r="AY1282" s="2211" t="s">
        <v>3285</v>
      </c>
    </row>
    <row r="1283" spans="2:65" s="2195" customFormat="1">
      <c r="B1283" s="2196"/>
      <c r="D1283" s="2197" t="s">
        <v>3303</v>
      </c>
      <c r="E1283" s="2198" t="s">
        <v>3146</v>
      </c>
      <c r="F1283" s="2199" t="s">
        <v>5542</v>
      </c>
      <c r="H1283" s="2198" t="s">
        <v>3146</v>
      </c>
      <c r="L1283" s="2196"/>
      <c r="M1283" s="2200"/>
      <c r="T1283" s="2201"/>
      <c r="AT1283" s="2198" t="s">
        <v>3303</v>
      </c>
      <c r="AU1283" s="2198" t="s">
        <v>134</v>
      </c>
      <c r="AV1283" s="2195" t="s">
        <v>133</v>
      </c>
      <c r="AW1283" s="2195" t="s">
        <v>3171</v>
      </c>
      <c r="AX1283" s="2195" t="s">
        <v>3213</v>
      </c>
      <c r="AY1283" s="2198" t="s">
        <v>3285</v>
      </c>
    </row>
    <row r="1284" spans="2:65" s="2209" customFormat="1">
      <c r="B1284" s="2210"/>
      <c r="D1284" s="2197" t="s">
        <v>3303</v>
      </c>
      <c r="E1284" s="2211" t="s">
        <v>3146</v>
      </c>
      <c r="F1284" s="2212" t="s">
        <v>133</v>
      </c>
      <c r="H1284" s="2213">
        <v>1</v>
      </c>
      <c r="L1284" s="2210"/>
      <c r="M1284" s="2214"/>
      <c r="T1284" s="2215"/>
      <c r="AT1284" s="2211" t="s">
        <v>3303</v>
      </c>
      <c r="AU1284" s="2211" t="s">
        <v>134</v>
      </c>
      <c r="AV1284" s="2209" t="s">
        <v>134</v>
      </c>
      <c r="AW1284" s="2209" t="s">
        <v>3171</v>
      </c>
      <c r="AX1284" s="2209" t="s">
        <v>3213</v>
      </c>
      <c r="AY1284" s="2211" t="s">
        <v>3285</v>
      </c>
    </row>
    <row r="1285" spans="2:65" s="2195" customFormat="1">
      <c r="B1285" s="2196"/>
      <c r="D1285" s="2197" t="s">
        <v>3303</v>
      </c>
      <c r="E1285" s="2198" t="s">
        <v>3146</v>
      </c>
      <c r="F1285" s="2199" t="s">
        <v>5543</v>
      </c>
      <c r="H1285" s="2198" t="s">
        <v>3146</v>
      </c>
      <c r="L1285" s="2196"/>
      <c r="M1285" s="2200"/>
      <c r="T1285" s="2201"/>
      <c r="AT1285" s="2198" t="s">
        <v>3303</v>
      </c>
      <c r="AU1285" s="2198" t="s">
        <v>134</v>
      </c>
      <c r="AV1285" s="2195" t="s">
        <v>133</v>
      </c>
      <c r="AW1285" s="2195" t="s">
        <v>3171</v>
      </c>
      <c r="AX1285" s="2195" t="s">
        <v>3213</v>
      </c>
      <c r="AY1285" s="2198" t="s">
        <v>3285</v>
      </c>
    </row>
    <row r="1286" spans="2:65" s="2209" customFormat="1">
      <c r="B1286" s="2210"/>
      <c r="D1286" s="2197" t="s">
        <v>3303</v>
      </c>
      <c r="E1286" s="2211" t="s">
        <v>3146</v>
      </c>
      <c r="F1286" s="2212" t="s">
        <v>133</v>
      </c>
      <c r="H1286" s="2213">
        <v>1</v>
      </c>
      <c r="L1286" s="2210"/>
      <c r="M1286" s="2214"/>
      <c r="T1286" s="2215"/>
      <c r="AT1286" s="2211" t="s">
        <v>3303</v>
      </c>
      <c r="AU1286" s="2211" t="s">
        <v>134</v>
      </c>
      <c r="AV1286" s="2209" t="s">
        <v>134</v>
      </c>
      <c r="AW1286" s="2209" t="s">
        <v>3171</v>
      </c>
      <c r="AX1286" s="2209" t="s">
        <v>3213</v>
      </c>
      <c r="AY1286" s="2211" t="s">
        <v>3285</v>
      </c>
    </row>
    <row r="1287" spans="2:65" s="2216" customFormat="1">
      <c r="B1287" s="2217"/>
      <c r="D1287" s="2197" t="s">
        <v>3303</v>
      </c>
      <c r="E1287" s="2218" t="s">
        <v>3146</v>
      </c>
      <c r="F1287" s="2219" t="s">
        <v>3306</v>
      </c>
      <c r="H1287" s="2220">
        <v>12</v>
      </c>
      <c r="L1287" s="2217"/>
      <c r="M1287" s="2221"/>
      <c r="T1287" s="2222"/>
      <c r="AT1287" s="2218" t="s">
        <v>3303</v>
      </c>
      <c r="AU1287" s="2218" t="s">
        <v>134</v>
      </c>
      <c r="AV1287" s="2216" t="s">
        <v>856</v>
      </c>
      <c r="AW1287" s="2216" t="s">
        <v>3171</v>
      </c>
      <c r="AX1287" s="2216" t="s">
        <v>133</v>
      </c>
      <c r="AY1287" s="2218" t="s">
        <v>3285</v>
      </c>
    </row>
    <row r="1288" spans="2:65" s="2070" customFormat="1" ht="33" customHeight="1">
      <c r="B1288" s="2164"/>
      <c r="C1288" s="4614" t="s">
        <v>5081</v>
      </c>
      <c r="D1288" s="4614" t="s">
        <v>135</v>
      </c>
      <c r="E1288" s="4615" t="s">
        <v>5544</v>
      </c>
      <c r="F1288" s="4616" t="s">
        <v>5545</v>
      </c>
      <c r="G1288" s="4617" t="s">
        <v>155</v>
      </c>
      <c r="H1288" s="4618">
        <v>12</v>
      </c>
      <c r="I1288" s="4619"/>
      <c r="J1288" s="4619">
        <f>ROUND(I1288*H1288,2)</f>
        <v>0</v>
      </c>
      <c r="K1288" s="4616" t="s">
        <v>142</v>
      </c>
      <c r="L1288" s="2223"/>
      <c r="M1288" s="2224" t="s">
        <v>3146</v>
      </c>
      <c r="N1288" s="2225" t="s">
        <v>3181</v>
      </c>
      <c r="O1288" s="2191">
        <v>0</v>
      </c>
      <c r="P1288" s="2191">
        <f>O1288*H1288</f>
        <v>0</v>
      </c>
      <c r="Q1288" s="2191">
        <v>0.12</v>
      </c>
      <c r="R1288" s="2191">
        <f>Q1288*H1288</f>
        <v>1.44</v>
      </c>
      <c r="S1288" s="2191">
        <v>0</v>
      </c>
      <c r="T1288" s="2192">
        <f>S1288*H1288</f>
        <v>0</v>
      </c>
      <c r="AR1288" s="2193" t="s">
        <v>3389</v>
      </c>
      <c r="AT1288" s="2193" t="s">
        <v>135</v>
      </c>
      <c r="AU1288" s="2193" t="s">
        <v>134</v>
      </c>
      <c r="AY1288" s="2056" t="s">
        <v>3285</v>
      </c>
      <c r="BE1288" s="2194">
        <f>IF(N1288="základní",J1288,0)</f>
        <v>0</v>
      </c>
      <c r="BF1288" s="2194">
        <f>IF(N1288="snížená",J1288,0)</f>
        <v>0</v>
      </c>
      <c r="BG1288" s="2194">
        <f>IF(N1288="zákl. přenesená",J1288,0)</f>
        <v>0</v>
      </c>
      <c r="BH1288" s="2194">
        <f>IF(N1288="sníž. přenesená",J1288,0)</f>
        <v>0</v>
      </c>
      <c r="BI1288" s="2194">
        <f>IF(N1288="nulová",J1288,0)</f>
        <v>0</v>
      </c>
      <c r="BJ1288" s="2056" t="s">
        <v>134</v>
      </c>
      <c r="BK1288" s="2194">
        <f>ROUND(I1288*H1288,2)</f>
        <v>0</v>
      </c>
      <c r="BL1288" s="2056" t="s">
        <v>2894</v>
      </c>
      <c r="BM1288" s="2193" t="s">
        <v>5546</v>
      </c>
    </row>
    <row r="1289" spans="2:65" s="2070" customFormat="1" ht="24.2" customHeight="1">
      <c r="B1289" s="2164"/>
      <c r="C1289" s="4614" t="s">
        <v>5082</v>
      </c>
      <c r="D1289" s="4614" t="s">
        <v>135</v>
      </c>
      <c r="E1289" s="4615" t="s">
        <v>5547</v>
      </c>
      <c r="F1289" s="4616" t="s">
        <v>5548</v>
      </c>
      <c r="G1289" s="4617" t="s">
        <v>155</v>
      </c>
      <c r="H1289" s="4618">
        <v>12</v>
      </c>
      <c r="I1289" s="4619"/>
      <c r="J1289" s="4619">
        <f>ROUND(I1289*H1289,2)</f>
        <v>0</v>
      </c>
      <c r="K1289" s="4616" t="s">
        <v>3146</v>
      </c>
      <c r="L1289" s="2223"/>
      <c r="M1289" s="2224" t="s">
        <v>3146</v>
      </c>
      <c r="N1289" s="2225" t="s">
        <v>3181</v>
      </c>
      <c r="O1289" s="2191">
        <v>0</v>
      </c>
      <c r="P1289" s="2191">
        <f>O1289*H1289</f>
        <v>0</v>
      </c>
      <c r="Q1289" s="2191">
        <v>0</v>
      </c>
      <c r="R1289" s="2191">
        <f>Q1289*H1289</f>
        <v>0</v>
      </c>
      <c r="S1289" s="2191">
        <v>0</v>
      </c>
      <c r="T1289" s="2192">
        <f>S1289*H1289</f>
        <v>0</v>
      </c>
      <c r="AR1289" s="2193" t="s">
        <v>3389</v>
      </c>
      <c r="AT1289" s="2193" t="s">
        <v>135</v>
      </c>
      <c r="AU1289" s="2193" t="s">
        <v>134</v>
      </c>
      <c r="AY1289" s="2056" t="s">
        <v>3285</v>
      </c>
      <c r="BE1289" s="2194">
        <f>IF(N1289="základní",J1289,0)</f>
        <v>0</v>
      </c>
      <c r="BF1289" s="2194">
        <f>IF(N1289="snížená",J1289,0)</f>
        <v>0</v>
      </c>
      <c r="BG1289" s="2194">
        <f>IF(N1289="zákl. přenesená",J1289,0)</f>
        <v>0</v>
      </c>
      <c r="BH1289" s="2194">
        <f>IF(N1289="sníž. přenesená",J1289,0)</f>
        <v>0</v>
      </c>
      <c r="BI1289" s="2194">
        <f>IF(N1289="nulová",J1289,0)</f>
        <v>0</v>
      </c>
      <c r="BJ1289" s="2056" t="s">
        <v>134</v>
      </c>
      <c r="BK1289" s="2194">
        <f>ROUND(I1289*H1289,2)</f>
        <v>0</v>
      </c>
      <c r="BL1289" s="2056" t="s">
        <v>2894</v>
      </c>
      <c r="BM1289" s="2193" t="s">
        <v>5549</v>
      </c>
    </row>
    <row r="1290" spans="2:65" s="2070" customFormat="1" ht="24.2" customHeight="1">
      <c r="B1290" s="2164"/>
      <c r="C1290" s="4608" t="s">
        <v>11380</v>
      </c>
      <c r="D1290" s="4608" t="s">
        <v>3286</v>
      </c>
      <c r="E1290" s="4609" t="s">
        <v>5550</v>
      </c>
      <c r="F1290" s="4610" t="s">
        <v>5551</v>
      </c>
      <c r="G1290" s="4611" t="s">
        <v>155</v>
      </c>
      <c r="H1290" s="4612">
        <v>3</v>
      </c>
      <c r="I1290" s="4613"/>
      <c r="J1290" s="4613">
        <f>ROUND(I1290*H1290,2)</f>
        <v>0</v>
      </c>
      <c r="K1290" s="4610" t="s">
        <v>142</v>
      </c>
      <c r="L1290" s="2071"/>
      <c r="M1290" s="2190" t="s">
        <v>3146</v>
      </c>
      <c r="N1290" s="2163" t="s">
        <v>3181</v>
      </c>
      <c r="O1290" s="2191">
        <v>20.58</v>
      </c>
      <c r="P1290" s="2191">
        <f>O1290*H1290</f>
        <v>61.739999999999995</v>
      </c>
      <c r="Q1290" s="2191">
        <v>0</v>
      </c>
      <c r="R1290" s="2191">
        <f>Q1290*H1290</f>
        <v>0</v>
      </c>
      <c r="S1290" s="2191">
        <v>0</v>
      </c>
      <c r="T1290" s="2192">
        <f>S1290*H1290</f>
        <v>0</v>
      </c>
      <c r="AR1290" s="2193" t="s">
        <v>2894</v>
      </c>
      <c r="AT1290" s="2193" t="s">
        <v>3286</v>
      </c>
      <c r="AU1290" s="2193" t="s">
        <v>134</v>
      </c>
      <c r="AY1290" s="2056" t="s">
        <v>3285</v>
      </c>
      <c r="BE1290" s="2194">
        <f>IF(N1290="základní",J1290,0)</f>
        <v>0</v>
      </c>
      <c r="BF1290" s="2194">
        <f>IF(N1290="snížená",J1290,0)</f>
        <v>0</v>
      </c>
      <c r="BG1290" s="2194">
        <f>IF(N1290="zákl. přenesená",J1290,0)</f>
        <v>0</v>
      </c>
      <c r="BH1290" s="2194">
        <f>IF(N1290="sníž. přenesená",J1290,0)</f>
        <v>0</v>
      </c>
      <c r="BI1290" s="2194">
        <f>IF(N1290="nulová",J1290,0)</f>
        <v>0</v>
      </c>
      <c r="BJ1290" s="2056" t="s">
        <v>134</v>
      </c>
      <c r="BK1290" s="2194">
        <f>ROUND(I1290*H1290,2)</f>
        <v>0</v>
      </c>
      <c r="BL1290" s="2056" t="s">
        <v>2894</v>
      </c>
      <c r="BM1290" s="2193" t="s">
        <v>5552</v>
      </c>
    </row>
    <row r="1291" spans="2:65" s="2195" customFormat="1">
      <c r="B1291" s="2196"/>
      <c r="D1291" s="2197" t="s">
        <v>3303</v>
      </c>
      <c r="E1291" s="2198" t="s">
        <v>3146</v>
      </c>
      <c r="F1291" s="2199" t="s">
        <v>5553</v>
      </c>
      <c r="H1291" s="2198" t="s">
        <v>3146</v>
      </c>
      <c r="L1291" s="2196"/>
      <c r="M1291" s="2200"/>
      <c r="T1291" s="2201"/>
      <c r="AT1291" s="2198" t="s">
        <v>3303</v>
      </c>
      <c r="AU1291" s="2198" t="s">
        <v>134</v>
      </c>
      <c r="AV1291" s="2195" t="s">
        <v>133</v>
      </c>
      <c r="AW1291" s="2195" t="s">
        <v>3171</v>
      </c>
      <c r="AX1291" s="2195" t="s">
        <v>3213</v>
      </c>
      <c r="AY1291" s="2198" t="s">
        <v>3285</v>
      </c>
    </row>
    <row r="1292" spans="2:65" s="2209" customFormat="1">
      <c r="B1292" s="2210"/>
      <c r="D1292" s="2197" t="s">
        <v>3303</v>
      </c>
      <c r="E1292" s="2211" t="s">
        <v>3146</v>
      </c>
      <c r="F1292" s="2212" t="s">
        <v>133</v>
      </c>
      <c r="H1292" s="2213">
        <v>1</v>
      </c>
      <c r="L1292" s="2210"/>
      <c r="M1292" s="2214"/>
      <c r="T1292" s="2215"/>
      <c r="AT1292" s="2211" t="s">
        <v>3303</v>
      </c>
      <c r="AU1292" s="2211" t="s">
        <v>134</v>
      </c>
      <c r="AV1292" s="2209" t="s">
        <v>134</v>
      </c>
      <c r="AW1292" s="2209" t="s">
        <v>3171</v>
      </c>
      <c r="AX1292" s="2209" t="s">
        <v>3213</v>
      </c>
      <c r="AY1292" s="2211" t="s">
        <v>3285</v>
      </c>
    </row>
    <row r="1293" spans="2:65" s="2195" customFormat="1">
      <c r="B1293" s="2196"/>
      <c r="D1293" s="2197" t="s">
        <v>3303</v>
      </c>
      <c r="E1293" s="2198" t="s">
        <v>3146</v>
      </c>
      <c r="F1293" s="2199" t="s">
        <v>5554</v>
      </c>
      <c r="H1293" s="2198" t="s">
        <v>3146</v>
      </c>
      <c r="L1293" s="2196"/>
      <c r="M1293" s="2200"/>
      <c r="T1293" s="2201"/>
      <c r="AT1293" s="2198" t="s">
        <v>3303</v>
      </c>
      <c r="AU1293" s="2198" t="s">
        <v>134</v>
      </c>
      <c r="AV1293" s="2195" t="s">
        <v>133</v>
      </c>
      <c r="AW1293" s="2195" t="s">
        <v>3171</v>
      </c>
      <c r="AX1293" s="2195" t="s">
        <v>3213</v>
      </c>
      <c r="AY1293" s="2198" t="s">
        <v>3285</v>
      </c>
    </row>
    <row r="1294" spans="2:65" s="2209" customFormat="1">
      <c r="B1294" s="2210"/>
      <c r="D1294" s="2197" t="s">
        <v>3303</v>
      </c>
      <c r="E1294" s="2211" t="s">
        <v>3146</v>
      </c>
      <c r="F1294" s="2212" t="s">
        <v>133</v>
      </c>
      <c r="H1294" s="2213">
        <v>1</v>
      </c>
      <c r="L1294" s="2210"/>
      <c r="M1294" s="2214"/>
      <c r="T1294" s="2215"/>
      <c r="AT1294" s="2211" t="s">
        <v>3303</v>
      </c>
      <c r="AU1294" s="2211" t="s">
        <v>134</v>
      </c>
      <c r="AV1294" s="2209" t="s">
        <v>134</v>
      </c>
      <c r="AW1294" s="2209" t="s">
        <v>3171</v>
      </c>
      <c r="AX1294" s="2209" t="s">
        <v>3213</v>
      </c>
      <c r="AY1294" s="2211" t="s">
        <v>3285</v>
      </c>
    </row>
    <row r="1295" spans="2:65" s="2195" customFormat="1">
      <c r="B1295" s="2196"/>
      <c r="D1295" s="2197" t="s">
        <v>3303</v>
      </c>
      <c r="E1295" s="2198" t="s">
        <v>3146</v>
      </c>
      <c r="F1295" s="2199" t="s">
        <v>5555</v>
      </c>
      <c r="H1295" s="2198" t="s">
        <v>3146</v>
      </c>
      <c r="L1295" s="2196"/>
      <c r="M1295" s="2200"/>
      <c r="T1295" s="2201"/>
      <c r="AT1295" s="2198" t="s">
        <v>3303</v>
      </c>
      <c r="AU1295" s="2198" t="s">
        <v>134</v>
      </c>
      <c r="AV1295" s="2195" t="s">
        <v>133</v>
      </c>
      <c r="AW1295" s="2195" t="s">
        <v>3171</v>
      </c>
      <c r="AX1295" s="2195" t="s">
        <v>3213</v>
      </c>
      <c r="AY1295" s="2198" t="s">
        <v>3285</v>
      </c>
    </row>
    <row r="1296" spans="2:65" s="2209" customFormat="1">
      <c r="B1296" s="2210"/>
      <c r="D1296" s="2197" t="s">
        <v>3303</v>
      </c>
      <c r="E1296" s="2211" t="s">
        <v>3146</v>
      </c>
      <c r="F1296" s="2212" t="s">
        <v>133</v>
      </c>
      <c r="H1296" s="2213">
        <v>1</v>
      </c>
      <c r="L1296" s="2210"/>
      <c r="M1296" s="2214"/>
      <c r="T1296" s="2215"/>
      <c r="AT1296" s="2211" t="s">
        <v>3303</v>
      </c>
      <c r="AU1296" s="2211" t="s">
        <v>134</v>
      </c>
      <c r="AV1296" s="2209" t="s">
        <v>134</v>
      </c>
      <c r="AW1296" s="2209" t="s">
        <v>3171</v>
      </c>
      <c r="AX1296" s="2209" t="s">
        <v>3213</v>
      </c>
      <c r="AY1296" s="2211" t="s">
        <v>3285</v>
      </c>
    </row>
    <row r="1297" spans="2:65" s="2216" customFormat="1">
      <c r="B1297" s="2217"/>
      <c r="D1297" s="2197" t="s">
        <v>3303</v>
      </c>
      <c r="E1297" s="2218" t="s">
        <v>3146</v>
      </c>
      <c r="F1297" s="2219" t="s">
        <v>3306</v>
      </c>
      <c r="H1297" s="2220">
        <v>3</v>
      </c>
      <c r="L1297" s="2217"/>
      <c r="M1297" s="2221"/>
      <c r="T1297" s="2222"/>
      <c r="AT1297" s="2218" t="s">
        <v>3303</v>
      </c>
      <c r="AU1297" s="2218" t="s">
        <v>134</v>
      </c>
      <c r="AV1297" s="2216" t="s">
        <v>856</v>
      </c>
      <c r="AW1297" s="2216" t="s">
        <v>3171</v>
      </c>
      <c r="AX1297" s="2216" t="s">
        <v>133</v>
      </c>
      <c r="AY1297" s="2218" t="s">
        <v>3285</v>
      </c>
    </row>
    <row r="1298" spans="2:65" s="2070" customFormat="1" ht="37.9" customHeight="1">
      <c r="B1298" s="2164"/>
      <c r="C1298" s="4614" t="s">
        <v>11381</v>
      </c>
      <c r="D1298" s="4614" t="s">
        <v>135</v>
      </c>
      <c r="E1298" s="4615" t="s">
        <v>5556</v>
      </c>
      <c r="F1298" s="4616" t="s">
        <v>5557</v>
      </c>
      <c r="G1298" s="4617" t="s">
        <v>155</v>
      </c>
      <c r="H1298" s="4618">
        <v>3</v>
      </c>
      <c r="I1298" s="4619"/>
      <c r="J1298" s="4619">
        <f>ROUND(I1298*H1298,2)</f>
        <v>0</v>
      </c>
      <c r="K1298" s="4616" t="s">
        <v>142</v>
      </c>
      <c r="L1298" s="2223"/>
      <c r="M1298" s="2224" t="s">
        <v>3146</v>
      </c>
      <c r="N1298" s="2225" t="s">
        <v>3181</v>
      </c>
      <c r="O1298" s="2191">
        <v>0</v>
      </c>
      <c r="P1298" s="2191">
        <f>O1298*H1298</f>
        <v>0</v>
      </c>
      <c r="Q1298" s="2191">
        <v>0.11</v>
      </c>
      <c r="R1298" s="2191">
        <f>Q1298*H1298</f>
        <v>0.33</v>
      </c>
      <c r="S1298" s="2191">
        <v>0</v>
      </c>
      <c r="T1298" s="2192">
        <f>S1298*H1298</f>
        <v>0</v>
      </c>
      <c r="AR1298" s="2193" t="s">
        <v>3389</v>
      </c>
      <c r="AT1298" s="2193" t="s">
        <v>135</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f>ROUND(I1298*H1298,2)</f>
        <v>0</v>
      </c>
      <c r="BL1298" s="2056" t="s">
        <v>2894</v>
      </c>
      <c r="BM1298" s="2193" t="s">
        <v>5558</v>
      </c>
    </row>
    <row r="1299" spans="2:65" s="2195" customFormat="1">
      <c r="B1299" s="2196"/>
      <c r="D1299" s="2197" t="s">
        <v>3303</v>
      </c>
      <c r="E1299" s="2198" t="s">
        <v>3146</v>
      </c>
      <c r="F1299" s="2199" t="s">
        <v>5553</v>
      </c>
      <c r="H1299" s="2198" t="s">
        <v>3146</v>
      </c>
      <c r="L1299" s="2196"/>
      <c r="M1299" s="2200"/>
      <c r="T1299" s="2201"/>
      <c r="AT1299" s="2198" t="s">
        <v>3303</v>
      </c>
      <c r="AU1299" s="2198" t="s">
        <v>134</v>
      </c>
      <c r="AV1299" s="2195" t="s">
        <v>133</v>
      </c>
      <c r="AW1299" s="2195" t="s">
        <v>3171</v>
      </c>
      <c r="AX1299" s="2195" t="s">
        <v>3213</v>
      </c>
      <c r="AY1299" s="2198" t="s">
        <v>3285</v>
      </c>
    </row>
    <row r="1300" spans="2:65" s="2209" customFormat="1">
      <c r="B1300" s="2210"/>
      <c r="D1300" s="2197" t="s">
        <v>3303</v>
      </c>
      <c r="E1300" s="2211" t="s">
        <v>3146</v>
      </c>
      <c r="F1300" s="2212" t="s">
        <v>133</v>
      </c>
      <c r="H1300" s="2213">
        <v>1</v>
      </c>
      <c r="L1300" s="2210"/>
      <c r="M1300" s="2214"/>
      <c r="T1300" s="2215"/>
      <c r="AT1300" s="2211" t="s">
        <v>3303</v>
      </c>
      <c r="AU1300" s="2211" t="s">
        <v>134</v>
      </c>
      <c r="AV1300" s="2209" t="s">
        <v>134</v>
      </c>
      <c r="AW1300" s="2209" t="s">
        <v>3171</v>
      </c>
      <c r="AX1300" s="2209" t="s">
        <v>3213</v>
      </c>
      <c r="AY1300" s="2211" t="s">
        <v>3285</v>
      </c>
    </row>
    <row r="1301" spans="2:65" s="2195" customFormat="1">
      <c r="B1301" s="2196"/>
      <c r="D1301" s="2197" t="s">
        <v>3303</v>
      </c>
      <c r="E1301" s="2198" t="s">
        <v>3146</v>
      </c>
      <c r="F1301" s="2199" t="s">
        <v>5554</v>
      </c>
      <c r="H1301" s="2198" t="s">
        <v>3146</v>
      </c>
      <c r="L1301" s="2196"/>
      <c r="M1301" s="2200"/>
      <c r="T1301" s="2201"/>
      <c r="AT1301" s="2198" t="s">
        <v>3303</v>
      </c>
      <c r="AU1301" s="2198" t="s">
        <v>134</v>
      </c>
      <c r="AV1301" s="2195" t="s">
        <v>133</v>
      </c>
      <c r="AW1301" s="2195" t="s">
        <v>3171</v>
      </c>
      <c r="AX1301" s="2195" t="s">
        <v>3213</v>
      </c>
      <c r="AY1301" s="2198" t="s">
        <v>3285</v>
      </c>
    </row>
    <row r="1302" spans="2:65" s="2209" customFormat="1">
      <c r="B1302" s="2210"/>
      <c r="D1302" s="2197" t="s">
        <v>3303</v>
      </c>
      <c r="E1302" s="2211" t="s">
        <v>3146</v>
      </c>
      <c r="F1302" s="2212" t="s">
        <v>133</v>
      </c>
      <c r="H1302" s="2213">
        <v>1</v>
      </c>
      <c r="L1302" s="2210"/>
      <c r="M1302" s="2214"/>
      <c r="T1302" s="2215"/>
      <c r="AT1302" s="2211" t="s">
        <v>3303</v>
      </c>
      <c r="AU1302" s="2211" t="s">
        <v>134</v>
      </c>
      <c r="AV1302" s="2209" t="s">
        <v>134</v>
      </c>
      <c r="AW1302" s="2209" t="s">
        <v>3171</v>
      </c>
      <c r="AX1302" s="2209" t="s">
        <v>3213</v>
      </c>
      <c r="AY1302" s="2211" t="s">
        <v>3285</v>
      </c>
    </row>
    <row r="1303" spans="2:65" s="2195" customFormat="1">
      <c r="B1303" s="2196"/>
      <c r="D1303" s="2197" t="s">
        <v>3303</v>
      </c>
      <c r="E1303" s="2198" t="s">
        <v>3146</v>
      </c>
      <c r="F1303" s="2199" t="s">
        <v>5555</v>
      </c>
      <c r="H1303" s="2198" t="s">
        <v>3146</v>
      </c>
      <c r="L1303" s="2196"/>
      <c r="M1303" s="2200"/>
      <c r="T1303" s="2201"/>
      <c r="AT1303" s="2198" t="s">
        <v>3303</v>
      </c>
      <c r="AU1303" s="2198" t="s">
        <v>134</v>
      </c>
      <c r="AV1303" s="2195" t="s">
        <v>133</v>
      </c>
      <c r="AW1303" s="2195" t="s">
        <v>3171</v>
      </c>
      <c r="AX1303" s="2195" t="s">
        <v>3213</v>
      </c>
      <c r="AY1303" s="2198" t="s">
        <v>3285</v>
      </c>
    </row>
    <row r="1304" spans="2:65" s="2209" customFormat="1">
      <c r="B1304" s="2210"/>
      <c r="D1304" s="2197" t="s">
        <v>3303</v>
      </c>
      <c r="E1304" s="2211" t="s">
        <v>3146</v>
      </c>
      <c r="F1304" s="2212" t="s">
        <v>133</v>
      </c>
      <c r="H1304" s="2213">
        <v>1</v>
      </c>
      <c r="L1304" s="2210"/>
      <c r="M1304" s="2214"/>
      <c r="T1304" s="2215"/>
      <c r="AT1304" s="2211" t="s">
        <v>3303</v>
      </c>
      <c r="AU1304" s="2211" t="s">
        <v>134</v>
      </c>
      <c r="AV1304" s="2209" t="s">
        <v>134</v>
      </c>
      <c r="AW1304" s="2209" t="s">
        <v>3171</v>
      </c>
      <c r="AX1304" s="2209" t="s">
        <v>3213</v>
      </c>
      <c r="AY1304" s="2211" t="s">
        <v>3285</v>
      </c>
    </row>
    <row r="1305" spans="2:65" s="2216" customFormat="1">
      <c r="B1305" s="2217"/>
      <c r="D1305" s="2197" t="s">
        <v>3303</v>
      </c>
      <c r="E1305" s="2218" t="s">
        <v>3146</v>
      </c>
      <c r="F1305" s="2219" t="s">
        <v>3306</v>
      </c>
      <c r="H1305" s="2220">
        <v>3</v>
      </c>
      <c r="L1305" s="2217"/>
      <c r="M1305" s="2221"/>
      <c r="T1305" s="2222"/>
      <c r="AT1305" s="2218" t="s">
        <v>3303</v>
      </c>
      <c r="AU1305" s="2218" t="s">
        <v>134</v>
      </c>
      <c r="AV1305" s="2216" t="s">
        <v>856</v>
      </c>
      <c r="AW1305" s="2216" t="s">
        <v>3171</v>
      </c>
      <c r="AX1305" s="2216" t="s">
        <v>133</v>
      </c>
      <c r="AY1305" s="2218" t="s">
        <v>3285</v>
      </c>
    </row>
    <row r="1306" spans="2:65" s="2070" customFormat="1" ht="24.2" customHeight="1">
      <c r="B1306" s="2164"/>
      <c r="C1306" s="4614" t="s">
        <v>11382</v>
      </c>
      <c r="D1306" s="4614" t="s">
        <v>135</v>
      </c>
      <c r="E1306" s="4615" t="s">
        <v>5559</v>
      </c>
      <c r="F1306" s="4616" t="s">
        <v>5560</v>
      </c>
      <c r="G1306" s="4617" t="s">
        <v>155</v>
      </c>
      <c r="H1306" s="4618">
        <v>3</v>
      </c>
      <c r="I1306" s="4619"/>
      <c r="J1306" s="4619">
        <f>ROUND(I1306*H1306,2)</f>
        <v>0</v>
      </c>
      <c r="K1306" s="4616" t="s">
        <v>3146</v>
      </c>
      <c r="L1306" s="2223"/>
      <c r="M1306" s="2224" t="s">
        <v>3146</v>
      </c>
      <c r="N1306" s="2225" t="s">
        <v>3181</v>
      </c>
      <c r="O1306" s="2191">
        <v>0</v>
      </c>
      <c r="P1306" s="2191">
        <f>O1306*H1306</f>
        <v>0</v>
      </c>
      <c r="Q1306" s="2191">
        <v>0</v>
      </c>
      <c r="R1306" s="2191">
        <f>Q1306*H1306</f>
        <v>0</v>
      </c>
      <c r="S1306" s="2191">
        <v>0</v>
      </c>
      <c r="T1306" s="2192">
        <f>S1306*H1306</f>
        <v>0</v>
      </c>
      <c r="AR1306" s="2193" t="s">
        <v>3389</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f>ROUND(I1306*H1306,2)</f>
        <v>0</v>
      </c>
      <c r="BL1306" s="2056" t="s">
        <v>2894</v>
      </c>
      <c r="BM1306" s="2193" t="s">
        <v>5561</v>
      </c>
    </row>
    <row r="1307" spans="2:65" s="2070" customFormat="1" ht="24.2" customHeight="1">
      <c r="B1307" s="2164"/>
      <c r="C1307" s="4608" t="s">
        <v>11383</v>
      </c>
      <c r="D1307" s="4608" t="s">
        <v>3286</v>
      </c>
      <c r="E1307" s="4609" t="s">
        <v>5562</v>
      </c>
      <c r="F1307" s="4610" t="s">
        <v>5563</v>
      </c>
      <c r="G1307" s="4611" t="s">
        <v>155</v>
      </c>
      <c r="H1307" s="4612">
        <v>9</v>
      </c>
      <c r="I1307" s="4613"/>
      <c r="J1307" s="4613">
        <f>ROUND(I1307*H1307,2)</f>
        <v>0</v>
      </c>
      <c r="K1307" s="4610" t="s">
        <v>142</v>
      </c>
      <c r="L1307" s="2071"/>
      <c r="M1307" s="2190" t="s">
        <v>3146</v>
      </c>
      <c r="N1307" s="2163" t="s">
        <v>3181</v>
      </c>
      <c r="O1307" s="2191">
        <v>27.24</v>
      </c>
      <c r="P1307" s="2191">
        <f>O1307*H1307</f>
        <v>245.16</v>
      </c>
      <c r="Q1307" s="2191">
        <v>0</v>
      </c>
      <c r="R1307" s="2191">
        <f>Q1307*H1307</f>
        <v>0</v>
      </c>
      <c r="S1307" s="2191">
        <v>0</v>
      </c>
      <c r="T1307" s="2192">
        <f>S1307*H1307</f>
        <v>0</v>
      </c>
      <c r="AR1307" s="2193" t="s">
        <v>2894</v>
      </c>
      <c r="AT1307" s="2193" t="s">
        <v>3286</v>
      </c>
      <c r="AU1307" s="2193" t="s">
        <v>134</v>
      </c>
      <c r="AY1307" s="2056" t="s">
        <v>3285</v>
      </c>
      <c r="BE1307" s="2194">
        <f>IF(N1307="základní",J1307,0)</f>
        <v>0</v>
      </c>
      <c r="BF1307" s="2194">
        <f>IF(N1307="snížená",J1307,0)</f>
        <v>0</v>
      </c>
      <c r="BG1307" s="2194">
        <f>IF(N1307="zákl. přenesená",J1307,0)</f>
        <v>0</v>
      </c>
      <c r="BH1307" s="2194">
        <f>IF(N1307="sníž. přenesená",J1307,0)</f>
        <v>0</v>
      </c>
      <c r="BI1307" s="2194">
        <f>IF(N1307="nulová",J1307,0)</f>
        <v>0</v>
      </c>
      <c r="BJ1307" s="2056" t="s">
        <v>134</v>
      </c>
      <c r="BK1307" s="2194">
        <f>ROUND(I1307*H1307,2)</f>
        <v>0</v>
      </c>
      <c r="BL1307" s="2056" t="s">
        <v>2894</v>
      </c>
      <c r="BM1307" s="2193" t="s">
        <v>5564</v>
      </c>
    </row>
    <row r="1308" spans="2:65" s="2195" customFormat="1">
      <c r="B1308" s="2196"/>
      <c r="D1308" s="2197" t="s">
        <v>3303</v>
      </c>
      <c r="E1308" s="2198" t="s">
        <v>3146</v>
      </c>
      <c r="F1308" s="2199" t="s">
        <v>5565</v>
      </c>
      <c r="H1308" s="2198" t="s">
        <v>3146</v>
      </c>
      <c r="L1308" s="2196"/>
      <c r="M1308" s="2200"/>
      <c r="T1308" s="2201"/>
      <c r="AT1308" s="2198" t="s">
        <v>3303</v>
      </c>
      <c r="AU1308" s="2198" t="s">
        <v>134</v>
      </c>
      <c r="AV1308" s="2195" t="s">
        <v>133</v>
      </c>
      <c r="AW1308" s="2195" t="s">
        <v>3171</v>
      </c>
      <c r="AX1308" s="2195" t="s">
        <v>3213</v>
      </c>
      <c r="AY1308" s="2198" t="s">
        <v>3285</v>
      </c>
    </row>
    <row r="1309" spans="2:65" s="2209" customFormat="1">
      <c r="B1309" s="2210"/>
      <c r="D1309" s="2197" t="s">
        <v>3303</v>
      </c>
      <c r="E1309" s="2211" t="s">
        <v>3146</v>
      </c>
      <c r="F1309" s="2212" t="s">
        <v>133</v>
      </c>
      <c r="H1309" s="2213">
        <v>1</v>
      </c>
      <c r="L1309" s="2210"/>
      <c r="M1309" s="2214"/>
      <c r="T1309" s="2215"/>
      <c r="AT1309" s="2211" t="s">
        <v>3303</v>
      </c>
      <c r="AU1309" s="2211" t="s">
        <v>134</v>
      </c>
      <c r="AV1309" s="2209" t="s">
        <v>134</v>
      </c>
      <c r="AW1309" s="2209" t="s">
        <v>3171</v>
      </c>
      <c r="AX1309" s="2209" t="s">
        <v>3213</v>
      </c>
      <c r="AY1309" s="2211" t="s">
        <v>3285</v>
      </c>
    </row>
    <row r="1310" spans="2:65" s="2195" customFormat="1">
      <c r="B1310" s="2196"/>
      <c r="D1310" s="2197" t="s">
        <v>3303</v>
      </c>
      <c r="E1310" s="2198" t="s">
        <v>3146</v>
      </c>
      <c r="F1310" s="2199" t="s">
        <v>5566</v>
      </c>
      <c r="H1310" s="2198" t="s">
        <v>3146</v>
      </c>
      <c r="L1310" s="2196"/>
      <c r="M1310" s="2200"/>
      <c r="T1310" s="2201"/>
      <c r="AT1310" s="2198" t="s">
        <v>3303</v>
      </c>
      <c r="AU1310" s="2198" t="s">
        <v>134</v>
      </c>
      <c r="AV1310" s="2195" t="s">
        <v>133</v>
      </c>
      <c r="AW1310" s="2195" t="s">
        <v>3171</v>
      </c>
      <c r="AX1310" s="2195" t="s">
        <v>3213</v>
      </c>
      <c r="AY1310" s="2198" t="s">
        <v>3285</v>
      </c>
    </row>
    <row r="1311" spans="2:65" s="2209" customFormat="1">
      <c r="B1311" s="2210"/>
      <c r="D1311" s="2197" t="s">
        <v>3303</v>
      </c>
      <c r="E1311" s="2211" t="s">
        <v>3146</v>
      </c>
      <c r="F1311" s="2212" t="s">
        <v>133</v>
      </c>
      <c r="H1311" s="2213">
        <v>1</v>
      </c>
      <c r="L1311" s="2210"/>
      <c r="M1311" s="2214"/>
      <c r="T1311" s="2215"/>
      <c r="AT1311" s="2211" t="s">
        <v>3303</v>
      </c>
      <c r="AU1311" s="2211" t="s">
        <v>134</v>
      </c>
      <c r="AV1311" s="2209" t="s">
        <v>134</v>
      </c>
      <c r="AW1311" s="2209" t="s">
        <v>3171</v>
      </c>
      <c r="AX1311" s="2209" t="s">
        <v>3213</v>
      </c>
      <c r="AY1311" s="2211" t="s">
        <v>3285</v>
      </c>
    </row>
    <row r="1312" spans="2:65" s="2202" customFormat="1">
      <c r="B1312" s="2203"/>
      <c r="D1312" s="2197" t="s">
        <v>3303</v>
      </c>
      <c r="E1312" s="2204" t="s">
        <v>3146</v>
      </c>
      <c r="F1312" s="2205" t="s">
        <v>3305</v>
      </c>
      <c r="H1312" s="2206">
        <v>2</v>
      </c>
      <c r="L1312" s="2203"/>
      <c r="M1312" s="2207"/>
      <c r="T1312" s="2208"/>
      <c r="AT1312" s="2204" t="s">
        <v>3303</v>
      </c>
      <c r="AU1312" s="2204" t="s">
        <v>134</v>
      </c>
      <c r="AV1312" s="2202" t="s">
        <v>854</v>
      </c>
      <c r="AW1312" s="2202" t="s">
        <v>3171</v>
      </c>
      <c r="AX1312" s="2202" t="s">
        <v>3213</v>
      </c>
      <c r="AY1312" s="2204" t="s">
        <v>3285</v>
      </c>
    </row>
    <row r="1313" spans="2:51" s="2195" customFormat="1">
      <c r="B1313" s="2196"/>
      <c r="D1313" s="2197" t="s">
        <v>3303</v>
      </c>
      <c r="E1313" s="2198" t="s">
        <v>3146</v>
      </c>
      <c r="F1313" s="2199" t="s">
        <v>5532</v>
      </c>
      <c r="H1313" s="2198" t="s">
        <v>3146</v>
      </c>
      <c r="L1313" s="2196"/>
      <c r="M1313" s="2200"/>
      <c r="T1313" s="2201"/>
      <c r="AT1313" s="2198" t="s">
        <v>3303</v>
      </c>
      <c r="AU1313" s="2198" t="s">
        <v>134</v>
      </c>
      <c r="AV1313" s="2195" t="s">
        <v>133</v>
      </c>
      <c r="AW1313" s="2195" t="s">
        <v>3171</v>
      </c>
      <c r="AX1313" s="2195" t="s">
        <v>3213</v>
      </c>
      <c r="AY1313" s="2198" t="s">
        <v>3285</v>
      </c>
    </row>
    <row r="1314" spans="2:51" s="2209" customFormat="1">
      <c r="B1314" s="2210"/>
      <c r="D1314" s="2197" t="s">
        <v>3303</v>
      </c>
      <c r="E1314" s="2211" t="s">
        <v>3146</v>
      </c>
      <c r="F1314" s="2212" t="s">
        <v>133</v>
      </c>
      <c r="H1314" s="2213">
        <v>1</v>
      </c>
      <c r="L1314" s="2210"/>
      <c r="M1314" s="2214"/>
      <c r="T1314" s="2215"/>
      <c r="AT1314" s="2211" t="s">
        <v>3303</v>
      </c>
      <c r="AU1314" s="2211" t="s">
        <v>134</v>
      </c>
      <c r="AV1314" s="2209" t="s">
        <v>134</v>
      </c>
      <c r="AW1314" s="2209" t="s">
        <v>3171</v>
      </c>
      <c r="AX1314" s="2209" t="s">
        <v>3213</v>
      </c>
      <c r="AY1314" s="2211" t="s">
        <v>3285</v>
      </c>
    </row>
    <row r="1315" spans="2:51" s="2195" customFormat="1">
      <c r="B1315" s="2196"/>
      <c r="D1315" s="2197" t="s">
        <v>3303</v>
      </c>
      <c r="E1315" s="2198" t="s">
        <v>3146</v>
      </c>
      <c r="F1315" s="2199" t="s">
        <v>5533</v>
      </c>
      <c r="H1315" s="2198" t="s">
        <v>3146</v>
      </c>
      <c r="L1315" s="2196"/>
      <c r="M1315" s="2200"/>
      <c r="T1315" s="2201"/>
      <c r="AT1315" s="2198" t="s">
        <v>3303</v>
      </c>
      <c r="AU1315" s="2198" t="s">
        <v>134</v>
      </c>
      <c r="AV1315" s="2195" t="s">
        <v>133</v>
      </c>
      <c r="AW1315" s="2195" t="s">
        <v>3171</v>
      </c>
      <c r="AX1315" s="2195" t="s">
        <v>3213</v>
      </c>
      <c r="AY1315" s="2198" t="s">
        <v>3285</v>
      </c>
    </row>
    <row r="1316" spans="2:51" s="2209" customFormat="1">
      <c r="B1316" s="2210"/>
      <c r="D1316" s="2197" t="s">
        <v>3303</v>
      </c>
      <c r="E1316" s="2211" t="s">
        <v>3146</v>
      </c>
      <c r="F1316" s="2212" t="s">
        <v>133</v>
      </c>
      <c r="H1316" s="2213">
        <v>1</v>
      </c>
      <c r="L1316" s="2210"/>
      <c r="M1316" s="2214"/>
      <c r="T1316" s="2215"/>
      <c r="AT1316" s="2211" t="s">
        <v>3303</v>
      </c>
      <c r="AU1316" s="2211" t="s">
        <v>134</v>
      </c>
      <c r="AV1316" s="2209" t="s">
        <v>134</v>
      </c>
      <c r="AW1316" s="2209" t="s">
        <v>3171</v>
      </c>
      <c r="AX1316" s="2209" t="s">
        <v>3213</v>
      </c>
      <c r="AY1316" s="2211" t="s">
        <v>3285</v>
      </c>
    </row>
    <row r="1317" spans="2:51" s="2195" customFormat="1">
      <c r="B1317" s="2196"/>
      <c r="D1317" s="2197" t="s">
        <v>3303</v>
      </c>
      <c r="E1317" s="2198" t="s">
        <v>3146</v>
      </c>
      <c r="F1317" s="2199" t="s">
        <v>5534</v>
      </c>
      <c r="H1317" s="2198" t="s">
        <v>3146</v>
      </c>
      <c r="L1317" s="2196"/>
      <c r="M1317" s="2200"/>
      <c r="T1317" s="2201"/>
      <c r="AT1317" s="2198" t="s">
        <v>3303</v>
      </c>
      <c r="AU1317" s="2198" t="s">
        <v>134</v>
      </c>
      <c r="AV1317" s="2195" t="s">
        <v>133</v>
      </c>
      <c r="AW1317" s="2195" t="s">
        <v>3171</v>
      </c>
      <c r="AX1317" s="2195" t="s">
        <v>3213</v>
      </c>
      <c r="AY1317" s="2198" t="s">
        <v>3285</v>
      </c>
    </row>
    <row r="1318" spans="2:51" s="2209" customFormat="1">
      <c r="B1318" s="2210"/>
      <c r="D1318" s="2197" t="s">
        <v>3303</v>
      </c>
      <c r="E1318" s="2211" t="s">
        <v>3146</v>
      </c>
      <c r="F1318" s="2212" t="s">
        <v>133</v>
      </c>
      <c r="H1318" s="2213">
        <v>1</v>
      </c>
      <c r="L1318" s="2210"/>
      <c r="M1318" s="2214"/>
      <c r="T1318" s="2215"/>
      <c r="AT1318" s="2211" t="s">
        <v>3303</v>
      </c>
      <c r="AU1318" s="2211" t="s">
        <v>134</v>
      </c>
      <c r="AV1318" s="2209" t="s">
        <v>134</v>
      </c>
      <c r="AW1318" s="2209" t="s">
        <v>3171</v>
      </c>
      <c r="AX1318" s="2209" t="s">
        <v>3213</v>
      </c>
      <c r="AY1318" s="2211" t="s">
        <v>3285</v>
      </c>
    </row>
    <row r="1319" spans="2:51" s="2195" customFormat="1">
      <c r="B1319" s="2196"/>
      <c r="D1319" s="2197" t="s">
        <v>3303</v>
      </c>
      <c r="E1319" s="2198" t="s">
        <v>3146</v>
      </c>
      <c r="F1319" s="2199" t="s">
        <v>5535</v>
      </c>
      <c r="H1319" s="2198" t="s">
        <v>3146</v>
      </c>
      <c r="L1319" s="2196"/>
      <c r="M1319" s="2200"/>
      <c r="T1319" s="2201"/>
      <c r="AT1319" s="2198" t="s">
        <v>3303</v>
      </c>
      <c r="AU1319" s="2198" t="s">
        <v>134</v>
      </c>
      <c r="AV1319" s="2195" t="s">
        <v>133</v>
      </c>
      <c r="AW1319" s="2195" t="s">
        <v>3171</v>
      </c>
      <c r="AX1319" s="2195" t="s">
        <v>3213</v>
      </c>
      <c r="AY1319" s="2198" t="s">
        <v>3285</v>
      </c>
    </row>
    <row r="1320" spans="2:51" s="2209" customFormat="1">
      <c r="B1320" s="2210"/>
      <c r="D1320" s="2197" t="s">
        <v>3303</v>
      </c>
      <c r="E1320" s="2211" t="s">
        <v>3146</v>
      </c>
      <c r="F1320" s="2212" t="s">
        <v>133</v>
      </c>
      <c r="H1320" s="2213">
        <v>1</v>
      </c>
      <c r="L1320" s="2210"/>
      <c r="M1320" s="2214"/>
      <c r="T1320" s="2215"/>
      <c r="AT1320" s="2211" t="s">
        <v>3303</v>
      </c>
      <c r="AU1320" s="2211" t="s">
        <v>134</v>
      </c>
      <c r="AV1320" s="2209" t="s">
        <v>134</v>
      </c>
      <c r="AW1320" s="2209" t="s">
        <v>3171</v>
      </c>
      <c r="AX1320" s="2209" t="s">
        <v>3213</v>
      </c>
      <c r="AY1320" s="2211" t="s">
        <v>3285</v>
      </c>
    </row>
    <row r="1321" spans="2:51" s="2195" customFormat="1">
      <c r="B1321" s="2196"/>
      <c r="D1321" s="2197" t="s">
        <v>3303</v>
      </c>
      <c r="E1321" s="2198" t="s">
        <v>3146</v>
      </c>
      <c r="F1321" s="2199" t="s">
        <v>5536</v>
      </c>
      <c r="H1321" s="2198" t="s">
        <v>3146</v>
      </c>
      <c r="L1321" s="2196"/>
      <c r="M1321" s="2200"/>
      <c r="T1321" s="2201"/>
      <c r="AT1321" s="2198" t="s">
        <v>3303</v>
      </c>
      <c r="AU1321" s="2198" t="s">
        <v>134</v>
      </c>
      <c r="AV1321" s="2195" t="s">
        <v>133</v>
      </c>
      <c r="AW1321" s="2195" t="s">
        <v>3171</v>
      </c>
      <c r="AX1321" s="2195" t="s">
        <v>3213</v>
      </c>
      <c r="AY1321" s="2198" t="s">
        <v>3285</v>
      </c>
    </row>
    <row r="1322" spans="2:51" s="2209" customFormat="1">
      <c r="B1322" s="2210"/>
      <c r="D1322" s="2197" t="s">
        <v>3303</v>
      </c>
      <c r="E1322" s="2211" t="s">
        <v>3146</v>
      </c>
      <c r="F1322" s="2212" t="s">
        <v>133</v>
      </c>
      <c r="H1322" s="2213">
        <v>1</v>
      </c>
      <c r="L1322" s="2210"/>
      <c r="M1322" s="2214"/>
      <c r="T1322" s="2215"/>
      <c r="AT1322" s="2211" t="s">
        <v>3303</v>
      </c>
      <c r="AU1322" s="2211" t="s">
        <v>134</v>
      </c>
      <c r="AV1322" s="2209" t="s">
        <v>134</v>
      </c>
      <c r="AW1322" s="2209" t="s">
        <v>3171</v>
      </c>
      <c r="AX1322" s="2209" t="s">
        <v>3213</v>
      </c>
      <c r="AY1322" s="2211" t="s">
        <v>3285</v>
      </c>
    </row>
    <row r="1323" spans="2:51" s="2195" customFormat="1">
      <c r="B1323" s="2196"/>
      <c r="D1323" s="2197" t="s">
        <v>3303</v>
      </c>
      <c r="E1323" s="2198" t="s">
        <v>3146</v>
      </c>
      <c r="F1323" s="2199" t="s">
        <v>5537</v>
      </c>
      <c r="H1323" s="2198" t="s">
        <v>3146</v>
      </c>
      <c r="L1323" s="2196"/>
      <c r="M1323" s="2200"/>
      <c r="T1323" s="2201"/>
      <c r="AT1323" s="2198" t="s">
        <v>3303</v>
      </c>
      <c r="AU1323" s="2198" t="s">
        <v>134</v>
      </c>
      <c r="AV1323" s="2195" t="s">
        <v>133</v>
      </c>
      <c r="AW1323" s="2195" t="s">
        <v>3171</v>
      </c>
      <c r="AX1323" s="2195" t="s">
        <v>3213</v>
      </c>
      <c r="AY1323" s="2198" t="s">
        <v>3285</v>
      </c>
    </row>
    <row r="1324" spans="2:51" s="2209" customFormat="1">
      <c r="B1324" s="2210"/>
      <c r="D1324" s="2197" t="s">
        <v>3303</v>
      </c>
      <c r="E1324" s="2211" t="s">
        <v>3146</v>
      </c>
      <c r="F1324" s="2212" t="s">
        <v>133</v>
      </c>
      <c r="H1324" s="2213">
        <v>1</v>
      </c>
      <c r="L1324" s="2210"/>
      <c r="M1324" s="2214"/>
      <c r="T1324" s="2215"/>
      <c r="AT1324" s="2211" t="s">
        <v>3303</v>
      </c>
      <c r="AU1324" s="2211" t="s">
        <v>134</v>
      </c>
      <c r="AV1324" s="2209" t="s">
        <v>134</v>
      </c>
      <c r="AW1324" s="2209" t="s">
        <v>3171</v>
      </c>
      <c r="AX1324" s="2209" t="s">
        <v>3213</v>
      </c>
      <c r="AY1324" s="2211" t="s">
        <v>3285</v>
      </c>
    </row>
    <row r="1325" spans="2:51" s="2195" customFormat="1">
      <c r="B1325" s="2196"/>
      <c r="D1325" s="2197" t="s">
        <v>3303</v>
      </c>
      <c r="E1325" s="2198" t="s">
        <v>3146</v>
      </c>
      <c r="F1325" s="2199" t="s">
        <v>5538</v>
      </c>
      <c r="H1325" s="2198" t="s">
        <v>3146</v>
      </c>
      <c r="L1325" s="2196"/>
      <c r="M1325" s="2200"/>
      <c r="T1325" s="2201"/>
      <c r="AT1325" s="2198" t="s">
        <v>3303</v>
      </c>
      <c r="AU1325" s="2198" t="s">
        <v>134</v>
      </c>
      <c r="AV1325" s="2195" t="s">
        <v>133</v>
      </c>
      <c r="AW1325" s="2195" t="s">
        <v>3171</v>
      </c>
      <c r="AX1325" s="2195" t="s">
        <v>3213</v>
      </c>
      <c r="AY1325" s="2198" t="s">
        <v>3285</v>
      </c>
    </row>
    <row r="1326" spans="2:51" s="2209" customFormat="1">
      <c r="B1326" s="2210"/>
      <c r="D1326" s="2197" t="s">
        <v>3303</v>
      </c>
      <c r="E1326" s="2211" t="s">
        <v>3146</v>
      </c>
      <c r="F1326" s="2212" t="s">
        <v>133</v>
      </c>
      <c r="H1326" s="2213">
        <v>1</v>
      </c>
      <c r="L1326" s="2210"/>
      <c r="M1326" s="2214"/>
      <c r="T1326" s="2215"/>
      <c r="AT1326" s="2211" t="s">
        <v>3303</v>
      </c>
      <c r="AU1326" s="2211" t="s">
        <v>134</v>
      </c>
      <c r="AV1326" s="2209" t="s">
        <v>134</v>
      </c>
      <c r="AW1326" s="2209" t="s">
        <v>3171</v>
      </c>
      <c r="AX1326" s="2209" t="s">
        <v>3213</v>
      </c>
      <c r="AY1326" s="2211" t="s">
        <v>3285</v>
      </c>
    </row>
    <row r="1327" spans="2:51" s="2195" customFormat="1">
      <c r="B1327" s="2196"/>
      <c r="D1327" s="2197" t="s">
        <v>3303</v>
      </c>
      <c r="E1327" s="2198" t="s">
        <v>3146</v>
      </c>
      <c r="F1327" s="2199" t="s">
        <v>5539</v>
      </c>
      <c r="H1327" s="2198" t="s">
        <v>3146</v>
      </c>
      <c r="L1327" s="2196"/>
      <c r="M1327" s="2200"/>
      <c r="T1327" s="2201"/>
      <c r="AT1327" s="2198" t="s">
        <v>3303</v>
      </c>
      <c r="AU1327" s="2198" t="s">
        <v>134</v>
      </c>
      <c r="AV1327" s="2195" t="s">
        <v>133</v>
      </c>
      <c r="AW1327" s="2195" t="s">
        <v>3171</v>
      </c>
      <c r="AX1327" s="2195" t="s">
        <v>3213</v>
      </c>
      <c r="AY1327" s="2198" t="s">
        <v>3285</v>
      </c>
    </row>
    <row r="1328" spans="2:51" s="2209" customFormat="1">
      <c r="B1328" s="2210"/>
      <c r="D1328" s="2197" t="s">
        <v>3303</v>
      </c>
      <c r="E1328" s="2211" t="s">
        <v>3146</v>
      </c>
      <c r="F1328" s="2212" t="s">
        <v>133</v>
      </c>
      <c r="H1328" s="2213">
        <v>1</v>
      </c>
      <c r="L1328" s="2210"/>
      <c r="M1328" s="2214"/>
      <c r="T1328" s="2215"/>
      <c r="AT1328" s="2211" t="s">
        <v>3303</v>
      </c>
      <c r="AU1328" s="2211" t="s">
        <v>134</v>
      </c>
      <c r="AV1328" s="2209" t="s">
        <v>134</v>
      </c>
      <c r="AW1328" s="2209" t="s">
        <v>3171</v>
      </c>
      <c r="AX1328" s="2209" t="s">
        <v>3213</v>
      </c>
      <c r="AY1328" s="2211" t="s">
        <v>3285</v>
      </c>
    </row>
    <row r="1329" spans="2:65" s="2195" customFormat="1">
      <c r="B1329" s="2196"/>
      <c r="D1329" s="2197" t="s">
        <v>3303</v>
      </c>
      <c r="E1329" s="2198" t="s">
        <v>3146</v>
      </c>
      <c r="F1329" s="2199" t="s">
        <v>5540</v>
      </c>
      <c r="H1329" s="2198" t="s">
        <v>3146</v>
      </c>
      <c r="L1329" s="2196"/>
      <c r="M1329" s="2200"/>
      <c r="T1329" s="2201"/>
      <c r="AT1329" s="2198" t="s">
        <v>3303</v>
      </c>
      <c r="AU1329" s="2198" t="s">
        <v>134</v>
      </c>
      <c r="AV1329" s="2195" t="s">
        <v>133</v>
      </c>
      <c r="AW1329" s="2195" t="s">
        <v>3171</v>
      </c>
      <c r="AX1329" s="2195" t="s">
        <v>3213</v>
      </c>
      <c r="AY1329" s="2198" t="s">
        <v>3285</v>
      </c>
    </row>
    <row r="1330" spans="2:65" s="2209" customFormat="1">
      <c r="B1330" s="2210"/>
      <c r="D1330" s="2197" t="s">
        <v>3303</v>
      </c>
      <c r="E1330" s="2211" t="s">
        <v>3146</v>
      </c>
      <c r="F1330" s="2212" t="s">
        <v>133</v>
      </c>
      <c r="H1330" s="2213">
        <v>1</v>
      </c>
      <c r="L1330" s="2210"/>
      <c r="M1330" s="2214"/>
      <c r="T1330" s="2215"/>
      <c r="AT1330" s="2211" t="s">
        <v>3303</v>
      </c>
      <c r="AU1330" s="2211" t="s">
        <v>134</v>
      </c>
      <c r="AV1330" s="2209" t="s">
        <v>134</v>
      </c>
      <c r="AW1330" s="2209" t="s">
        <v>3171</v>
      </c>
      <c r="AX1330" s="2209" t="s">
        <v>3213</v>
      </c>
      <c r="AY1330" s="2211" t="s">
        <v>3285</v>
      </c>
    </row>
    <row r="1331" spans="2:65" s="2202" customFormat="1">
      <c r="B1331" s="2203"/>
      <c r="D1331" s="2197" t="s">
        <v>3303</v>
      </c>
      <c r="E1331" s="2204" t="s">
        <v>3146</v>
      </c>
      <c r="F1331" s="2205" t="s">
        <v>3305</v>
      </c>
      <c r="H1331" s="2206">
        <v>9</v>
      </c>
      <c r="L1331" s="2203"/>
      <c r="M1331" s="2207"/>
      <c r="T1331" s="2208"/>
      <c r="AT1331" s="2204" t="s">
        <v>3303</v>
      </c>
      <c r="AU1331" s="2204" t="s">
        <v>134</v>
      </c>
      <c r="AV1331" s="2202" t="s">
        <v>854</v>
      </c>
      <c r="AW1331" s="2202" t="s">
        <v>3171</v>
      </c>
      <c r="AX1331" s="2202" t="s">
        <v>133</v>
      </c>
      <c r="AY1331" s="2204" t="s">
        <v>3285</v>
      </c>
    </row>
    <row r="1332" spans="2:65" s="2070" customFormat="1" ht="33" customHeight="1">
      <c r="B1332" s="2164"/>
      <c r="C1332" s="4614" t="s">
        <v>11384</v>
      </c>
      <c r="D1332" s="4614" t="s">
        <v>135</v>
      </c>
      <c r="E1332" s="4615" t="s">
        <v>5544</v>
      </c>
      <c r="F1332" s="4616" t="s">
        <v>5545</v>
      </c>
      <c r="G1332" s="4617" t="s">
        <v>155</v>
      </c>
      <c r="H1332" s="4618">
        <v>2</v>
      </c>
      <c r="I1332" s="4619"/>
      <c r="J1332" s="4619">
        <f>ROUND(I1332*H1332,2)</f>
        <v>0</v>
      </c>
      <c r="K1332" s="4616" t="s">
        <v>142</v>
      </c>
      <c r="L1332" s="2223"/>
      <c r="M1332" s="2224" t="s">
        <v>3146</v>
      </c>
      <c r="N1332" s="2225" t="s">
        <v>3181</v>
      </c>
      <c r="O1332" s="2191">
        <v>0</v>
      </c>
      <c r="P1332" s="2191">
        <f>O1332*H1332</f>
        <v>0</v>
      </c>
      <c r="Q1332" s="2191">
        <v>0.12</v>
      </c>
      <c r="R1332" s="2191">
        <f>Q1332*H1332</f>
        <v>0.24</v>
      </c>
      <c r="S1332" s="2191">
        <v>0</v>
      </c>
      <c r="T1332" s="2192">
        <f>S1332*H1332</f>
        <v>0</v>
      </c>
      <c r="AR1332" s="2193" t="s">
        <v>3389</v>
      </c>
      <c r="AT1332" s="2193" t="s">
        <v>135</v>
      </c>
      <c r="AU1332" s="2193" t="s">
        <v>134</v>
      </c>
      <c r="AY1332" s="2056" t="s">
        <v>3285</v>
      </c>
      <c r="BE1332" s="2194">
        <f>IF(N1332="základní",J1332,0)</f>
        <v>0</v>
      </c>
      <c r="BF1332" s="2194">
        <f>IF(N1332="snížená",J1332,0)</f>
        <v>0</v>
      </c>
      <c r="BG1332" s="2194">
        <f>IF(N1332="zákl. přenesená",J1332,0)</f>
        <v>0</v>
      </c>
      <c r="BH1332" s="2194">
        <f>IF(N1332="sníž. přenesená",J1332,0)</f>
        <v>0</v>
      </c>
      <c r="BI1332" s="2194">
        <f>IF(N1332="nulová",J1332,0)</f>
        <v>0</v>
      </c>
      <c r="BJ1332" s="2056" t="s">
        <v>134</v>
      </c>
      <c r="BK1332" s="2194">
        <f>ROUND(I1332*H1332,2)</f>
        <v>0</v>
      </c>
      <c r="BL1332" s="2056" t="s">
        <v>2894</v>
      </c>
      <c r="BM1332" s="2193" t="s">
        <v>5567</v>
      </c>
    </row>
    <row r="1333" spans="2:65" s="2070" customFormat="1" ht="24.2" customHeight="1">
      <c r="B1333" s="2164"/>
      <c r="C1333" s="4614" t="s">
        <v>11385</v>
      </c>
      <c r="D1333" s="4614" t="s">
        <v>135</v>
      </c>
      <c r="E1333" s="4615" t="s">
        <v>5547</v>
      </c>
      <c r="F1333" s="4616" t="s">
        <v>5548</v>
      </c>
      <c r="G1333" s="4617" t="s">
        <v>155</v>
      </c>
      <c r="H1333" s="4618">
        <v>2</v>
      </c>
      <c r="I1333" s="4619"/>
      <c r="J1333" s="4619">
        <f>ROUND(I1333*H1333,2)</f>
        <v>0</v>
      </c>
      <c r="K1333" s="4616" t="s">
        <v>3146</v>
      </c>
      <c r="L1333" s="2223"/>
      <c r="M1333" s="2224" t="s">
        <v>3146</v>
      </c>
      <c r="N1333" s="2225" t="s">
        <v>3181</v>
      </c>
      <c r="O1333" s="2191">
        <v>0</v>
      </c>
      <c r="P1333" s="2191">
        <f>O1333*H1333</f>
        <v>0</v>
      </c>
      <c r="Q1333" s="2191">
        <v>0</v>
      </c>
      <c r="R1333" s="2191">
        <f>Q1333*H1333</f>
        <v>0</v>
      </c>
      <c r="S1333" s="2191">
        <v>0</v>
      </c>
      <c r="T1333" s="2192">
        <f>S1333*H1333</f>
        <v>0</v>
      </c>
      <c r="AR1333" s="2193" t="s">
        <v>3389</v>
      </c>
      <c r="AT1333" s="2193" t="s">
        <v>135</v>
      </c>
      <c r="AU1333" s="2193" t="s">
        <v>134</v>
      </c>
      <c r="AY1333" s="2056" t="s">
        <v>3285</v>
      </c>
      <c r="BE1333" s="2194">
        <f>IF(N1333="základní",J1333,0)</f>
        <v>0</v>
      </c>
      <c r="BF1333" s="2194">
        <f>IF(N1333="snížená",J1333,0)</f>
        <v>0</v>
      </c>
      <c r="BG1333" s="2194">
        <f>IF(N1333="zákl. přenesená",J1333,0)</f>
        <v>0</v>
      </c>
      <c r="BH1333" s="2194">
        <f>IF(N1333="sníž. přenesená",J1333,0)</f>
        <v>0</v>
      </c>
      <c r="BI1333" s="2194">
        <f>IF(N1333="nulová",J1333,0)</f>
        <v>0</v>
      </c>
      <c r="BJ1333" s="2056" t="s">
        <v>134</v>
      </c>
      <c r="BK1333" s="2194">
        <f>ROUND(I1333*H1333,2)</f>
        <v>0</v>
      </c>
      <c r="BL1333" s="2056" t="s">
        <v>2894</v>
      </c>
      <c r="BM1333" s="2193" t="s">
        <v>5568</v>
      </c>
    </row>
    <row r="1334" spans="2:65" s="2070" customFormat="1" ht="24.2" customHeight="1">
      <c r="B1334" s="2164"/>
      <c r="C1334" s="4608" t="s">
        <v>11386</v>
      </c>
      <c r="D1334" s="4608" t="s">
        <v>3286</v>
      </c>
      <c r="E1334" s="4609" t="s">
        <v>5569</v>
      </c>
      <c r="F1334" s="4610" t="s">
        <v>5570</v>
      </c>
      <c r="G1334" s="4611" t="s">
        <v>611</v>
      </c>
      <c r="H1334" s="4612">
        <v>1</v>
      </c>
      <c r="I1334" s="4613"/>
      <c r="J1334" s="4613">
        <f>ROUND(I1334*H1334,2)</f>
        <v>0</v>
      </c>
      <c r="K1334" s="4610" t="s">
        <v>142</v>
      </c>
      <c r="L1334" s="2071"/>
      <c r="M1334" s="2190" t="s">
        <v>3146</v>
      </c>
      <c r="N1334" s="2163" t="s">
        <v>3181</v>
      </c>
      <c r="O1334" s="2191">
        <v>1.8</v>
      </c>
      <c r="P1334" s="2191">
        <f>O1334*H1334</f>
        <v>1.8</v>
      </c>
      <c r="Q1334" s="2191">
        <v>1.8000000000000001E-4</v>
      </c>
      <c r="R1334" s="2191">
        <f>Q1334*H1334</f>
        <v>1.8000000000000001E-4</v>
      </c>
      <c r="S1334" s="2191">
        <v>0</v>
      </c>
      <c r="T1334" s="2192">
        <f>S1334*H1334</f>
        <v>0</v>
      </c>
      <c r="AR1334" s="2193" t="s">
        <v>2894</v>
      </c>
      <c r="AT1334" s="2193" t="s">
        <v>3286</v>
      </c>
      <c r="AU1334" s="2193" t="s">
        <v>134</v>
      </c>
      <c r="AY1334" s="2056" t="s">
        <v>3285</v>
      </c>
      <c r="BE1334" s="2194">
        <f>IF(N1334="základní",J1334,0)</f>
        <v>0</v>
      </c>
      <c r="BF1334" s="2194">
        <f>IF(N1334="snížená",J1334,0)</f>
        <v>0</v>
      </c>
      <c r="BG1334" s="2194">
        <f>IF(N1334="zákl. přenesená",J1334,0)</f>
        <v>0</v>
      </c>
      <c r="BH1334" s="2194">
        <f>IF(N1334="sníž. přenesená",J1334,0)</f>
        <v>0</v>
      </c>
      <c r="BI1334" s="2194">
        <f>IF(N1334="nulová",J1334,0)</f>
        <v>0</v>
      </c>
      <c r="BJ1334" s="2056" t="s">
        <v>134</v>
      </c>
      <c r="BK1334" s="2194">
        <f>ROUND(I1334*H1334,2)</f>
        <v>0</v>
      </c>
      <c r="BL1334" s="2056" t="s">
        <v>2894</v>
      </c>
      <c r="BM1334" s="2193" t="s">
        <v>5571</v>
      </c>
    </row>
    <row r="1335" spans="2:65" s="2195" customFormat="1">
      <c r="B1335" s="2196"/>
      <c r="D1335" s="2197" t="s">
        <v>3303</v>
      </c>
      <c r="E1335" s="2198" t="s">
        <v>3146</v>
      </c>
      <c r="F1335" s="2199" t="s">
        <v>5572</v>
      </c>
      <c r="H1335" s="2198" t="s">
        <v>3146</v>
      </c>
      <c r="L1335" s="2196"/>
      <c r="M1335" s="2200"/>
      <c r="T1335" s="2201"/>
      <c r="AT1335" s="2198" t="s">
        <v>3303</v>
      </c>
      <c r="AU1335" s="2198" t="s">
        <v>134</v>
      </c>
      <c r="AV1335" s="2195" t="s">
        <v>133</v>
      </c>
      <c r="AW1335" s="2195" t="s">
        <v>3171</v>
      </c>
      <c r="AX1335" s="2195" t="s">
        <v>3213</v>
      </c>
      <c r="AY1335" s="2198" t="s">
        <v>3285</v>
      </c>
    </row>
    <row r="1336" spans="2:65" s="2209" customFormat="1">
      <c r="B1336" s="2210"/>
      <c r="D1336" s="2197" t="s">
        <v>3303</v>
      </c>
      <c r="E1336" s="2211" t="s">
        <v>3146</v>
      </c>
      <c r="F1336" s="2212" t="s">
        <v>133</v>
      </c>
      <c r="H1336" s="2213">
        <v>1</v>
      </c>
      <c r="L1336" s="2210"/>
      <c r="M1336" s="2214"/>
      <c r="T1336" s="2215"/>
      <c r="AT1336" s="2211" t="s">
        <v>3303</v>
      </c>
      <c r="AU1336" s="2211" t="s">
        <v>134</v>
      </c>
      <c r="AV1336" s="2209" t="s">
        <v>134</v>
      </c>
      <c r="AW1336" s="2209" t="s">
        <v>3171</v>
      </c>
      <c r="AX1336" s="2209" t="s">
        <v>3213</v>
      </c>
      <c r="AY1336" s="2211" t="s">
        <v>3285</v>
      </c>
    </row>
    <row r="1337" spans="2:65" s="2216" customFormat="1">
      <c r="B1337" s="2217"/>
      <c r="D1337" s="2197" t="s">
        <v>3303</v>
      </c>
      <c r="E1337" s="2218" t="s">
        <v>3146</v>
      </c>
      <c r="F1337" s="2219" t="s">
        <v>3306</v>
      </c>
      <c r="H1337" s="2220">
        <v>1</v>
      </c>
      <c r="L1337" s="2217"/>
      <c r="M1337" s="2221"/>
      <c r="T1337" s="2222"/>
      <c r="AT1337" s="2218" t="s">
        <v>3303</v>
      </c>
      <c r="AU1337" s="2218" t="s">
        <v>134</v>
      </c>
      <c r="AV1337" s="2216" t="s">
        <v>856</v>
      </c>
      <c r="AW1337" s="2216" t="s">
        <v>3171</v>
      </c>
      <c r="AX1337" s="2216" t="s">
        <v>133</v>
      </c>
      <c r="AY1337" s="2218" t="s">
        <v>3285</v>
      </c>
    </row>
    <row r="1338" spans="2:65" s="2070" customFormat="1" ht="24.2" customHeight="1">
      <c r="B1338" s="2164"/>
      <c r="C1338" s="4614" t="s">
        <v>11387</v>
      </c>
      <c r="D1338" s="4614" t="s">
        <v>135</v>
      </c>
      <c r="E1338" s="4615" t="s">
        <v>5573</v>
      </c>
      <c r="F1338" s="4616" t="s">
        <v>5574</v>
      </c>
      <c r="G1338" s="4617" t="s">
        <v>155</v>
      </c>
      <c r="H1338" s="4618">
        <v>1</v>
      </c>
      <c r="I1338" s="4619"/>
      <c r="J1338" s="4619">
        <f>ROUND(I1338*H1338,2)</f>
        <v>0</v>
      </c>
      <c r="K1338" s="4616" t="s">
        <v>3146</v>
      </c>
      <c r="L1338" s="2223"/>
      <c r="M1338" s="2224" t="s">
        <v>3146</v>
      </c>
      <c r="N1338" s="2225" t="s">
        <v>3181</v>
      </c>
      <c r="O1338" s="2191">
        <v>0</v>
      </c>
      <c r="P1338" s="2191">
        <f>O1338*H1338</f>
        <v>0</v>
      </c>
      <c r="Q1338" s="2191">
        <v>6.6E-3</v>
      </c>
      <c r="R1338" s="2191">
        <f>Q1338*H1338</f>
        <v>6.6E-3</v>
      </c>
      <c r="S1338" s="2191">
        <v>0</v>
      </c>
      <c r="T1338" s="2192">
        <f>S1338*H1338</f>
        <v>0</v>
      </c>
      <c r="AR1338" s="2193" t="s">
        <v>3389</v>
      </c>
      <c r="AT1338" s="2193" t="s">
        <v>135</v>
      </c>
      <c r="AU1338" s="2193" t="s">
        <v>134</v>
      </c>
      <c r="AY1338" s="2056" t="s">
        <v>3285</v>
      </c>
      <c r="BE1338" s="2194">
        <f>IF(N1338="základní",J1338,0)</f>
        <v>0</v>
      </c>
      <c r="BF1338" s="2194">
        <f>IF(N1338="snížená",J1338,0)</f>
        <v>0</v>
      </c>
      <c r="BG1338" s="2194">
        <f>IF(N1338="zákl. přenesená",J1338,0)</f>
        <v>0</v>
      </c>
      <c r="BH1338" s="2194">
        <f>IF(N1338="sníž. přenesená",J1338,0)</f>
        <v>0</v>
      </c>
      <c r="BI1338" s="2194">
        <f>IF(N1338="nulová",J1338,0)</f>
        <v>0</v>
      </c>
      <c r="BJ1338" s="2056" t="s">
        <v>134</v>
      </c>
      <c r="BK1338" s="2194">
        <f>ROUND(I1338*H1338,2)</f>
        <v>0</v>
      </c>
      <c r="BL1338" s="2056" t="s">
        <v>2894</v>
      </c>
      <c r="BM1338" s="2193" t="s">
        <v>5575</v>
      </c>
    </row>
    <row r="1339" spans="2:65" s="2195" customFormat="1">
      <c r="B1339" s="2196"/>
      <c r="D1339" s="2197" t="s">
        <v>3303</v>
      </c>
      <c r="E1339" s="2198" t="s">
        <v>3146</v>
      </c>
      <c r="F1339" s="2199" t="s">
        <v>5572</v>
      </c>
      <c r="H1339" s="2198" t="s">
        <v>3146</v>
      </c>
      <c r="L1339" s="2196"/>
      <c r="M1339" s="2200"/>
      <c r="T1339" s="2201"/>
      <c r="AT1339" s="2198" t="s">
        <v>3303</v>
      </c>
      <c r="AU1339" s="2198" t="s">
        <v>134</v>
      </c>
      <c r="AV1339" s="2195" t="s">
        <v>133</v>
      </c>
      <c r="AW1339" s="2195" t="s">
        <v>3171</v>
      </c>
      <c r="AX1339" s="2195" t="s">
        <v>3213</v>
      </c>
      <c r="AY1339" s="2198" t="s">
        <v>3285</v>
      </c>
    </row>
    <row r="1340" spans="2:65" s="2209" customFormat="1">
      <c r="B1340" s="2210"/>
      <c r="D1340" s="2197" t="s">
        <v>3303</v>
      </c>
      <c r="E1340" s="2211" t="s">
        <v>3146</v>
      </c>
      <c r="F1340" s="2212" t="s">
        <v>133</v>
      </c>
      <c r="H1340" s="2213">
        <v>1</v>
      </c>
      <c r="L1340" s="2210"/>
      <c r="M1340" s="2214"/>
      <c r="T1340" s="2215"/>
      <c r="AT1340" s="2211" t="s">
        <v>3303</v>
      </c>
      <c r="AU1340" s="2211" t="s">
        <v>134</v>
      </c>
      <c r="AV1340" s="2209" t="s">
        <v>134</v>
      </c>
      <c r="AW1340" s="2209" t="s">
        <v>3171</v>
      </c>
      <c r="AX1340" s="2209" t="s">
        <v>133</v>
      </c>
      <c r="AY1340" s="2211" t="s">
        <v>3285</v>
      </c>
    </row>
    <row r="1341" spans="2:65" s="2070" customFormat="1" ht="21.75" customHeight="1">
      <c r="B1341" s="2164"/>
      <c r="C1341" s="4608" t="s">
        <v>11388</v>
      </c>
      <c r="D1341" s="4608" t="s">
        <v>3286</v>
      </c>
      <c r="E1341" s="4609" t="s">
        <v>11389</v>
      </c>
      <c r="F1341" s="4610" t="s">
        <v>11390</v>
      </c>
      <c r="G1341" s="4611" t="s">
        <v>155</v>
      </c>
      <c r="H1341" s="4612">
        <v>1</v>
      </c>
      <c r="I1341" s="4613"/>
      <c r="J1341" s="4613">
        <f>ROUND(I1341*H1341,2)</f>
        <v>0</v>
      </c>
      <c r="K1341" s="4610" t="s">
        <v>142</v>
      </c>
      <c r="L1341" s="2071"/>
      <c r="M1341" s="2190" t="s">
        <v>3146</v>
      </c>
      <c r="N1341" s="2163" t="s">
        <v>3181</v>
      </c>
      <c r="O1341" s="2191">
        <v>3.82</v>
      </c>
      <c r="P1341" s="2191">
        <f>O1341*H1341</f>
        <v>3.82</v>
      </c>
      <c r="Q1341" s="2191">
        <v>3.3E-4</v>
      </c>
      <c r="R1341" s="2191">
        <f>Q1341*H1341</f>
        <v>3.3E-4</v>
      </c>
      <c r="S1341" s="2191">
        <v>0</v>
      </c>
      <c r="T1341" s="2192">
        <f>S1341*H1341</f>
        <v>0</v>
      </c>
      <c r="AR1341" s="2193" t="s">
        <v>2894</v>
      </c>
      <c r="AT1341" s="2193" t="s">
        <v>3286</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f>ROUND(I1341*H1341,2)</f>
        <v>0</v>
      </c>
      <c r="BL1341" s="2056" t="s">
        <v>2894</v>
      </c>
      <c r="BM1341" s="2193" t="s">
        <v>11391</v>
      </c>
    </row>
    <row r="1342" spans="2:65" s="2209" customFormat="1">
      <c r="B1342" s="2210"/>
      <c r="D1342" s="2197" t="s">
        <v>3303</v>
      </c>
      <c r="E1342" s="2211" t="s">
        <v>3146</v>
      </c>
      <c r="F1342" s="2212" t="s">
        <v>11392</v>
      </c>
      <c r="H1342" s="2213">
        <v>1</v>
      </c>
      <c r="L1342" s="2210"/>
      <c r="M1342" s="2214"/>
      <c r="T1342" s="2215"/>
      <c r="AT1342" s="2211" t="s">
        <v>3303</v>
      </c>
      <c r="AU1342" s="2211" t="s">
        <v>134</v>
      </c>
      <c r="AV1342" s="2209" t="s">
        <v>134</v>
      </c>
      <c r="AW1342" s="2209" t="s">
        <v>3171</v>
      </c>
      <c r="AX1342" s="2209" t="s">
        <v>133</v>
      </c>
      <c r="AY1342" s="2211" t="s">
        <v>3285</v>
      </c>
    </row>
    <row r="1343" spans="2:65" s="2070" customFormat="1" ht="33" customHeight="1">
      <c r="B1343" s="2164"/>
      <c r="C1343" s="4614" t="s">
        <v>11393</v>
      </c>
      <c r="D1343" s="4614" t="s">
        <v>135</v>
      </c>
      <c r="E1343" s="4615" t="s">
        <v>11394</v>
      </c>
      <c r="F1343" s="4616" t="s">
        <v>11395</v>
      </c>
      <c r="G1343" s="4617" t="s">
        <v>155</v>
      </c>
      <c r="H1343" s="4618">
        <v>1</v>
      </c>
      <c r="I1343" s="4619"/>
      <c r="J1343" s="4619">
        <f>ROUND(I1343*H1343,2)</f>
        <v>0</v>
      </c>
      <c r="K1343" s="4616" t="s">
        <v>142</v>
      </c>
      <c r="L1343" s="2223"/>
      <c r="M1343" s="2224" t="s">
        <v>3146</v>
      </c>
      <c r="N1343" s="2225" t="s">
        <v>3181</v>
      </c>
      <c r="O1343" s="2191">
        <v>0</v>
      </c>
      <c r="P1343" s="2191">
        <f>O1343*H1343</f>
        <v>0</v>
      </c>
      <c r="Q1343" s="2191">
        <v>9.8000000000000004E-2</v>
      </c>
      <c r="R1343" s="2191">
        <f>Q1343*H1343</f>
        <v>9.8000000000000004E-2</v>
      </c>
      <c r="S1343" s="2191">
        <v>0</v>
      </c>
      <c r="T1343" s="2192">
        <f>S1343*H1343</f>
        <v>0</v>
      </c>
      <c r="AR1343" s="2193" t="s">
        <v>3389</v>
      </c>
      <c r="AT1343" s="2193" t="s">
        <v>135</v>
      </c>
      <c r="AU1343" s="2193" t="s">
        <v>134</v>
      </c>
      <c r="AY1343" s="2056" t="s">
        <v>3285</v>
      </c>
      <c r="BE1343" s="2194">
        <f>IF(N1343="základní",J1343,0)</f>
        <v>0</v>
      </c>
      <c r="BF1343" s="2194">
        <f>IF(N1343="snížená",J1343,0)</f>
        <v>0</v>
      </c>
      <c r="BG1343" s="2194">
        <f>IF(N1343="zákl. přenesená",J1343,0)</f>
        <v>0</v>
      </c>
      <c r="BH1343" s="2194">
        <f>IF(N1343="sníž. přenesená",J1343,0)</f>
        <v>0</v>
      </c>
      <c r="BI1343" s="2194">
        <f>IF(N1343="nulová",J1343,0)</f>
        <v>0</v>
      </c>
      <c r="BJ1343" s="2056" t="s">
        <v>134</v>
      </c>
      <c r="BK1343" s="2194">
        <f>ROUND(I1343*H1343,2)</f>
        <v>0</v>
      </c>
      <c r="BL1343" s="2056" t="s">
        <v>2894</v>
      </c>
      <c r="BM1343" s="2193" t="s">
        <v>11396</v>
      </c>
    </row>
    <row r="1344" spans="2:65" s="2209" customFormat="1">
      <c r="B1344" s="2210"/>
      <c r="D1344" s="2197" t="s">
        <v>3303</v>
      </c>
      <c r="E1344" s="2211" t="s">
        <v>3146</v>
      </c>
      <c r="F1344" s="2212" t="s">
        <v>11392</v>
      </c>
      <c r="H1344" s="2213">
        <v>1</v>
      </c>
      <c r="L1344" s="2210"/>
      <c r="M1344" s="2214"/>
      <c r="T1344" s="2215"/>
      <c r="AT1344" s="2211" t="s">
        <v>3303</v>
      </c>
      <c r="AU1344" s="2211" t="s">
        <v>134</v>
      </c>
      <c r="AV1344" s="2209" t="s">
        <v>134</v>
      </c>
      <c r="AW1344" s="2209" t="s">
        <v>3171</v>
      </c>
      <c r="AX1344" s="2209" t="s">
        <v>3213</v>
      </c>
      <c r="AY1344" s="2211" t="s">
        <v>3285</v>
      </c>
    </row>
    <row r="1345" spans="2:65" s="2216" customFormat="1">
      <c r="B1345" s="2217"/>
      <c r="D1345" s="2197" t="s">
        <v>3303</v>
      </c>
      <c r="E1345" s="2218" t="s">
        <v>3146</v>
      </c>
      <c r="F1345" s="2219" t="s">
        <v>3306</v>
      </c>
      <c r="H1345" s="2220">
        <v>1</v>
      </c>
      <c r="L1345" s="2217"/>
      <c r="M1345" s="2221"/>
      <c r="T1345" s="2222"/>
      <c r="AT1345" s="2218" t="s">
        <v>3303</v>
      </c>
      <c r="AU1345" s="2218" t="s">
        <v>134</v>
      </c>
      <c r="AV1345" s="2216" t="s">
        <v>856</v>
      </c>
      <c r="AW1345" s="2216" t="s">
        <v>3171</v>
      </c>
      <c r="AX1345" s="2216" t="s">
        <v>133</v>
      </c>
      <c r="AY1345" s="2218" t="s">
        <v>3285</v>
      </c>
    </row>
    <row r="1346" spans="2:65" s="2070" customFormat="1" ht="24.2" customHeight="1">
      <c r="B1346" s="2164"/>
      <c r="C1346" s="4608" t="s">
        <v>11397</v>
      </c>
      <c r="D1346" s="4608" t="s">
        <v>3286</v>
      </c>
      <c r="E1346" s="4609" t="s">
        <v>11398</v>
      </c>
      <c r="F1346" s="4610" t="s">
        <v>11399</v>
      </c>
      <c r="G1346" s="4611" t="s">
        <v>155</v>
      </c>
      <c r="H1346" s="4612">
        <v>1</v>
      </c>
      <c r="I1346" s="4613"/>
      <c r="J1346" s="4613">
        <f>ROUND(I1346*H1346,2)</f>
        <v>0</v>
      </c>
      <c r="K1346" s="4610" t="s">
        <v>142</v>
      </c>
      <c r="L1346" s="2071"/>
      <c r="M1346" s="2190" t="s">
        <v>3146</v>
      </c>
      <c r="N1346" s="2163" t="s">
        <v>3181</v>
      </c>
      <c r="O1346" s="2191">
        <v>4.74</v>
      </c>
      <c r="P1346" s="2191">
        <f>O1346*H1346</f>
        <v>4.74</v>
      </c>
      <c r="Q1346" s="2191">
        <v>5.5999999999999995E-4</v>
      </c>
      <c r="R1346" s="2191">
        <f>Q1346*H1346</f>
        <v>5.5999999999999995E-4</v>
      </c>
      <c r="S1346" s="2191">
        <v>0</v>
      </c>
      <c r="T1346" s="2192">
        <f>S1346*H1346</f>
        <v>0</v>
      </c>
      <c r="AR1346" s="2193" t="s">
        <v>2894</v>
      </c>
      <c r="AT1346" s="2193" t="s">
        <v>3286</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11400</v>
      </c>
    </row>
    <row r="1347" spans="2:65" s="2195" customFormat="1">
      <c r="B1347" s="2196"/>
      <c r="D1347" s="2197" t="s">
        <v>3303</v>
      </c>
      <c r="E1347" s="2198" t="s">
        <v>3146</v>
      </c>
      <c r="F1347" s="2199" t="s">
        <v>11401</v>
      </c>
      <c r="H1347" s="2198" t="s">
        <v>3146</v>
      </c>
      <c r="L1347" s="2196"/>
      <c r="M1347" s="2200"/>
      <c r="T1347" s="2201"/>
      <c r="AT1347" s="2198" t="s">
        <v>3303</v>
      </c>
      <c r="AU1347" s="2198" t="s">
        <v>134</v>
      </c>
      <c r="AV1347" s="2195" t="s">
        <v>133</v>
      </c>
      <c r="AW1347" s="2195" t="s">
        <v>3171</v>
      </c>
      <c r="AX1347" s="2195" t="s">
        <v>3213</v>
      </c>
      <c r="AY1347" s="2198" t="s">
        <v>3285</v>
      </c>
    </row>
    <row r="1348" spans="2:65" s="2209" customFormat="1">
      <c r="B1348" s="2210"/>
      <c r="D1348" s="2197" t="s">
        <v>3303</v>
      </c>
      <c r="E1348" s="2211" t="s">
        <v>3146</v>
      </c>
      <c r="F1348" s="2212" t="s">
        <v>133</v>
      </c>
      <c r="H1348" s="2213">
        <v>1</v>
      </c>
      <c r="L1348" s="2210"/>
      <c r="M1348" s="2214"/>
      <c r="T1348" s="2215"/>
      <c r="AT1348" s="2211" t="s">
        <v>3303</v>
      </c>
      <c r="AU1348" s="2211" t="s">
        <v>134</v>
      </c>
      <c r="AV1348" s="2209" t="s">
        <v>134</v>
      </c>
      <c r="AW1348" s="2209" t="s">
        <v>3171</v>
      </c>
      <c r="AX1348" s="2209" t="s">
        <v>3213</v>
      </c>
      <c r="AY1348" s="2211" t="s">
        <v>3285</v>
      </c>
    </row>
    <row r="1349" spans="2:65" s="2216" customFormat="1">
      <c r="B1349" s="2217"/>
      <c r="D1349" s="2197" t="s">
        <v>3303</v>
      </c>
      <c r="E1349" s="2218" t="s">
        <v>3146</v>
      </c>
      <c r="F1349" s="2219" t="s">
        <v>3306</v>
      </c>
      <c r="H1349" s="2220">
        <v>1</v>
      </c>
      <c r="L1349" s="2217"/>
      <c r="M1349" s="2221"/>
      <c r="T1349" s="2222"/>
      <c r="AT1349" s="2218" t="s">
        <v>3303</v>
      </c>
      <c r="AU1349" s="2218" t="s">
        <v>134</v>
      </c>
      <c r="AV1349" s="2216" t="s">
        <v>856</v>
      </c>
      <c r="AW1349" s="2216" t="s">
        <v>3171</v>
      </c>
      <c r="AX1349" s="2216" t="s">
        <v>133</v>
      </c>
      <c r="AY1349" s="2218" t="s">
        <v>3285</v>
      </c>
    </row>
    <row r="1350" spans="2:65" s="2070" customFormat="1" ht="33" customHeight="1">
      <c r="B1350" s="2164"/>
      <c r="C1350" s="4614" t="s">
        <v>11402</v>
      </c>
      <c r="D1350" s="4614" t="s">
        <v>135</v>
      </c>
      <c r="E1350" s="4615" t="s">
        <v>11403</v>
      </c>
      <c r="F1350" s="4616" t="s">
        <v>11404</v>
      </c>
      <c r="G1350" s="4617" t="s">
        <v>155</v>
      </c>
      <c r="H1350" s="4618">
        <v>1</v>
      </c>
      <c r="I1350" s="4619"/>
      <c r="J1350" s="4619">
        <f>ROUND(I1350*H1350,2)</f>
        <v>0</v>
      </c>
      <c r="K1350" s="4616" t="s">
        <v>142</v>
      </c>
      <c r="L1350" s="2223"/>
      <c r="M1350" s="2224" t="s">
        <v>3146</v>
      </c>
      <c r="N1350" s="2225" t="s">
        <v>3181</v>
      </c>
      <c r="O1350" s="2191">
        <v>0</v>
      </c>
      <c r="P1350" s="2191">
        <f>O1350*H1350</f>
        <v>0</v>
      </c>
      <c r="Q1350" s="2191">
        <v>0.153</v>
      </c>
      <c r="R1350" s="2191">
        <f>Q1350*H1350</f>
        <v>0.153</v>
      </c>
      <c r="S1350" s="2191">
        <v>0</v>
      </c>
      <c r="T1350" s="2192">
        <f>S1350*H1350</f>
        <v>0</v>
      </c>
      <c r="AR1350" s="2193" t="s">
        <v>3389</v>
      </c>
      <c r="AT1350" s="2193" t="s">
        <v>135</v>
      </c>
      <c r="AU1350" s="2193" t="s">
        <v>134</v>
      </c>
      <c r="AY1350" s="2056" t="s">
        <v>3285</v>
      </c>
      <c r="BE1350" s="2194">
        <f>IF(N1350="základní",J1350,0)</f>
        <v>0</v>
      </c>
      <c r="BF1350" s="2194">
        <f>IF(N1350="snížená",J1350,0)</f>
        <v>0</v>
      </c>
      <c r="BG1350" s="2194">
        <f>IF(N1350="zákl. přenesená",J1350,0)</f>
        <v>0</v>
      </c>
      <c r="BH1350" s="2194">
        <f>IF(N1350="sníž. přenesená",J1350,0)</f>
        <v>0</v>
      </c>
      <c r="BI1350" s="2194">
        <f>IF(N1350="nulová",J1350,0)</f>
        <v>0</v>
      </c>
      <c r="BJ1350" s="2056" t="s">
        <v>134</v>
      </c>
      <c r="BK1350" s="2194">
        <f>ROUND(I1350*H1350,2)</f>
        <v>0</v>
      </c>
      <c r="BL1350" s="2056" t="s">
        <v>2894</v>
      </c>
      <c r="BM1350" s="2193" t="s">
        <v>11405</v>
      </c>
    </row>
    <row r="1351" spans="2:65" s="2070" customFormat="1" ht="24.2" customHeight="1">
      <c r="B1351" s="2164"/>
      <c r="C1351" s="4608" t="s">
        <v>11406</v>
      </c>
      <c r="D1351" s="4608" t="s">
        <v>3286</v>
      </c>
      <c r="E1351" s="4609" t="s">
        <v>5576</v>
      </c>
      <c r="F1351" s="4610" t="s">
        <v>5577</v>
      </c>
      <c r="G1351" s="4611" t="s">
        <v>155</v>
      </c>
      <c r="H1351" s="4612">
        <v>2</v>
      </c>
      <c r="I1351" s="4613"/>
      <c r="J1351" s="4613">
        <f>ROUND(I1351*H1351,2)</f>
        <v>0</v>
      </c>
      <c r="K1351" s="4610" t="s">
        <v>142</v>
      </c>
      <c r="L1351" s="2071"/>
      <c r="M1351" s="2190" t="s">
        <v>3146</v>
      </c>
      <c r="N1351" s="2163" t="s">
        <v>3181</v>
      </c>
      <c r="O1351" s="2191">
        <v>5.25</v>
      </c>
      <c r="P1351" s="2191">
        <f>O1351*H1351</f>
        <v>10.5</v>
      </c>
      <c r="Q1351" s="2191">
        <v>6.0999999999999997E-4</v>
      </c>
      <c r="R1351" s="2191">
        <f>Q1351*H1351</f>
        <v>1.2199999999999999E-3</v>
      </c>
      <c r="S1351" s="2191">
        <v>0</v>
      </c>
      <c r="T1351" s="2192">
        <f>S1351*H1351</f>
        <v>0</v>
      </c>
      <c r="AR1351" s="2193" t="s">
        <v>2894</v>
      </c>
      <c r="AT1351" s="2193" t="s">
        <v>3286</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f>ROUND(I1351*H1351,2)</f>
        <v>0</v>
      </c>
      <c r="BL1351" s="2056" t="s">
        <v>2894</v>
      </c>
      <c r="BM1351" s="2193" t="s">
        <v>5578</v>
      </c>
    </row>
    <row r="1352" spans="2:65" s="2195" customFormat="1">
      <c r="B1352" s="2196"/>
      <c r="D1352" s="2197" t="s">
        <v>3303</v>
      </c>
      <c r="E1352" s="2198" t="s">
        <v>3146</v>
      </c>
      <c r="F1352" s="2199" t="s">
        <v>5579</v>
      </c>
      <c r="H1352" s="2198" t="s">
        <v>3146</v>
      </c>
      <c r="L1352" s="2196"/>
      <c r="M1352" s="2200"/>
      <c r="T1352" s="2201"/>
      <c r="AT1352" s="2198" t="s">
        <v>3303</v>
      </c>
      <c r="AU1352" s="2198" t="s">
        <v>134</v>
      </c>
      <c r="AV1352" s="2195" t="s">
        <v>133</v>
      </c>
      <c r="AW1352" s="2195" t="s">
        <v>3171</v>
      </c>
      <c r="AX1352" s="2195" t="s">
        <v>3213</v>
      </c>
      <c r="AY1352" s="2198" t="s">
        <v>3285</v>
      </c>
    </row>
    <row r="1353" spans="2:65" s="2209" customFormat="1">
      <c r="B1353" s="2210"/>
      <c r="D1353" s="2197" t="s">
        <v>3303</v>
      </c>
      <c r="E1353" s="2211" t="s">
        <v>3146</v>
      </c>
      <c r="F1353" s="2212" t="s">
        <v>133</v>
      </c>
      <c r="H1353" s="2213">
        <v>1</v>
      </c>
      <c r="L1353" s="2210"/>
      <c r="M1353" s="2214"/>
      <c r="T1353" s="2215"/>
      <c r="AT1353" s="2211" t="s">
        <v>3303</v>
      </c>
      <c r="AU1353" s="2211" t="s">
        <v>134</v>
      </c>
      <c r="AV1353" s="2209" t="s">
        <v>134</v>
      </c>
      <c r="AW1353" s="2209" t="s">
        <v>3171</v>
      </c>
      <c r="AX1353" s="2209" t="s">
        <v>3213</v>
      </c>
      <c r="AY1353" s="2211" t="s">
        <v>3285</v>
      </c>
    </row>
    <row r="1354" spans="2:65" s="2195" customFormat="1">
      <c r="B1354" s="2196"/>
      <c r="D1354" s="2197" t="s">
        <v>3303</v>
      </c>
      <c r="E1354" s="2198" t="s">
        <v>3146</v>
      </c>
      <c r="F1354" s="2199" t="s">
        <v>5580</v>
      </c>
      <c r="H1354" s="2198" t="s">
        <v>3146</v>
      </c>
      <c r="L1354" s="2196"/>
      <c r="M1354" s="2200"/>
      <c r="T1354" s="2201"/>
      <c r="AT1354" s="2198" t="s">
        <v>3303</v>
      </c>
      <c r="AU1354" s="2198" t="s">
        <v>134</v>
      </c>
      <c r="AV1354" s="2195" t="s">
        <v>133</v>
      </c>
      <c r="AW1354" s="2195" t="s">
        <v>3171</v>
      </c>
      <c r="AX1354" s="2195" t="s">
        <v>3213</v>
      </c>
      <c r="AY1354" s="2198" t="s">
        <v>3285</v>
      </c>
    </row>
    <row r="1355" spans="2:65" s="2209" customFormat="1">
      <c r="B1355" s="2210"/>
      <c r="D1355" s="2197" t="s">
        <v>3303</v>
      </c>
      <c r="E1355" s="2211" t="s">
        <v>3146</v>
      </c>
      <c r="F1355" s="2212" t="s">
        <v>133</v>
      </c>
      <c r="H1355" s="2213">
        <v>1</v>
      </c>
      <c r="L1355" s="2210"/>
      <c r="M1355" s="2214"/>
      <c r="T1355" s="2215"/>
      <c r="AT1355" s="2211" t="s">
        <v>3303</v>
      </c>
      <c r="AU1355" s="2211" t="s">
        <v>134</v>
      </c>
      <c r="AV1355" s="2209" t="s">
        <v>134</v>
      </c>
      <c r="AW1355" s="2209" t="s">
        <v>3171</v>
      </c>
      <c r="AX1355" s="2209" t="s">
        <v>3213</v>
      </c>
      <c r="AY1355" s="2211" t="s">
        <v>3285</v>
      </c>
    </row>
    <row r="1356" spans="2:65" s="2216" customFormat="1">
      <c r="B1356" s="2217"/>
      <c r="D1356" s="2197" t="s">
        <v>3303</v>
      </c>
      <c r="E1356" s="2218" t="s">
        <v>3146</v>
      </c>
      <c r="F1356" s="2219" t="s">
        <v>3306</v>
      </c>
      <c r="H1356" s="2220">
        <v>2</v>
      </c>
      <c r="L1356" s="2217"/>
      <c r="M1356" s="2221"/>
      <c r="T1356" s="2222"/>
      <c r="AT1356" s="2218" t="s">
        <v>3303</v>
      </c>
      <c r="AU1356" s="2218" t="s">
        <v>134</v>
      </c>
      <c r="AV1356" s="2216" t="s">
        <v>856</v>
      </c>
      <c r="AW1356" s="2216" t="s">
        <v>3171</v>
      </c>
      <c r="AX1356" s="2216" t="s">
        <v>133</v>
      </c>
      <c r="AY1356" s="2218" t="s">
        <v>3285</v>
      </c>
    </row>
    <row r="1357" spans="2:65" s="2070" customFormat="1" ht="24.2" customHeight="1">
      <c r="B1357" s="2164"/>
      <c r="C1357" s="4614" t="s">
        <v>11407</v>
      </c>
      <c r="D1357" s="4614" t="s">
        <v>135</v>
      </c>
      <c r="E1357" s="4615" t="s">
        <v>5581</v>
      </c>
      <c r="F1357" s="4616" t="s">
        <v>5582</v>
      </c>
      <c r="G1357" s="4617" t="s">
        <v>155</v>
      </c>
      <c r="H1357" s="4618">
        <v>2</v>
      </c>
      <c r="I1357" s="4619"/>
      <c r="J1357" s="4619">
        <f>ROUND(I1357*H1357,2)</f>
        <v>0</v>
      </c>
      <c r="K1357" s="4616" t="s">
        <v>3146</v>
      </c>
      <c r="L1357" s="2223"/>
      <c r="M1357" s="2224" t="s">
        <v>3146</v>
      </c>
      <c r="N1357" s="2225" t="s">
        <v>3181</v>
      </c>
      <c r="O1357" s="2191">
        <v>0</v>
      </c>
      <c r="P1357" s="2191">
        <f>O1357*H1357</f>
        <v>0</v>
      </c>
      <c r="Q1357" s="2191">
        <v>0.12864999999999999</v>
      </c>
      <c r="R1357" s="2191">
        <f>Q1357*H1357</f>
        <v>0.25729999999999997</v>
      </c>
      <c r="S1357" s="2191">
        <v>0</v>
      </c>
      <c r="T1357" s="2192">
        <f>S1357*H1357</f>
        <v>0</v>
      </c>
      <c r="AR1357" s="2193" t="s">
        <v>3389</v>
      </c>
      <c r="AT1357" s="2193" t="s">
        <v>135</v>
      </c>
      <c r="AU1357" s="2193" t="s">
        <v>134</v>
      </c>
      <c r="AY1357" s="2056" t="s">
        <v>3285</v>
      </c>
      <c r="BE1357" s="2194">
        <f>IF(N1357="základní",J1357,0)</f>
        <v>0</v>
      </c>
      <c r="BF1357" s="2194">
        <f>IF(N1357="snížená",J1357,0)</f>
        <v>0</v>
      </c>
      <c r="BG1357" s="2194">
        <f>IF(N1357="zákl. přenesená",J1357,0)</f>
        <v>0</v>
      </c>
      <c r="BH1357" s="2194">
        <f>IF(N1357="sníž. přenesená",J1357,0)</f>
        <v>0</v>
      </c>
      <c r="BI1357" s="2194">
        <f>IF(N1357="nulová",J1357,0)</f>
        <v>0</v>
      </c>
      <c r="BJ1357" s="2056" t="s">
        <v>134</v>
      </c>
      <c r="BK1357" s="2194">
        <f>ROUND(I1357*H1357,2)</f>
        <v>0</v>
      </c>
      <c r="BL1357" s="2056" t="s">
        <v>2894</v>
      </c>
      <c r="BM1357" s="2193" t="s">
        <v>5583</v>
      </c>
    </row>
    <row r="1358" spans="2:65" s="2195" customFormat="1">
      <c r="B1358" s="2196"/>
      <c r="D1358" s="2197" t="s">
        <v>3303</v>
      </c>
      <c r="E1358" s="2198" t="s">
        <v>3146</v>
      </c>
      <c r="F1358" s="2199" t="s">
        <v>5579</v>
      </c>
      <c r="H1358" s="2198" t="s">
        <v>3146</v>
      </c>
      <c r="L1358" s="2196"/>
      <c r="M1358" s="2200"/>
      <c r="T1358" s="2201"/>
      <c r="AT1358" s="2198" t="s">
        <v>3303</v>
      </c>
      <c r="AU1358" s="2198" t="s">
        <v>134</v>
      </c>
      <c r="AV1358" s="2195" t="s">
        <v>133</v>
      </c>
      <c r="AW1358" s="2195" t="s">
        <v>3171</v>
      </c>
      <c r="AX1358" s="2195" t="s">
        <v>3213</v>
      </c>
      <c r="AY1358" s="2198" t="s">
        <v>3285</v>
      </c>
    </row>
    <row r="1359" spans="2:65" s="2209" customFormat="1">
      <c r="B1359" s="2210"/>
      <c r="D1359" s="2197" t="s">
        <v>3303</v>
      </c>
      <c r="E1359" s="2211" t="s">
        <v>3146</v>
      </c>
      <c r="F1359" s="2212" t="s">
        <v>133</v>
      </c>
      <c r="H1359" s="2213">
        <v>1</v>
      </c>
      <c r="L1359" s="2210"/>
      <c r="M1359" s="2214"/>
      <c r="T1359" s="2215"/>
      <c r="AT1359" s="2211" t="s">
        <v>3303</v>
      </c>
      <c r="AU1359" s="2211" t="s">
        <v>134</v>
      </c>
      <c r="AV1359" s="2209" t="s">
        <v>134</v>
      </c>
      <c r="AW1359" s="2209" t="s">
        <v>3171</v>
      </c>
      <c r="AX1359" s="2209" t="s">
        <v>3213</v>
      </c>
      <c r="AY1359" s="2211" t="s">
        <v>3285</v>
      </c>
    </row>
    <row r="1360" spans="2:65" s="2195" customFormat="1">
      <c r="B1360" s="2196"/>
      <c r="D1360" s="2197" t="s">
        <v>3303</v>
      </c>
      <c r="E1360" s="2198" t="s">
        <v>3146</v>
      </c>
      <c r="F1360" s="2199" t="s">
        <v>5580</v>
      </c>
      <c r="H1360" s="2198" t="s">
        <v>3146</v>
      </c>
      <c r="L1360" s="2196"/>
      <c r="M1360" s="2200"/>
      <c r="T1360" s="2201"/>
      <c r="AT1360" s="2198" t="s">
        <v>3303</v>
      </c>
      <c r="AU1360" s="2198" t="s">
        <v>134</v>
      </c>
      <c r="AV1360" s="2195" t="s">
        <v>133</v>
      </c>
      <c r="AW1360" s="2195" t="s">
        <v>3171</v>
      </c>
      <c r="AX1360" s="2195" t="s">
        <v>3213</v>
      </c>
      <c r="AY1360" s="2198" t="s">
        <v>3285</v>
      </c>
    </row>
    <row r="1361" spans="2:65" s="2209" customFormat="1">
      <c r="B1361" s="2210"/>
      <c r="D1361" s="2197" t="s">
        <v>3303</v>
      </c>
      <c r="E1361" s="2211" t="s">
        <v>3146</v>
      </c>
      <c r="F1361" s="2212" t="s">
        <v>133</v>
      </c>
      <c r="H1361" s="2213">
        <v>1</v>
      </c>
      <c r="L1361" s="2210"/>
      <c r="M1361" s="2214"/>
      <c r="T1361" s="2215"/>
      <c r="AT1361" s="2211" t="s">
        <v>3303</v>
      </c>
      <c r="AU1361" s="2211" t="s">
        <v>134</v>
      </c>
      <c r="AV1361" s="2209" t="s">
        <v>134</v>
      </c>
      <c r="AW1361" s="2209" t="s">
        <v>3171</v>
      </c>
      <c r="AX1361" s="2209" t="s">
        <v>3213</v>
      </c>
      <c r="AY1361" s="2211" t="s">
        <v>3285</v>
      </c>
    </row>
    <row r="1362" spans="2:65" s="2216" customFormat="1">
      <c r="B1362" s="2217"/>
      <c r="D1362" s="2197" t="s">
        <v>3303</v>
      </c>
      <c r="E1362" s="2218" t="s">
        <v>3146</v>
      </c>
      <c r="F1362" s="2219" t="s">
        <v>3306</v>
      </c>
      <c r="H1362" s="2220">
        <v>2</v>
      </c>
      <c r="L1362" s="2217"/>
      <c r="M1362" s="2221"/>
      <c r="T1362" s="2222"/>
      <c r="AT1362" s="2218" t="s">
        <v>3303</v>
      </c>
      <c r="AU1362" s="2218" t="s">
        <v>134</v>
      </c>
      <c r="AV1362" s="2216" t="s">
        <v>856</v>
      </c>
      <c r="AW1362" s="2216" t="s">
        <v>3171</v>
      </c>
      <c r="AX1362" s="2216" t="s">
        <v>133</v>
      </c>
      <c r="AY1362" s="2218" t="s">
        <v>3285</v>
      </c>
    </row>
    <row r="1363" spans="2:65" s="2070" customFormat="1" ht="16.5" customHeight="1">
      <c r="B1363" s="2164"/>
      <c r="C1363" s="4608" t="s">
        <v>11408</v>
      </c>
      <c r="D1363" s="4608" t="s">
        <v>3286</v>
      </c>
      <c r="E1363" s="4609" t="s">
        <v>5584</v>
      </c>
      <c r="F1363" s="4610" t="s">
        <v>5585</v>
      </c>
      <c r="G1363" s="4611" t="s">
        <v>155</v>
      </c>
      <c r="H1363" s="4612">
        <v>91</v>
      </c>
      <c r="I1363" s="4613"/>
      <c r="J1363" s="4613">
        <f>ROUND(I1363*H1363,2)</f>
        <v>0</v>
      </c>
      <c r="K1363" s="4610" t="s">
        <v>142</v>
      </c>
      <c r="L1363" s="2071"/>
      <c r="M1363" s="2190" t="s">
        <v>3146</v>
      </c>
      <c r="N1363" s="2163" t="s">
        <v>3181</v>
      </c>
      <c r="O1363" s="2191">
        <v>0.45</v>
      </c>
      <c r="P1363" s="2191">
        <f>O1363*H1363</f>
        <v>40.950000000000003</v>
      </c>
      <c r="Q1363" s="2191">
        <v>0</v>
      </c>
      <c r="R1363" s="2191">
        <f>Q1363*H1363</f>
        <v>0</v>
      </c>
      <c r="S1363" s="2191">
        <v>0</v>
      </c>
      <c r="T1363" s="2192">
        <f>S1363*H1363</f>
        <v>0</v>
      </c>
      <c r="AR1363" s="2193" t="s">
        <v>2894</v>
      </c>
      <c r="AT1363" s="2193" t="s">
        <v>3286</v>
      </c>
      <c r="AU1363" s="2193" t="s">
        <v>134</v>
      </c>
      <c r="AY1363" s="2056" t="s">
        <v>3285</v>
      </c>
      <c r="BE1363" s="2194">
        <f>IF(N1363="základní",J1363,0)</f>
        <v>0</v>
      </c>
      <c r="BF1363" s="2194">
        <f>IF(N1363="snížená",J1363,0)</f>
        <v>0</v>
      </c>
      <c r="BG1363" s="2194">
        <f>IF(N1363="zákl. přenesená",J1363,0)</f>
        <v>0</v>
      </c>
      <c r="BH1363" s="2194">
        <f>IF(N1363="sníž. přenesená",J1363,0)</f>
        <v>0</v>
      </c>
      <c r="BI1363" s="2194">
        <f>IF(N1363="nulová",J1363,0)</f>
        <v>0</v>
      </c>
      <c r="BJ1363" s="2056" t="s">
        <v>134</v>
      </c>
      <c r="BK1363" s="2194">
        <f>ROUND(I1363*H1363,2)</f>
        <v>0</v>
      </c>
      <c r="BL1363" s="2056" t="s">
        <v>2894</v>
      </c>
      <c r="BM1363" s="2193" t="s">
        <v>5586</v>
      </c>
    </row>
    <row r="1364" spans="2:65" s="2195" customFormat="1">
      <c r="B1364" s="2196"/>
      <c r="D1364" s="2197" t="s">
        <v>3303</v>
      </c>
      <c r="E1364" s="2198" t="s">
        <v>3146</v>
      </c>
      <c r="F1364" s="2199" t="s">
        <v>5168</v>
      </c>
      <c r="H1364" s="2198" t="s">
        <v>3146</v>
      </c>
      <c r="L1364" s="2196"/>
      <c r="M1364" s="2200"/>
      <c r="T1364" s="2201"/>
      <c r="AT1364" s="2198" t="s">
        <v>3303</v>
      </c>
      <c r="AU1364" s="2198" t="s">
        <v>134</v>
      </c>
      <c r="AV1364" s="2195" t="s">
        <v>133</v>
      </c>
      <c r="AW1364" s="2195" t="s">
        <v>3171</v>
      </c>
      <c r="AX1364" s="2195" t="s">
        <v>3213</v>
      </c>
      <c r="AY1364" s="2198" t="s">
        <v>3285</v>
      </c>
    </row>
    <row r="1365" spans="2:65" s="2209" customFormat="1">
      <c r="B1365" s="2210"/>
      <c r="D1365" s="2197" t="s">
        <v>3303</v>
      </c>
      <c r="E1365" s="2211" t="s">
        <v>3146</v>
      </c>
      <c r="F1365" s="2212" t="s">
        <v>5587</v>
      </c>
      <c r="H1365" s="2213">
        <v>12</v>
      </c>
      <c r="L1365" s="2210"/>
      <c r="M1365" s="2214"/>
      <c r="T1365" s="2215"/>
      <c r="AT1365" s="2211" t="s">
        <v>3303</v>
      </c>
      <c r="AU1365" s="2211" t="s">
        <v>134</v>
      </c>
      <c r="AV1365" s="2209" t="s">
        <v>134</v>
      </c>
      <c r="AW1365" s="2209" t="s">
        <v>3171</v>
      </c>
      <c r="AX1365" s="2209" t="s">
        <v>3213</v>
      </c>
      <c r="AY1365" s="2211" t="s">
        <v>3285</v>
      </c>
    </row>
    <row r="1366" spans="2:65" s="2195" customFormat="1">
      <c r="B1366" s="2196"/>
      <c r="D1366" s="2197" t="s">
        <v>3303</v>
      </c>
      <c r="E1366" s="2198" t="s">
        <v>3146</v>
      </c>
      <c r="F1366" s="2199" t="s">
        <v>5588</v>
      </c>
      <c r="H1366" s="2198" t="s">
        <v>3146</v>
      </c>
      <c r="L1366" s="2196"/>
      <c r="M1366" s="2200"/>
      <c r="T1366" s="2201"/>
      <c r="AT1366" s="2198" t="s">
        <v>3303</v>
      </c>
      <c r="AU1366" s="2198" t="s">
        <v>134</v>
      </c>
      <c r="AV1366" s="2195" t="s">
        <v>133</v>
      </c>
      <c r="AW1366" s="2195" t="s">
        <v>3171</v>
      </c>
      <c r="AX1366" s="2195" t="s">
        <v>3213</v>
      </c>
      <c r="AY1366" s="2198" t="s">
        <v>3285</v>
      </c>
    </row>
    <row r="1367" spans="2:65" s="2209" customFormat="1">
      <c r="B1367" s="2210"/>
      <c r="D1367" s="2197" t="s">
        <v>3303</v>
      </c>
      <c r="E1367" s="2211" t="s">
        <v>3146</v>
      </c>
      <c r="F1367" s="2212" t="s">
        <v>4752</v>
      </c>
      <c r="H1367" s="2213">
        <v>4</v>
      </c>
      <c r="L1367" s="2210"/>
      <c r="M1367" s="2214"/>
      <c r="T1367" s="2215"/>
      <c r="AT1367" s="2211" t="s">
        <v>3303</v>
      </c>
      <c r="AU1367" s="2211" t="s">
        <v>134</v>
      </c>
      <c r="AV1367" s="2209" t="s">
        <v>134</v>
      </c>
      <c r="AW1367" s="2209" t="s">
        <v>3171</v>
      </c>
      <c r="AX1367" s="2209" t="s">
        <v>3213</v>
      </c>
      <c r="AY1367" s="2211" t="s">
        <v>3285</v>
      </c>
    </row>
    <row r="1368" spans="2:65" s="2195" customFormat="1">
      <c r="B1368" s="2196"/>
      <c r="D1368" s="2197" t="s">
        <v>3303</v>
      </c>
      <c r="E1368" s="2198" t="s">
        <v>3146</v>
      </c>
      <c r="F1368" s="2199" t="s">
        <v>11409</v>
      </c>
      <c r="H1368" s="2198" t="s">
        <v>3146</v>
      </c>
      <c r="L1368" s="2196"/>
      <c r="M1368" s="2200"/>
      <c r="T1368" s="2201"/>
      <c r="AT1368" s="2198" t="s">
        <v>3303</v>
      </c>
      <c r="AU1368" s="2198" t="s">
        <v>134</v>
      </c>
      <c r="AV1368" s="2195" t="s">
        <v>133</v>
      </c>
      <c r="AW1368" s="2195" t="s">
        <v>3171</v>
      </c>
      <c r="AX1368" s="2195" t="s">
        <v>3213</v>
      </c>
      <c r="AY1368" s="2198" t="s">
        <v>3285</v>
      </c>
    </row>
    <row r="1369" spans="2:65" s="2209" customFormat="1" ht="22.5">
      <c r="B1369" s="2210"/>
      <c r="D1369" s="2197" t="s">
        <v>3303</v>
      </c>
      <c r="E1369" s="2211" t="s">
        <v>3146</v>
      </c>
      <c r="F1369" s="2212" t="s">
        <v>11410</v>
      </c>
      <c r="H1369" s="2213">
        <v>75</v>
      </c>
      <c r="L1369" s="2210"/>
      <c r="M1369" s="2214"/>
      <c r="T1369" s="2215"/>
      <c r="AT1369" s="2211" t="s">
        <v>3303</v>
      </c>
      <c r="AU1369" s="2211" t="s">
        <v>134</v>
      </c>
      <c r="AV1369" s="2209" t="s">
        <v>134</v>
      </c>
      <c r="AW1369" s="2209" t="s">
        <v>3171</v>
      </c>
      <c r="AX1369" s="2209" t="s">
        <v>3213</v>
      </c>
      <c r="AY1369" s="2211" t="s">
        <v>3285</v>
      </c>
    </row>
    <row r="1370" spans="2:65" s="2216" customFormat="1">
      <c r="B1370" s="2217"/>
      <c r="D1370" s="2197" t="s">
        <v>3303</v>
      </c>
      <c r="E1370" s="2218" t="s">
        <v>3146</v>
      </c>
      <c r="F1370" s="2219" t="s">
        <v>3306</v>
      </c>
      <c r="H1370" s="2220">
        <v>91</v>
      </c>
      <c r="L1370" s="2217"/>
      <c r="M1370" s="2221"/>
      <c r="T1370" s="2222"/>
      <c r="AT1370" s="2218" t="s">
        <v>3303</v>
      </c>
      <c r="AU1370" s="2218" t="s">
        <v>134</v>
      </c>
      <c r="AV1370" s="2216" t="s">
        <v>856</v>
      </c>
      <c r="AW1370" s="2216" t="s">
        <v>3171</v>
      </c>
      <c r="AX1370" s="2216" t="s">
        <v>133</v>
      </c>
      <c r="AY1370" s="2218" t="s">
        <v>3285</v>
      </c>
    </row>
    <row r="1371" spans="2:65" s="2070" customFormat="1" ht="24.2" customHeight="1">
      <c r="B1371" s="2164"/>
      <c r="C1371" s="4614" t="s">
        <v>11411</v>
      </c>
      <c r="D1371" s="4614" t="s">
        <v>135</v>
      </c>
      <c r="E1371" s="4615" t="s">
        <v>5589</v>
      </c>
      <c r="F1371" s="4616" t="s">
        <v>5590</v>
      </c>
      <c r="G1371" s="4617" t="s">
        <v>155</v>
      </c>
      <c r="H1371" s="4618">
        <v>91</v>
      </c>
      <c r="I1371" s="4619"/>
      <c r="J1371" s="4619">
        <f>ROUND(I1371*H1371,2)</f>
        <v>0</v>
      </c>
      <c r="K1371" s="4616" t="s">
        <v>3146</v>
      </c>
      <c r="L1371" s="2223"/>
      <c r="M1371" s="2224" t="s">
        <v>3146</v>
      </c>
      <c r="N1371" s="2225" t="s">
        <v>3181</v>
      </c>
      <c r="O1371" s="2191">
        <v>0</v>
      </c>
      <c r="P1371" s="2191">
        <f>O1371*H1371</f>
        <v>0</v>
      </c>
      <c r="Q1371" s="2191">
        <v>0</v>
      </c>
      <c r="R1371" s="2191">
        <f>Q1371*H1371</f>
        <v>0</v>
      </c>
      <c r="S1371" s="2191">
        <v>0</v>
      </c>
      <c r="T1371" s="2192">
        <f>S1371*H1371</f>
        <v>0</v>
      </c>
      <c r="AR1371" s="2193" t="s">
        <v>3389</v>
      </c>
      <c r="AT1371" s="2193" t="s">
        <v>135</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f>ROUND(I1371*H1371,2)</f>
        <v>0</v>
      </c>
      <c r="BL1371" s="2056" t="s">
        <v>2894</v>
      </c>
      <c r="BM1371" s="2193" t="s">
        <v>5591</v>
      </c>
    </row>
    <row r="1372" spans="2:65" s="2070" customFormat="1" ht="16.5" customHeight="1">
      <c r="B1372" s="2164"/>
      <c r="C1372" s="4608" t="s">
        <v>11412</v>
      </c>
      <c r="D1372" s="4608" t="s">
        <v>3286</v>
      </c>
      <c r="E1372" s="4609" t="s">
        <v>11413</v>
      </c>
      <c r="F1372" s="4610" t="s">
        <v>11414</v>
      </c>
      <c r="G1372" s="4611" t="s">
        <v>155</v>
      </c>
      <c r="H1372" s="4612">
        <v>47</v>
      </c>
      <c r="I1372" s="4613"/>
      <c r="J1372" s="4613">
        <f>ROUND(I1372*H1372,2)</f>
        <v>0</v>
      </c>
      <c r="K1372" s="4610" t="s">
        <v>142</v>
      </c>
      <c r="L1372" s="2071"/>
      <c r="M1372" s="2190" t="s">
        <v>3146</v>
      </c>
      <c r="N1372" s="2163" t="s">
        <v>3181</v>
      </c>
      <c r="O1372" s="2191">
        <v>0.08</v>
      </c>
      <c r="P1372" s="2191">
        <f>O1372*H1372</f>
        <v>3.7600000000000002</v>
      </c>
      <c r="Q1372" s="2191">
        <v>0</v>
      </c>
      <c r="R1372" s="2191">
        <f>Q1372*H1372</f>
        <v>0</v>
      </c>
      <c r="S1372" s="2191">
        <v>0</v>
      </c>
      <c r="T1372" s="2192">
        <f>S1372*H1372</f>
        <v>0</v>
      </c>
      <c r="AR1372" s="2193" t="s">
        <v>2894</v>
      </c>
      <c r="AT1372" s="2193" t="s">
        <v>3286</v>
      </c>
      <c r="AU1372" s="2193" t="s">
        <v>134</v>
      </c>
      <c r="AY1372" s="2056" t="s">
        <v>3285</v>
      </c>
      <c r="BE1372" s="2194">
        <f>IF(N1372="základní",J1372,0)</f>
        <v>0</v>
      </c>
      <c r="BF1372" s="2194">
        <f>IF(N1372="snížená",J1372,0)</f>
        <v>0</v>
      </c>
      <c r="BG1372" s="2194">
        <f>IF(N1372="zákl. přenesená",J1372,0)</f>
        <v>0</v>
      </c>
      <c r="BH1372" s="2194">
        <f>IF(N1372="sníž. přenesená",J1372,0)</f>
        <v>0</v>
      </c>
      <c r="BI1372" s="2194">
        <f>IF(N1372="nulová",J1372,0)</f>
        <v>0</v>
      </c>
      <c r="BJ1372" s="2056" t="s">
        <v>134</v>
      </c>
      <c r="BK1372" s="2194">
        <f>ROUND(I1372*H1372,2)</f>
        <v>0</v>
      </c>
      <c r="BL1372" s="2056" t="s">
        <v>2894</v>
      </c>
      <c r="BM1372" s="2193" t="s">
        <v>11415</v>
      </c>
    </row>
    <row r="1373" spans="2:65" s="2209" customFormat="1">
      <c r="B1373" s="2210"/>
      <c r="D1373" s="2197" t="s">
        <v>3303</v>
      </c>
      <c r="E1373" s="2211" t="s">
        <v>3146</v>
      </c>
      <c r="F1373" s="2212" t="s">
        <v>5093</v>
      </c>
      <c r="H1373" s="2213">
        <v>47</v>
      </c>
      <c r="L1373" s="2210"/>
      <c r="M1373" s="2214"/>
      <c r="T1373" s="2215"/>
      <c r="AT1373" s="2211" t="s">
        <v>3303</v>
      </c>
      <c r="AU1373" s="2211" t="s">
        <v>134</v>
      </c>
      <c r="AV1373" s="2209" t="s">
        <v>134</v>
      </c>
      <c r="AW1373" s="2209" t="s">
        <v>3171</v>
      </c>
      <c r="AX1373" s="2209" t="s">
        <v>133</v>
      </c>
      <c r="AY1373" s="2211" t="s">
        <v>3285</v>
      </c>
    </row>
    <row r="1374" spans="2:65" s="2070" customFormat="1" ht="16.5" customHeight="1">
      <c r="B1374" s="2164"/>
      <c r="C1374" s="4614" t="s">
        <v>11416</v>
      </c>
      <c r="D1374" s="4614" t="s">
        <v>135</v>
      </c>
      <c r="E1374" s="4615" t="s">
        <v>11417</v>
      </c>
      <c r="F1374" s="4616" t="s">
        <v>11418</v>
      </c>
      <c r="G1374" s="4617" t="s">
        <v>155</v>
      </c>
      <c r="H1374" s="4618">
        <v>47</v>
      </c>
      <c r="I1374" s="4619"/>
      <c r="J1374" s="4619">
        <f>ROUND(I1374*H1374,2)</f>
        <v>0</v>
      </c>
      <c r="K1374" s="4616" t="s">
        <v>142</v>
      </c>
      <c r="L1374" s="2223"/>
      <c r="M1374" s="2224" t="s">
        <v>3146</v>
      </c>
      <c r="N1374" s="2225" t="s">
        <v>3181</v>
      </c>
      <c r="O1374" s="2191">
        <v>0</v>
      </c>
      <c r="P1374" s="2191">
        <f>O1374*H1374</f>
        <v>0</v>
      </c>
      <c r="Q1374" s="2191">
        <v>2.2000000000000001E-3</v>
      </c>
      <c r="R1374" s="2191">
        <f>Q1374*H1374</f>
        <v>0.10340000000000001</v>
      </c>
      <c r="S1374" s="2191">
        <v>0</v>
      </c>
      <c r="T1374" s="2192">
        <f>S1374*H1374</f>
        <v>0</v>
      </c>
      <c r="AR1374" s="2193" t="s">
        <v>3389</v>
      </c>
      <c r="AT1374" s="2193" t="s">
        <v>135</v>
      </c>
      <c r="AU1374" s="2193" t="s">
        <v>134</v>
      </c>
      <c r="AY1374" s="2056" t="s">
        <v>3285</v>
      </c>
      <c r="BE1374" s="2194">
        <f>IF(N1374="základní",J1374,0)</f>
        <v>0</v>
      </c>
      <c r="BF1374" s="2194">
        <f>IF(N1374="snížená",J1374,0)</f>
        <v>0</v>
      </c>
      <c r="BG1374" s="2194">
        <f>IF(N1374="zákl. přenesená",J1374,0)</f>
        <v>0</v>
      </c>
      <c r="BH1374" s="2194">
        <f>IF(N1374="sníž. přenesená",J1374,0)</f>
        <v>0</v>
      </c>
      <c r="BI1374" s="2194">
        <f>IF(N1374="nulová",J1374,0)</f>
        <v>0</v>
      </c>
      <c r="BJ1374" s="2056" t="s">
        <v>134</v>
      </c>
      <c r="BK1374" s="2194">
        <f>ROUND(I1374*H1374,2)</f>
        <v>0</v>
      </c>
      <c r="BL1374" s="2056" t="s">
        <v>2894</v>
      </c>
      <c r="BM1374" s="2193" t="s">
        <v>11419</v>
      </c>
    </row>
    <row r="1375" spans="2:65" s="2070" customFormat="1" ht="16.5" customHeight="1">
      <c r="B1375" s="2164"/>
      <c r="C1375" s="4608" t="s">
        <v>11420</v>
      </c>
      <c r="D1375" s="4608" t="s">
        <v>3286</v>
      </c>
      <c r="E1375" s="4609" t="s">
        <v>5592</v>
      </c>
      <c r="F1375" s="4610" t="s">
        <v>5593</v>
      </c>
      <c r="G1375" s="4611" t="s">
        <v>155</v>
      </c>
      <c r="H1375" s="4612">
        <v>24</v>
      </c>
      <c r="I1375" s="4613"/>
      <c r="J1375" s="4613">
        <f>ROUND(I1375*H1375,2)</f>
        <v>0</v>
      </c>
      <c r="K1375" s="4610" t="s">
        <v>3146</v>
      </c>
      <c r="L1375" s="2071"/>
      <c r="M1375" s="2190" t="s">
        <v>3146</v>
      </c>
      <c r="N1375" s="2163" t="s">
        <v>3181</v>
      </c>
      <c r="O1375" s="2191">
        <v>1.5449999999999999</v>
      </c>
      <c r="P1375" s="2191">
        <f>O1375*H1375</f>
        <v>37.08</v>
      </c>
      <c r="Q1375" s="2191">
        <v>0</v>
      </c>
      <c r="R1375" s="2191">
        <f>Q1375*H1375</f>
        <v>0</v>
      </c>
      <c r="S1375" s="2191">
        <v>0</v>
      </c>
      <c r="T1375" s="2192">
        <f>S1375*H1375</f>
        <v>0</v>
      </c>
      <c r="AR1375" s="2193" t="s">
        <v>2894</v>
      </c>
      <c r="AT1375" s="2193" t="s">
        <v>3286</v>
      </c>
      <c r="AU1375" s="2193" t="s">
        <v>134</v>
      </c>
      <c r="AY1375" s="2056" t="s">
        <v>3285</v>
      </c>
      <c r="BE1375" s="2194">
        <f>IF(N1375="základní",J1375,0)</f>
        <v>0</v>
      </c>
      <c r="BF1375" s="2194">
        <f>IF(N1375="snížená",J1375,0)</f>
        <v>0</v>
      </c>
      <c r="BG1375" s="2194">
        <f>IF(N1375="zákl. přenesená",J1375,0)</f>
        <v>0</v>
      </c>
      <c r="BH1375" s="2194">
        <f>IF(N1375="sníž. přenesená",J1375,0)</f>
        <v>0</v>
      </c>
      <c r="BI1375" s="2194">
        <f>IF(N1375="nulová",J1375,0)</f>
        <v>0</v>
      </c>
      <c r="BJ1375" s="2056" t="s">
        <v>134</v>
      </c>
      <c r="BK1375" s="2194">
        <f>ROUND(I1375*H1375,2)</f>
        <v>0</v>
      </c>
      <c r="BL1375" s="2056" t="s">
        <v>2894</v>
      </c>
      <c r="BM1375" s="2193" t="s">
        <v>5594</v>
      </c>
    </row>
    <row r="1376" spans="2:65" s="2209" customFormat="1">
      <c r="B1376" s="2210"/>
      <c r="D1376" s="2197" t="s">
        <v>3303</v>
      </c>
      <c r="E1376" s="2211" t="s">
        <v>3146</v>
      </c>
      <c r="F1376" s="2212" t="s">
        <v>5323</v>
      </c>
      <c r="H1376" s="2213">
        <v>4</v>
      </c>
      <c r="L1376" s="2210"/>
      <c r="M1376" s="2214"/>
      <c r="T1376" s="2215"/>
      <c r="AT1376" s="2211" t="s">
        <v>3303</v>
      </c>
      <c r="AU1376" s="2211" t="s">
        <v>134</v>
      </c>
      <c r="AV1376" s="2209" t="s">
        <v>134</v>
      </c>
      <c r="AW1376" s="2209" t="s">
        <v>3171</v>
      </c>
      <c r="AX1376" s="2209" t="s">
        <v>3213</v>
      </c>
      <c r="AY1376" s="2211" t="s">
        <v>3285</v>
      </c>
    </row>
    <row r="1377" spans="2:65" s="2209" customFormat="1">
      <c r="B1377" s="2210"/>
      <c r="D1377" s="2197" t="s">
        <v>3303</v>
      </c>
      <c r="E1377" s="2211" t="s">
        <v>3146</v>
      </c>
      <c r="F1377" s="2212" t="s">
        <v>5595</v>
      </c>
      <c r="H1377" s="2213">
        <v>6</v>
      </c>
      <c r="L1377" s="2210"/>
      <c r="M1377" s="2214"/>
      <c r="T1377" s="2215"/>
      <c r="AT1377" s="2211" t="s">
        <v>3303</v>
      </c>
      <c r="AU1377" s="2211" t="s">
        <v>134</v>
      </c>
      <c r="AV1377" s="2209" t="s">
        <v>134</v>
      </c>
      <c r="AW1377" s="2209" t="s">
        <v>3171</v>
      </c>
      <c r="AX1377" s="2209" t="s">
        <v>3213</v>
      </c>
      <c r="AY1377" s="2211" t="s">
        <v>3285</v>
      </c>
    </row>
    <row r="1378" spans="2:65" s="2209" customFormat="1">
      <c r="B1378" s="2210"/>
      <c r="D1378" s="2197" t="s">
        <v>3303</v>
      </c>
      <c r="E1378" s="2211" t="s">
        <v>3146</v>
      </c>
      <c r="F1378" s="2212" t="s">
        <v>5595</v>
      </c>
      <c r="H1378" s="2213">
        <v>6</v>
      </c>
      <c r="L1378" s="2210"/>
      <c r="M1378" s="2214"/>
      <c r="T1378" s="2215"/>
      <c r="AT1378" s="2211" t="s">
        <v>3303</v>
      </c>
      <c r="AU1378" s="2211" t="s">
        <v>134</v>
      </c>
      <c r="AV1378" s="2209" t="s">
        <v>134</v>
      </c>
      <c r="AW1378" s="2209" t="s">
        <v>3171</v>
      </c>
      <c r="AX1378" s="2209" t="s">
        <v>3213</v>
      </c>
      <c r="AY1378" s="2211" t="s">
        <v>3285</v>
      </c>
    </row>
    <row r="1379" spans="2:65" s="2209" customFormat="1">
      <c r="B1379" s="2210"/>
      <c r="D1379" s="2197" t="s">
        <v>3303</v>
      </c>
      <c r="E1379" s="2211" t="s">
        <v>3146</v>
      </c>
      <c r="F1379" s="2212" t="s">
        <v>1363</v>
      </c>
      <c r="H1379" s="2213">
        <v>8</v>
      </c>
      <c r="L1379" s="2210"/>
      <c r="M1379" s="2214"/>
      <c r="T1379" s="2215"/>
      <c r="AT1379" s="2211" t="s">
        <v>3303</v>
      </c>
      <c r="AU1379" s="2211" t="s">
        <v>134</v>
      </c>
      <c r="AV1379" s="2209" t="s">
        <v>134</v>
      </c>
      <c r="AW1379" s="2209" t="s">
        <v>3171</v>
      </c>
      <c r="AX1379" s="2209" t="s">
        <v>3213</v>
      </c>
      <c r="AY1379" s="2211" t="s">
        <v>3285</v>
      </c>
    </row>
    <row r="1380" spans="2:65" s="2216" customFormat="1">
      <c r="B1380" s="2217"/>
      <c r="D1380" s="2197" t="s">
        <v>3303</v>
      </c>
      <c r="E1380" s="2218" t="s">
        <v>3146</v>
      </c>
      <c r="F1380" s="2219" t="s">
        <v>3306</v>
      </c>
      <c r="H1380" s="2220">
        <v>24</v>
      </c>
      <c r="L1380" s="2217"/>
      <c r="M1380" s="2221"/>
      <c r="T1380" s="2222"/>
      <c r="AT1380" s="2218" t="s">
        <v>3303</v>
      </c>
      <c r="AU1380" s="2218" t="s">
        <v>134</v>
      </c>
      <c r="AV1380" s="2216" t="s">
        <v>856</v>
      </c>
      <c r="AW1380" s="2216" t="s">
        <v>3171</v>
      </c>
      <c r="AX1380" s="2216" t="s">
        <v>133</v>
      </c>
      <c r="AY1380" s="2218" t="s">
        <v>3285</v>
      </c>
    </row>
    <row r="1381" spans="2:65" s="2070" customFormat="1" ht="16.5" customHeight="1">
      <c r="B1381" s="2164"/>
      <c r="C1381" s="4614" t="s">
        <v>11421</v>
      </c>
      <c r="D1381" s="4614" t="s">
        <v>135</v>
      </c>
      <c r="E1381" s="4615" t="s">
        <v>5596</v>
      </c>
      <c r="F1381" s="4616" t="s">
        <v>5597</v>
      </c>
      <c r="G1381" s="4617" t="s">
        <v>155</v>
      </c>
      <c r="H1381" s="4618">
        <v>24</v>
      </c>
      <c r="I1381" s="4619"/>
      <c r="J1381" s="4619">
        <f>ROUND(I1381*H1381,2)</f>
        <v>0</v>
      </c>
      <c r="K1381" s="4616" t="s">
        <v>3146</v>
      </c>
      <c r="L1381" s="2223"/>
      <c r="M1381" s="2224" t="s">
        <v>3146</v>
      </c>
      <c r="N1381" s="2225" t="s">
        <v>3181</v>
      </c>
      <c r="O1381" s="2191">
        <v>0</v>
      </c>
      <c r="P1381" s="2191">
        <f>O1381*H1381</f>
        <v>0</v>
      </c>
      <c r="Q1381" s="2191">
        <v>0</v>
      </c>
      <c r="R1381" s="2191">
        <f>Q1381*H1381</f>
        <v>0</v>
      </c>
      <c r="S1381" s="2191">
        <v>0</v>
      </c>
      <c r="T1381" s="2192">
        <f>S1381*H1381</f>
        <v>0</v>
      </c>
      <c r="AR1381" s="2193" t="s">
        <v>3389</v>
      </c>
      <c r="AT1381" s="2193" t="s">
        <v>135</v>
      </c>
      <c r="AU1381" s="2193" t="s">
        <v>134</v>
      </c>
      <c r="AY1381" s="2056" t="s">
        <v>3285</v>
      </c>
      <c r="BE1381" s="2194">
        <f>IF(N1381="základní",J1381,0)</f>
        <v>0</v>
      </c>
      <c r="BF1381" s="2194">
        <f>IF(N1381="snížená",J1381,0)</f>
        <v>0</v>
      </c>
      <c r="BG1381" s="2194">
        <f>IF(N1381="zákl. přenesená",J1381,0)</f>
        <v>0</v>
      </c>
      <c r="BH1381" s="2194">
        <f>IF(N1381="sníž. přenesená",J1381,0)</f>
        <v>0</v>
      </c>
      <c r="BI1381" s="2194">
        <f>IF(N1381="nulová",J1381,0)</f>
        <v>0</v>
      </c>
      <c r="BJ1381" s="2056" t="s">
        <v>134</v>
      </c>
      <c r="BK1381" s="2194">
        <f>ROUND(I1381*H1381,2)</f>
        <v>0</v>
      </c>
      <c r="BL1381" s="2056" t="s">
        <v>2894</v>
      </c>
      <c r="BM1381" s="2193" t="s">
        <v>5598</v>
      </c>
    </row>
    <row r="1382" spans="2:65" s="2070" customFormat="1" ht="24.2" customHeight="1">
      <c r="B1382" s="2164"/>
      <c r="C1382" s="4608" t="s">
        <v>11422</v>
      </c>
      <c r="D1382" s="4608" t="s">
        <v>3286</v>
      </c>
      <c r="E1382" s="4609" t="s">
        <v>5600</v>
      </c>
      <c r="F1382" s="4610" t="s">
        <v>5601</v>
      </c>
      <c r="G1382" s="4611" t="s">
        <v>155</v>
      </c>
      <c r="H1382" s="4612">
        <v>1</v>
      </c>
      <c r="I1382" s="4613"/>
      <c r="J1382" s="4613">
        <f>ROUND(I1382*H1382,2)</f>
        <v>0</v>
      </c>
      <c r="K1382" s="4610" t="s">
        <v>142</v>
      </c>
      <c r="L1382" s="2071"/>
      <c r="M1382" s="2190" t="s">
        <v>3146</v>
      </c>
      <c r="N1382" s="2163" t="s">
        <v>3181</v>
      </c>
      <c r="O1382" s="2191">
        <v>10.055999999999999</v>
      </c>
      <c r="P1382" s="2191">
        <f>O1382*H1382</f>
        <v>10.055999999999999</v>
      </c>
      <c r="Q1382" s="2191">
        <v>1.1299999999999999E-3</v>
      </c>
      <c r="R1382" s="2191">
        <f>Q1382*H1382</f>
        <v>1.1299999999999999E-3</v>
      </c>
      <c r="S1382" s="2191">
        <v>0</v>
      </c>
      <c r="T1382" s="2192">
        <f>S1382*H1382</f>
        <v>0</v>
      </c>
      <c r="AR1382" s="2193" t="s">
        <v>2894</v>
      </c>
      <c r="AT1382" s="2193" t="s">
        <v>3286</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f>ROUND(I1382*H1382,2)</f>
        <v>0</v>
      </c>
      <c r="BL1382" s="2056" t="s">
        <v>2894</v>
      </c>
      <c r="BM1382" s="2193" t="s">
        <v>5602</v>
      </c>
    </row>
    <row r="1383" spans="2:65" s="2195" customFormat="1">
      <c r="B1383" s="2196"/>
      <c r="D1383" s="2197" t="s">
        <v>3303</v>
      </c>
      <c r="E1383" s="2198" t="s">
        <v>3146</v>
      </c>
      <c r="F1383" s="2199" t="s">
        <v>5603</v>
      </c>
      <c r="H1383" s="2198" t="s">
        <v>3146</v>
      </c>
      <c r="L1383" s="2196"/>
      <c r="M1383" s="2200"/>
      <c r="T1383" s="2201"/>
      <c r="AT1383" s="2198" t="s">
        <v>3303</v>
      </c>
      <c r="AU1383" s="2198" t="s">
        <v>134</v>
      </c>
      <c r="AV1383" s="2195" t="s">
        <v>133</v>
      </c>
      <c r="AW1383" s="2195" t="s">
        <v>3171</v>
      </c>
      <c r="AX1383" s="2195" t="s">
        <v>3213</v>
      </c>
      <c r="AY1383" s="2198" t="s">
        <v>3285</v>
      </c>
    </row>
    <row r="1384" spans="2:65" s="2209" customFormat="1">
      <c r="B1384" s="2210"/>
      <c r="D1384" s="2197" t="s">
        <v>3303</v>
      </c>
      <c r="E1384" s="2211" t="s">
        <v>3146</v>
      </c>
      <c r="F1384" s="2212" t="s">
        <v>133</v>
      </c>
      <c r="H1384" s="2213">
        <v>1</v>
      </c>
      <c r="L1384" s="2210"/>
      <c r="M1384" s="2214"/>
      <c r="T1384" s="2215"/>
      <c r="AT1384" s="2211" t="s">
        <v>3303</v>
      </c>
      <c r="AU1384" s="2211" t="s">
        <v>134</v>
      </c>
      <c r="AV1384" s="2209" t="s">
        <v>134</v>
      </c>
      <c r="AW1384" s="2209" t="s">
        <v>3171</v>
      </c>
      <c r="AX1384" s="2209" t="s">
        <v>133</v>
      </c>
      <c r="AY1384" s="2211" t="s">
        <v>3285</v>
      </c>
    </row>
    <row r="1385" spans="2:65" s="2070" customFormat="1" ht="21.75" customHeight="1">
      <c r="B1385" s="2164"/>
      <c r="C1385" s="4614" t="s">
        <v>11423</v>
      </c>
      <c r="D1385" s="4614" t="s">
        <v>135</v>
      </c>
      <c r="E1385" s="4615" t="s">
        <v>5605</v>
      </c>
      <c r="F1385" s="4616" t="s">
        <v>5606</v>
      </c>
      <c r="G1385" s="4617" t="s">
        <v>155</v>
      </c>
      <c r="H1385" s="4618">
        <v>1</v>
      </c>
      <c r="I1385" s="4619"/>
      <c r="J1385" s="4619">
        <f>ROUND(I1385*H1385,2)</f>
        <v>0</v>
      </c>
      <c r="K1385" s="4616" t="s">
        <v>3146</v>
      </c>
      <c r="L1385" s="2223"/>
      <c r="M1385" s="2224" t="s">
        <v>3146</v>
      </c>
      <c r="N1385" s="2225" t="s">
        <v>3181</v>
      </c>
      <c r="O1385" s="2191">
        <v>0</v>
      </c>
      <c r="P1385" s="2191">
        <f>O1385*H1385</f>
        <v>0</v>
      </c>
      <c r="Q1385" s="2191">
        <v>0</v>
      </c>
      <c r="R1385" s="2191">
        <f>Q1385*H1385</f>
        <v>0</v>
      </c>
      <c r="S1385" s="2191">
        <v>0</v>
      </c>
      <c r="T1385" s="2192">
        <f>S1385*H1385</f>
        <v>0</v>
      </c>
      <c r="AR1385" s="2193" t="s">
        <v>3389</v>
      </c>
      <c r="AT1385" s="2193" t="s">
        <v>135</v>
      </c>
      <c r="AU1385" s="2193" t="s">
        <v>134</v>
      </c>
      <c r="AY1385" s="2056" t="s">
        <v>3285</v>
      </c>
      <c r="BE1385" s="2194">
        <f>IF(N1385="základní",J1385,0)</f>
        <v>0</v>
      </c>
      <c r="BF1385" s="2194">
        <f>IF(N1385="snížená",J1385,0)</f>
        <v>0</v>
      </c>
      <c r="BG1385" s="2194">
        <f>IF(N1385="zákl. přenesená",J1385,0)</f>
        <v>0</v>
      </c>
      <c r="BH1385" s="2194">
        <f>IF(N1385="sníž. přenesená",J1385,0)</f>
        <v>0</v>
      </c>
      <c r="BI1385" s="2194">
        <f>IF(N1385="nulová",J1385,0)</f>
        <v>0</v>
      </c>
      <c r="BJ1385" s="2056" t="s">
        <v>134</v>
      </c>
      <c r="BK1385" s="2194">
        <f>ROUND(I1385*H1385,2)</f>
        <v>0</v>
      </c>
      <c r="BL1385" s="2056" t="s">
        <v>2894</v>
      </c>
      <c r="BM1385" s="2193" t="s">
        <v>5607</v>
      </c>
    </row>
    <row r="1386" spans="2:65" s="2070" customFormat="1" ht="24.2" customHeight="1">
      <c r="B1386" s="2164"/>
      <c r="C1386" s="4608" t="s">
        <v>11424</v>
      </c>
      <c r="D1386" s="4608" t="s">
        <v>3286</v>
      </c>
      <c r="E1386" s="4609" t="s">
        <v>5608</v>
      </c>
      <c r="F1386" s="4610" t="s">
        <v>5609</v>
      </c>
      <c r="G1386" s="4611" t="s">
        <v>155</v>
      </c>
      <c r="H1386" s="4612">
        <v>1</v>
      </c>
      <c r="I1386" s="4613"/>
      <c r="J1386" s="4613">
        <f>ROUND(I1386*H1386,2)</f>
        <v>0</v>
      </c>
      <c r="K1386" s="4610" t="s">
        <v>142</v>
      </c>
      <c r="L1386" s="2071"/>
      <c r="M1386" s="2190" t="s">
        <v>3146</v>
      </c>
      <c r="N1386" s="2163" t="s">
        <v>3181</v>
      </c>
      <c r="O1386" s="2191">
        <v>8.56</v>
      </c>
      <c r="P1386" s="2191">
        <f>O1386*H1386</f>
        <v>8.56</v>
      </c>
      <c r="Q1386" s="2191">
        <v>0</v>
      </c>
      <c r="R1386" s="2191">
        <f>Q1386*H1386</f>
        <v>0</v>
      </c>
      <c r="S1386" s="2191">
        <v>0</v>
      </c>
      <c r="T1386" s="2192">
        <f>S1386*H1386</f>
        <v>0</v>
      </c>
      <c r="AR1386" s="2193" t="s">
        <v>2894</v>
      </c>
      <c r="AT1386" s="2193" t="s">
        <v>3286</v>
      </c>
      <c r="AU1386" s="2193" t="s">
        <v>134</v>
      </c>
      <c r="AY1386" s="2056" t="s">
        <v>3285</v>
      </c>
      <c r="BE1386" s="2194">
        <f>IF(N1386="základní",J1386,0)</f>
        <v>0</v>
      </c>
      <c r="BF1386" s="2194">
        <f>IF(N1386="snížená",J1386,0)</f>
        <v>0</v>
      </c>
      <c r="BG1386" s="2194">
        <f>IF(N1386="zákl. přenesená",J1386,0)</f>
        <v>0</v>
      </c>
      <c r="BH1386" s="2194">
        <f>IF(N1386="sníž. přenesená",J1386,0)</f>
        <v>0</v>
      </c>
      <c r="BI1386" s="2194">
        <f>IF(N1386="nulová",J1386,0)</f>
        <v>0</v>
      </c>
      <c r="BJ1386" s="2056" t="s">
        <v>134</v>
      </c>
      <c r="BK1386" s="2194">
        <f>ROUND(I1386*H1386,2)</f>
        <v>0</v>
      </c>
      <c r="BL1386" s="2056" t="s">
        <v>2894</v>
      </c>
      <c r="BM1386" s="2193" t="s">
        <v>5610</v>
      </c>
    </row>
    <row r="1387" spans="2:65" s="2195" customFormat="1">
      <c r="B1387" s="2196"/>
      <c r="D1387" s="2197" t="s">
        <v>3303</v>
      </c>
      <c r="E1387" s="2198" t="s">
        <v>3146</v>
      </c>
      <c r="F1387" s="2199" t="s">
        <v>5611</v>
      </c>
      <c r="H1387" s="2198" t="s">
        <v>3146</v>
      </c>
      <c r="L1387" s="2196"/>
      <c r="M1387" s="2200"/>
      <c r="T1387" s="2201"/>
      <c r="AT1387" s="2198" t="s">
        <v>3303</v>
      </c>
      <c r="AU1387" s="2198" t="s">
        <v>134</v>
      </c>
      <c r="AV1387" s="2195" t="s">
        <v>133</v>
      </c>
      <c r="AW1387" s="2195" t="s">
        <v>3171</v>
      </c>
      <c r="AX1387" s="2195" t="s">
        <v>3213</v>
      </c>
      <c r="AY1387" s="2198" t="s">
        <v>3285</v>
      </c>
    </row>
    <row r="1388" spans="2:65" s="2209" customFormat="1">
      <c r="B1388" s="2210"/>
      <c r="D1388" s="2197" t="s">
        <v>3303</v>
      </c>
      <c r="E1388" s="2211" t="s">
        <v>3146</v>
      </c>
      <c r="F1388" s="2212" t="s">
        <v>133</v>
      </c>
      <c r="H1388" s="2213">
        <v>1</v>
      </c>
      <c r="L1388" s="2210"/>
      <c r="M1388" s="2214"/>
      <c r="T1388" s="2215"/>
      <c r="AT1388" s="2211" t="s">
        <v>3303</v>
      </c>
      <c r="AU1388" s="2211" t="s">
        <v>134</v>
      </c>
      <c r="AV1388" s="2209" t="s">
        <v>134</v>
      </c>
      <c r="AW1388" s="2209" t="s">
        <v>3171</v>
      </c>
      <c r="AX1388" s="2209" t="s">
        <v>3213</v>
      </c>
      <c r="AY1388" s="2211" t="s">
        <v>3285</v>
      </c>
    </row>
    <row r="1389" spans="2:65" s="2216" customFormat="1">
      <c r="B1389" s="2217"/>
      <c r="D1389" s="2197" t="s">
        <v>3303</v>
      </c>
      <c r="E1389" s="2218" t="s">
        <v>3146</v>
      </c>
      <c r="F1389" s="2219" t="s">
        <v>3306</v>
      </c>
      <c r="H1389" s="2220">
        <v>1</v>
      </c>
      <c r="L1389" s="2217"/>
      <c r="M1389" s="2221"/>
      <c r="T1389" s="2222"/>
      <c r="AT1389" s="2218" t="s">
        <v>3303</v>
      </c>
      <c r="AU1389" s="2218" t="s">
        <v>134</v>
      </c>
      <c r="AV1389" s="2216" t="s">
        <v>856</v>
      </c>
      <c r="AW1389" s="2216" t="s">
        <v>3171</v>
      </c>
      <c r="AX1389" s="2216" t="s">
        <v>133</v>
      </c>
      <c r="AY1389" s="2218" t="s">
        <v>3285</v>
      </c>
    </row>
    <row r="1390" spans="2:65" s="2070" customFormat="1" ht="24.2" customHeight="1">
      <c r="B1390" s="2164"/>
      <c r="C1390" s="4614" t="s">
        <v>11425</v>
      </c>
      <c r="D1390" s="4614" t="s">
        <v>135</v>
      </c>
      <c r="E1390" s="4615" t="s">
        <v>5612</v>
      </c>
      <c r="F1390" s="4616" t="s">
        <v>5613</v>
      </c>
      <c r="G1390" s="4617" t="s">
        <v>155</v>
      </c>
      <c r="H1390" s="4618">
        <v>1</v>
      </c>
      <c r="I1390" s="4619"/>
      <c r="J1390" s="4619">
        <f>ROUND(I1390*H1390,2)</f>
        <v>0</v>
      </c>
      <c r="K1390" s="4616" t="s">
        <v>3146</v>
      </c>
      <c r="L1390" s="2223"/>
      <c r="M1390" s="2224" t="s">
        <v>3146</v>
      </c>
      <c r="N1390" s="2225" t="s">
        <v>3181</v>
      </c>
      <c r="O1390" s="2191">
        <v>0</v>
      </c>
      <c r="P1390" s="2191">
        <f>O1390*H1390</f>
        <v>0</v>
      </c>
      <c r="Q1390" s="2191">
        <v>2.9000000000000001E-2</v>
      </c>
      <c r="R1390" s="2191">
        <f>Q1390*H1390</f>
        <v>2.9000000000000001E-2</v>
      </c>
      <c r="S1390" s="2191">
        <v>0</v>
      </c>
      <c r="T1390" s="2192">
        <f>S1390*H1390</f>
        <v>0</v>
      </c>
      <c r="AR1390" s="2193" t="s">
        <v>3389</v>
      </c>
      <c r="AT1390" s="2193" t="s">
        <v>135</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f>ROUND(I1390*H1390,2)</f>
        <v>0</v>
      </c>
      <c r="BL1390" s="2056" t="s">
        <v>2894</v>
      </c>
      <c r="BM1390" s="2193" t="s">
        <v>5614</v>
      </c>
    </row>
    <row r="1391" spans="2:65" s="2195" customFormat="1">
      <c r="B1391" s="2196"/>
      <c r="D1391" s="2197" t="s">
        <v>3303</v>
      </c>
      <c r="E1391" s="2198" t="s">
        <v>3146</v>
      </c>
      <c r="F1391" s="2199" t="s">
        <v>5611</v>
      </c>
      <c r="H1391" s="2198" t="s">
        <v>3146</v>
      </c>
      <c r="L1391" s="2196"/>
      <c r="M1391" s="2200"/>
      <c r="T1391" s="2201"/>
      <c r="AT1391" s="2198" t="s">
        <v>3303</v>
      </c>
      <c r="AU1391" s="2198" t="s">
        <v>134</v>
      </c>
      <c r="AV1391" s="2195" t="s">
        <v>133</v>
      </c>
      <c r="AW1391" s="2195" t="s">
        <v>3171</v>
      </c>
      <c r="AX1391" s="2195" t="s">
        <v>3213</v>
      </c>
      <c r="AY1391" s="2198" t="s">
        <v>3285</v>
      </c>
    </row>
    <row r="1392" spans="2:65" s="2209" customFormat="1">
      <c r="B1392" s="2210"/>
      <c r="D1392" s="2197" t="s">
        <v>3303</v>
      </c>
      <c r="E1392" s="2211" t="s">
        <v>3146</v>
      </c>
      <c r="F1392" s="2212" t="s">
        <v>133</v>
      </c>
      <c r="H1392" s="2213">
        <v>1</v>
      </c>
      <c r="L1392" s="2210"/>
      <c r="M1392" s="2214"/>
      <c r="T1392" s="2215"/>
      <c r="AT1392" s="2211" t="s">
        <v>3303</v>
      </c>
      <c r="AU1392" s="2211" t="s">
        <v>134</v>
      </c>
      <c r="AV1392" s="2209" t="s">
        <v>134</v>
      </c>
      <c r="AW1392" s="2209" t="s">
        <v>3171</v>
      </c>
      <c r="AX1392" s="2209" t="s">
        <v>133</v>
      </c>
      <c r="AY1392" s="2211" t="s">
        <v>3285</v>
      </c>
    </row>
    <row r="1393" spans="2:65" s="2070" customFormat="1" ht="24.2" customHeight="1">
      <c r="B1393" s="2164"/>
      <c r="C1393" s="4608" t="s">
        <v>11426</v>
      </c>
      <c r="D1393" s="4608" t="s">
        <v>3286</v>
      </c>
      <c r="E1393" s="4609" t="s">
        <v>5615</v>
      </c>
      <c r="F1393" s="4610" t="s">
        <v>5616</v>
      </c>
      <c r="G1393" s="4611" t="s">
        <v>155</v>
      </c>
      <c r="H1393" s="4612">
        <v>3</v>
      </c>
      <c r="I1393" s="4613"/>
      <c r="J1393" s="4613">
        <f>ROUND(I1393*H1393,2)</f>
        <v>0</v>
      </c>
      <c r="K1393" s="4610" t="s">
        <v>142</v>
      </c>
      <c r="L1393" s="2071"/>
      <c r="M1393" s="2190" t="s">
        <v>3146</v>
      </c>
      <c r="N1393" s="2163" t="s">
        <v>3181</v>
      </c>
      <c r="O1393" s="2191">
        <v>10.275</v>
      </c>
      <c r="P1393" s="2191">
        <f>O1393*H1393</f>
        <v>30.825000000000003</v>
      </c>
      <c r="Q1393" s="2191">
        <v>0</v>
      </c>
      <c r="R1393" s="2191">
        <f>Q1393*H1393</f>
        <v>0</v>
      </c>
      <c r="S1393" s="2191">
        <v>0</v>
      </c>
      <c r="T1393" s="2192">
        <f>S1393*H1393</f>
        <v>0</v>
      </c>
      <c r="AR1393" s="2193" t="s">
        <v>2894</v>
      </c>
      <c r="AT1393" s="2193" t="s">
        <v>3286</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f>ROUND(I1393*H1393,2)</f>
        <v>0</v>
      </c>
      <c r="BL1393" s="2056" t="s">
        <v>2894</v>
      </c>
      <c r="BM1393" s="2193" t="s">
        <v>5617</v>
      </c>
    </row>
    <row r="1394" spans="2:65" s="2195" customFormat="1">
      <c r="B1394" s="2196"/>
      <c r="D1394" s="2197" t="s">
        <v>3303</v>
      </c>
      <c r="E1394" s="2198" t="s">
        <v>3146</v>
      </c>
      <c r="F1394" s="2199" t="s">
        <v>5618</v>
      </c>
      <c r="H1394" s="2198" t="s">
        <v>3146</v>
      </c>
      <c r="L1394" s="2196"/>
      <c r="M1394" s="2200"/>
      <c r="T1394" s="2201"/>
      <c r="AT1394" s="2198" t="s">
        <v>3303</v>
      </c>
      <c r="AU1394" s="2198" t="s">
        <v>134</v>
      </c>
      <c r="AV1394" s="2195" t="s">
        <v>133</v>
      </c>
      <c r="AW1394" s="2195" t="s">
        <v>3171</v>
      </c>
      <c r="AX1394" s="2195" t="s">
        <v>3213</v>
      </c>
      <c r="AY1394" s="2198" t="s">
        <v>3285</v>
      </c>
    </row>
    <row r="1395" spans="2:65" s="2209" customFormat="1">
      <c r="B1395" s="2210"/>
      <c r="D1395" s="2197" t="s">
        <v>3303</v>
      </c>
      <c r="E1395" s="2211" t="s">
        <v>3146</v>
      </c>
      <c r="F1395" s="2212" t="s">
        <v>5619</v>
      </c>
      <c r="H1395" s="2213">
        <v>3</v>
      </c>
      <c r="L1395" s="2210"/>
      <c r="M1395" s="2214"/>
      <c r="T1395" s="2215"/>
      <c r="AT1395" s="2211" t="s">
        <v>3303</v>
      </c>
      <c r="AU1395" s="2211" t="s">
        <v>134</v>
      </c>
      <c r="AV1395" s="2209" t="s">
        <v>134</v>
      </c>
      <c r="AW1395" s="2209" t="s">
        <v>3171</v>
      </c>
      <c r="AX1395" s="2209" t="s">
        <v>133</v>
      </c>
      <c r="AY1395" s="2211" t="s">
        <v>3285</v>
      </c>
    </row>
    <row r="1396" spans="2:65" s="2070" customFormat="1" ht="24.2" customHeight="1">
      <c r="B1396" s="2164"/>
      <c r="C1396" s="4614" t="s">
        <v>11427</v>
      </c>
      <c r="D1396" s="4614" t="s">
        <v>135</v>
      </c>
      <c r="E1396" s="4615" t="s">
        <v>5620</v>
      </c>
      <c r="F1396" s="4616" t="s">
        <v>5621</v>
      </c>
      <c r="G1396" s="4617" t="s">
        <v>155</v>
      </c>
      <c r="H1396" s="4618">
        <v>3</v>
      </c>
      <c r="I1396" s="4619"/>
      <c r="J1396" s="4619">
        <f>ROUND(I1396*H1396,2)</f>
        <v>0</v>
      </c>
      <c r="K1396" s="4616" t="s">
        <v>3146</v>
      </c>
      <c r="L1396" s="2223"/>
      <c r="M1396" s="2224" t="s">
        <v>3146</v>
      </c>
      <c r="N1396" s="2225" t="s">
        <v>3181</v>
      </c>
      <c r="O1396" s="2191">
        <v>0</v>
      </c>
      <c r="P1396" s="2191">
        <f>O1396*H1396</f>
        <v>0</v>
      </c>
      <c r="Q1396" s="2191">
        <v>8.5999999999999993E-2</v>
      </c>
      <c r="R1396" s="2191">
        <f>Q1396*H1396</f>
        <v>0.25800000000000001</v>
      </c>
      <c r="S1396" s="2191">
        <v>0</v>
      </c>
      <c r="T1396" s="2192">
        <f>S1396*H1396</f>
        <v>0</v>
      </c>
      <c r="AR1396" s="2193" t="s">
        <v>3389</v>
      </c>
      <c r="AT1396" s="2193" t="s">
        <v>135</v>
      </c>
      <c r="AU1396" s="2193" t="s">
        <v>134</v>
      </c>
      <c r="AY1396" s="2056" t="s">
        <v>3285</v>
      </c>
      <c r="BE1396" s="2194">
        <f>IF(N1396="základní",J1396,0)</f>
        <v>0</v>
      </c>
      <c r="BF1396" s="2194">
        <f>IF(N1396="snížená",J1396,0)</f>
        <v>0</v>
      </c>
      <c r="BG1396" s="2194">
        <f>IF(N1396="zákl. přenesená",J1396,0)</f>
        <v>0</v>
      </c>
      <c r="BH1396" s="2194">
        <f>IF(N1396="sníž. přenesená",J1396,0)</f>
        <v>0</v>
      </c>
      <c r="BI1396" s="2194">
        <f>IF(N1396="nulová",J1396,0)</f>
        <v>0</v>
      </c>
      <c r="BJ1396" s="2056" t="s">
        <v>134</v>
      </c>
      <c r="BK1396" s="2194">
        <f>ROUND(I1396*H1396,2)</f>
        <v>0</v>
      </c>
      <c r="BL1396" s="2056" t="s">
        <v>2894</v>
      </c>
      <c r="BM1396" s="2193" t="s">
        <v>5622</v>
      </c>
    </row>
    <row r="1397" spans="2:65" s="2195" customFormat="1">
      <c r="B1397" s="2196"/>
      <c r="D1397" s="2197" t="s">
        <v>3303</v>
      </c>
      <c r="E1397" s="2198" t="s">
        <v>3146</v>
      </c>
      <c r="F1397" s="2199" t="s">
        <v>5623</v>
      </c>
      <c r="H1397" s="2198" t="s">
        <v>3146</v>
      </c>
      <c r="L1397" s="2196"/>
      <c r="M1397" s="2200"/>
      <c r="T1397" s="2201"/>
      <c r="AT1397" s="2198" t="s">
        <v>3303</v>
      </c>
      <c r="AU1397" s="2198" t="s">
        <v>134</v>
      </c>
      <c r="AV1397" s="2195" t="s">
        <v>133</v>
      </c>
      <c r="AW1397" s="2195" t="s">
        <v>3171</v>
      </c>
      <c r="AX1397" s="2195" t="s">
        <v>3213</v>
      </c>
      <c r="AY1397" s="2198" t="s">
        <v>3285</v>
      </c>
    </row>
    <row r="1398" spans="2:65" s="2209" customFormat="1">
      <c r="B1398" s="2210"/>
      <c r="D1398" s="2197" t="s">
        <v>3303</v>
      </c>
      <c r="E1398" s="2211" t="s">
        <v>3146</v>
      </c>
      <c r="F1398" s="2212" t="s">
        <v>5619</v>
      </c>
      <c r="H1398" s="2213">
        <v>3</v>
      </c>
      <c r="L1398" s="2210"/>
      <c r="M1398" s="2214"/>
      <c r="T1398" s="2215"/>
      <c r="AT1398" s="2211" t="s">
        <v>3303</v>
      </c>
      <c r="AU1398" s="2211" t="s">
        <v>134</v>
      </c>
      <c r="AV1398" s="2209" t="s">
        <v>134</v>
      </c>
      <c r="AW1398" s="2209" t="s">
        <v>3171</v>
      </c>
      <c r="AX1398" s="2209" t="s">
        <v>3213</v>
      </c>
      <c r="AY1398" s="2211" t="s">
        <v>3285</v>
      </c>
    </row>
    <row r="1399" spans="2:65" s="2216" customFormat="1">
      <c r="B1399" s="2217"/>
      <c r="D1399" s="2197" t="s">
        <v>3303</v>
      </c>
      <c r="E1399" s="2218" t="s">
        <v>3146</v>
      </c>
      <c r="F1399" s="2219" t="s">
        <v>3306</v>
      </c>
      <c r="H1399" s="2220">
        <v>3</v>
      </c>
      <c r="L1399" s="2217"/>
      <c r="M1399" s="2221"/>
      <c r="T1399" s="2222"/>
      <c r="AT1399" s="2218" t="s">
        <v>3303</v>
      </c>
      <c r="AU1399" s="2218" t="s">
        <v>134</v>
      </c>
      <c r="AV1399" s="2216" t="s">
        <v>856</v>
      </c>
      <c r="AW1399" s="2216" t="s">
        <v>3171</v>
      </c>
      <c r="AX1399" s="2216" t="s">
        <v>133</v>
      </c>
      <c r="AY1399" s="2218" t="s">
        <v>3285</v>
      </c>
    </row>
    <row r="1400" spans="2:65" s="2070" customFormat="1" ht="24.2" customHeight="1">
      <c r="B1400" s="2164"/>
      <c r="C1400" s="4608" t="s">
        <v>11428</v>
      </c>
      <c r="D1400" s="4608" t="s">
        <v>3286</v>
      </c>
      <c r="E1400" s="4609" t="s">
        <v>5624</v>
      </c>
      <c r="F1400" s="4610" t="s">
        <v>5625</v>
      </c>
      <c r="G1400" s="4611" t="s">
        <v>155</v>
      </c>
      <c r="H1400" s="4612">
        <v>1</v>
      </c>
      <c r="I1400" s="4613"/>
      <c r="J1400" s="4613">
        <f>ROUND(I1400*H1400,2)</f>
        <v>0</v>
      </c>
      <c r="K1400" s="4610" t="s">
        <v>142</v>
      </c>
      <c r="L1400" s="2071"/>
      <c r="M1400" s="2190" t="s">
        <v>3146</v>
      </c>
      <c r="N1400" s="2163" t="s">
        <v>3181</v>
      </c>
      <c r="O1400" s="2191">
        <v>11.816000000000001</v>
      </c>
      <c r="P1400" s="2191">
        <f>O1400*H1400</f>
        <v>11.816000000000001</v>
      </c>
      <c r="Q1400" s="2191">
        <v>0</v>
      </c>
      <c r="R1400" s="2191">
        <f>Q1400*H1400</f>
        <v>0</v>
      </c>
      <c r="S1400" s="2191">
        <v>0</v>
      </c>
      <c r="T1400" s="2192">
        <f>S1400*H1400</f>
        <v>0</v>
      </c>
      <c r="AR1400" s="2193" t="s">
        <v>2894</v>
      </c>
      <c r="AT1400" s="2193" t="s">
        <v>3286</v>
      </c>
      <c r="AU1400" s="2193" t="s">
        <v>134</v>
      </c>
      <c r="AY1400" s="2056" t="s">
        <v>3285</v>
      </c>
      <c r="BE1400" s="2194">
        <f>IF(N1400="základní",J1400,0)</f>
        <v>0</v>
      </c>
      <c r="BF1400" s="2194">
        <f>IF(N1400="snížená",J1400,0)</f>
        <v>0</v>
      </c>
      <c r="BG1400" s="2194">
        <f>IF(N1400="zákl. přenesená",J1400,0)</f>
        <v>0</v>
      </c>
      <c r="BH1400" s="2194">
        <f>IF(N1400="sníž. přenesená",J1400,0)</f>
        <v>0</v>
      </c>
      <c r="BI1400" s="2194">
        <f>IF(N1400="nulová",J1400,0)</f>
        <v>0</v>
      </c>
      <c r="BJ1400" s="2056" t="s">
        <v>134</v>
      </c>
      <c r="BK1400" s="2194">
        <f>ROUND(I1400*H1400,2)</f>
        <v>0</v>
      </c>
      <c r="BL1400" s="2056" t="s">
        <v>2894</v>
      </c>
      <c r="BM1400" s="2193" t="s">
        <v>5626</v>
      </c>
    </row>
    <row r="1401" spans="2:65" s="2195" customFormat="1">
      <c r="B1401" s="2196"/>
      <c r="D1401" s="2197" t="s">
        <v>3303</v>
      </c>
      <c r="E1401" s="2198" t="s">
        <v>3146</v>
      </c>
      <c r="F1401" s="2199" t="s">
        <v>5627</v>
      </c>
      <c r="H1401" s="2198" t="s">
        <v>3146</v>
      </c>
      <c r="L1401" s="2196"/>
      <c r="M1401" s="2200"/>
      <c r="T1401" s="2201"/>
      <c r="AT1401" s="2198" t="s">
        <v>3303</v>
      </c>
      <c r="AU1401" s="2198" t="s">
        <v>134</v>
      </c>
      <c r="AV1401" s="2195" t="s">
        <v>133</v>
      </c>
      <c r="AW1401" s="2195" t="s">
        <v>3171</v>
      </c>
      <c r="AX1401" s="2195" t="s">
        <v>3213</v>
      </c>
      <c r="AY1401" s="2198" t="s">
        <v>3285</v>
      </c>
    </row>
    <row r="1402" spans="2:65" s="2209" customFormat="1">
      <c r="B1402" s="2210"/>
      <c r="D1402" s="2197" t="s">
        <v>3303</v>
      </c>
      <c r="E1402" s="2211" t="s">
        <v>3146</v>
      </c>
      <c r="F1402" s="2212" t="s">
        <v>133</v>
      </c>
      <c r="H1402" s="2213">
        <v>1</v>
      </c>
      <c r="L1402" s="2210"/>
      <c r="M1402" s="2214"/>
      <c r="T1402" s="2215"/>
      <c r="AT1402" s="2211" t="s">
        <v>3303</v>
      </c>
      <c r="AU1402" s="2211" t="s">
        <v>134</v>
      </c>
      <c r="AV1402" s="2209" t="s">
        <v>134</v>
      </c>
      <c r="AW1402" s="2209" t="s">
        <v>3171</v>
      </c>
      <c r="AX1402" s="2209" t="s">
        <v>133</v>
      </c>
      <c r="AY1402" s="2211" t="s">
        <v>3285</v>
      </c>
    </row>
    <row r="1403" spans="2:65" s="2070" customFormat="1" ht="24.2" customHeight="1">
      <c r="B1403" s="2164"/>
      <c r="C1403" s="4614" t="s">
        <v>11429</v>
      </c>
      <c r="D1403" s="4614" t="s">
        <v>135</v>
      </c>
      <c r="E1403" s="4615" t="s">
        <v>5628</v>
      </c>
      <c r="F1403" s="4616" t="s">
        <v>5629</v>
      </c>
      <c r="G1403" s="4617" t="s">
        <v>155</v>
      </c>
      <c r="H1403" s="4618">
        <v>1</v>
      </c>
      <c r="I1403" s="4619"/>
      <c r="J1403" s="4619">
        <f>ROUND(I1403*H1403,2)</f>
        <v>0</v>
      </c>
      <c r="K1403" s="4616" t="s">
        <v>3146</v>
      </c>
      <c r="L1403" s="2223"/>
      <c r="M1403" s="2224" t="s">
        <v>3146</v>
      </c>
      <c r="N1403" s="2225" t="s">
        <v>3181</v>
      </c>
      <c r="O1403" s="2191">
        <v>0</v>
      </c>
      <c r="P1403" s="2191">
        <f>O1403*H1403</f>
        <v>0</v>
      </c>
      <c r="Q1403" s="2191">
        <v>8.5999999999999993E-2</v>
      </c>
      <c r="R1403" s="2191">
        <f>Q1403*H1403</f>
        <v>8.5999999999999993E-2</v>
      </c>
      <c r="S1403" s="2191">
        <v>0</v>
      </c>
      <c r="T1403" s="2192">
        <f>S1403*H1403</f>
        <v>0</v>
      </c>
      <c r="AR1403" s="2193" t="s">
        <v>3389</v>
      </c>
      <c r="AT1403" s="2193" t="s">
        <v>135</v>
      </c>
      <c r="AU1403" s="2193" t="s">
        <v>134</v>
      </c>
      <c r="AY1403" s="2056" t="s">
        <v>3285</v>
      </c>
      <c r="BE1403" s="2194">
        <f>IF(N1403="základní",J1403,0)</f>
        <v>0</v>
      </c>
      <c r="BF1403" s="2194">
        <f>IF(N1403="snížená",J1403,0)</f>
        <v>0</v>
      </c>
      <c r="BG1403" s="2194">
        <f>IF(N1403="zákl. přenesená",J1403,0)</f>
        <v>0</v>
      </c>
      <c r="BH1403" s="2194">
        <f>IF(N1403="sníž. přenesená",J1403,0)</f>
        <v>0</v>
      </c>
      <c r="BI1403" s="2194">
        <f>IF(N1403="nulová",J1403,0)</f>
        <v>0</v>
      </c>
      <c r="BJ1403" s="2056" t="s">
        <v>134</v>
      </c>
      <c r="BK1403" s="2194">
        <f>ROUND(I1403*H1403,2)</f>
        <v>0</v>
      </c>
      <c r="BL1403" s="2056" t="s">
        <v>2894</v>
      </c>
      <c r="BM1403" s="2193" t="s">
        <v>5630</v>
      </c>
    </row>
    <row r="1404" spans="2:65" s="2195" customFormat="1">
      <c r="B1404" s="2196"/>
      <c r="D1404" s="2197" t="s">
        <v>3303</v>
      </c>
      <c r="E1404" s="2198" t="s">
        <v>3146</v>
      </c>
      <c r="F1404" s="2199" t="s">
        <v>5631</v>
      </c>
      <c r="H1404" s="2198" t="s">
        <v>3146</v>
      </c>
      <c r="L1404" s="2196"/>
      <c r="M1404" s="2200"/>
      <c r="T1404" s="2201"/>
      <c r="AT1404" s="2198" t="s">
        <v>3303</v>
      </c>
      <c r="AU1404" s="2198" t="s">
        <v>134</v>
      </c>
      <c r="AV1404" s="2195" t="s">
        <v>133</v>
      </c>
      <c r="AW1404" s="2195" t="s">
        <v>3171</v>
      </c>
      <c r="AX1404" s="2195" t="s">
        <v>3213</v>
      </c>
      <c r="AY1404" s="2198" t="s">
        <v>3285</v>
      </c>
    </row>
    <row r="1405" spans="2:65" s="2209" customFormat="1">
      <c r="B1405" s="2210"/>
      <c r="D1405" s="2197" t="s">
        <v>3303</v>
      </c>
      <c r="E1405" s="2211" t="s">
        <v>3146</v>
      </c>
      <c r="F1405" s="2212" t="s">
        <v>133</v>
      </c>
      <c r="H1405" s="2213">
        <v>1</v>
      </c>
      <c r="L1405" s="2210"/>
      <c r="M1405" s="2214"/>
      <c r="T1405" s="2215"/>
      <c r="AT1405" s="2211" t="s">
        <v>3303</v>
      </c>
      <c r="AU1405" s="2211" t="s">
        <v>134</v>
      </c>
      <c r="AV1405" s="2209" t="s">
        <v>134</v>
      </c>
      <c r="AW1405" s="2209" t="s">
        <v>3171</v>
      </c>
      <c r="AX1405" s="2209" t="s">
        <v>133</v>
      </c>
      <c r="AY1405" s="2211" t="s">
        <v>3285</v>
      </c>
    </row>
    <row r="1406" spans="2:65" s="2070" customFormat="1" ht="16.5" customHeight="1">
      <c r="B1406" s="2164"/>
      <c r="C1406" s="4608" t="s">
        <v>11430</v>
      </c>
      <c r="D1406" s="4608" t="s">
        <v>3286</v>
      </c>
      <c r="E1406" s="4609" t="s">
        <v>5632</v>
      </c>
      <c r="F1406" s="4610" t="s">
        <v>5633</v>
      </c>
      <c r="G1406" s="4611" t="s">
        <v>611</v>
      </c>
      <c r="H1406" s="4612">
        <v>36.9</v>
      </c>
      <c r="I1406" s="4613"/>
      <c r="J1406" s="4613">
        <f>ROUND(I1406*H1406,2)</f>
        <v>0</v>
      </c>
      <c r="K1406" s="4610" t="s">
        <v>142</v>
      </c>
      <c r="L1406" s="2071"/>
      <c r="M1406" s="2190" t="s">
        <v>3146</v>
      </c>
      <c r="N1406" s="2163" t="s">
        <v>3181</v>
      </c>
      <c r="O1406" s="2191">
        <v>1.246</v>
      </c>
      <c r="P1406" s="2191">
        <f>O1406*H1406</f>
        <v>45.977399999999996</v>
      </c>
      <c r="Q1406" s="2191">
        <v>2.0000000000000001E-4</v>
      </c>
      <c r="R1406" s="2191">
        <f>Q1406*H1406</f>
        <v>7.3800000000000003E-3</v>
      </c>
      <c r="S1406" s="2191">
        <v>0</v>
      </c>
      <c r="T1406" s="2192">
        <f>S1406*H1406</f>
        <v>0</v>
      </c>
      <c r="AR1406" s="2193" t="s">
        <v>2894</v>
      </c>
      <c r="AT1406" s="2193" t="s">
        <v>3286</v>
      </c>
      <c r="AU1406" s="2193" t="s">
        <v>134</v>
      </c>
      <c r="AY1406" s="2056" t="s">
        <v>3285</v>
      </c>
      <c r="BE1406" s="2194">
        <f>IF(N1406="základní",J1406,0)</f>
        <v>0</v>
      </c>
      <c r="BF1406" s="2194">
        <f>IF(N1406="snížená",J1406,0)</f>
        <v>0</v>
      </c>
      <c r="BG1406" s="2194">
        <f>IF(N1406="zákl. přenesená",J1406,0)</f>
        <v>0</v>
      </c>
      <c r="BH1406" s="2194">
        <f>IF(N1406="sníž. přenesená",J1406,0)</f>
        <v>0</v>
      </c>
      <c r="BI1406" s="2194">
        <f>IF(N1406="nulová",J1406,0)</f>
        <v>0</v>
      </c>
      <c r="BJ1406" s="2056" t="s">
        <v>134</v>
      </c>
      <c r="BK1406" s="2194">
        <f>ROUND(I1406*H1406,2)</f>
        <v>0</v>
      </c>
      <c r="BL1406" s="2056" t="s">
        <v>2894</v>
      </c>
      <c r="BM1406" s="2193" t="s">
        <v>5634</v>
      </c>
    </row>
    <row r="1407" spans="2:65" s="2195" customFormat="1">
      <c r="B1407" s="2196"/>
      <c r="D1407" s="2197" t="s">
        <v>3303</v>
      </c>
      <c r="E1407" s="2198" t="s">
        <v>3146</v>
      </c>
      <c r="F1407" s="2199" t="s">
        <v>5532</v>
      </c>
      <c r="H1407" s="2198" t="s">
        <v>3146</v>
      </c>
      <c r="L1407" s="2196"/>
      <c r="M1407" s="2200"/>
      <c r="T1407" s="2201"/>
      <c r="AT1407" s="2198" t="s">
        <v>3303</v>
      </c>
      <c r="AU1407" s="2198" t="s">
        <v>134</v>
      </c>
      <c r="AV1407" s="2195" t="s">
        <v>133</v>
      </c>
      <c r="AW1407" s="2195" t="s">
        <v>3171</v>
      </c>
      <c r="AX1407" s="2195" t="s">
        <v>3213</v>
      </c>
      <c r="AY1407" s="2198" t="s">
        <v>3285</v>
      </c>
    </row>
    <row r="1408" spans="2:65" s="2209" customFormat="1">
      <c r="B1408" s="2210"/>
      <c r="D1408" s="2197" t="s">
        <v>3303</v>
      </c>
      <c r="E1408" s="2211" t="s">
        <v>3146</v>
      </c>
      <c r="F1408" s="2212" t="s">
        <v>5635</v>
      </c>
      <c r="H1408" s="2213">
        <v>6.5</v>
      </c>
      <c r="L1408" s="2210"/>
      <c r="M1408" s="2214"/>
      <c r="T1408" s="2215"/>
      <c r="AT1408" s="2211" t="s">
        <v>3303</v>
      </c>
      <c r="AU1408" s="2211" t="s">
        <v>134</v>
      </c>
      <c r="AV1408" s="2209" t="s">
        <v>134</v>
      </c>
      <c r="AW1408" s="2209" t="s">
        <v>3171</v>
      </c>
      <c r="AX1408" s="2209" t="s">
        <v>3213</v>
      </c>
      <c r="AY1408" s="2211" t="s">
        <v>3285</v>
      </c>
    </row>
    <row r="1409" spans="2:51" s="2209" customFormat="1">
      <c r="B1409" s="2210"/>
      <c r="D1409" s="2197" t="s">
        <v>3303</v>
      </c>
      <c r="E1409" s="2211" t="s">
        <v>3146</v>
      </c>
      <c r="F1409" s="2212" t="s">
        <v>5636</v>
      </c>
      <c r="H1409" s="2213">
        <v>-2.4</v>
      </c>
      <c r="L1409" s="2210"/>
      <c r="M1409" s="2214"/>
      <c r="T1409" s="2215"/>
      <c r="AT1409" s="2211" t="s">
        <v>3303</v>
      </c>
      <c r="AU1409" s="2211" t="s">
        <v>134</v>
      </c>
      <c r="AV1409" s="2209" t="s">
        <v>134</v>
      </c>
      <c r="AW1409" s="2209" t="s">
        <v>3171</v>
      </c>
      <c r="AX1409" s="2209" t="s">
        <v>3213</v>
      </c>
      <c r="AY1409" s="2211" t="s">
        <v>3285</v>
      </c>
    </row>
    <row r="1410" spans="2:51" s="2202" customFormat="1">
      <c r="B1410" s="2203"/>
      <c r="D1410" s="2197" t="s">
        <v>3303</v>
      </c>
      <c r="E1410" s="2204" t="s">
        <v>3146</v>
      </c>
      <c r="F1410" s="2205" t="s">
        <v>3305</v>
      </c>
      <c r="H1410" s="2206">
        <v>4.0999999999999996</v>
      </c>
      <c r="L1410" s="2203"/>
      <c r="M1410" s="2207"/>
      <c r="T1410" s="2208"/>
      <c r="AT1410" s="2204" t="s">
        <v>3303</v>
      </c>
      <c r="AU1410" s="2204" t="s">
        <v>134</v>
      </c>
      <c r="AV1410" s="2202" t="s">
        <v>854</v>
      </c>
      <c r="AW1410" s="2202" t="s">
        <v>3171</v>
      </c>
      <c r="AX1410" s="2202" t="s">
        <v>3213</v>
      </c>
      <c r="AY1410" s="2204" t="s">
        <v>3285</v>
      </c>
    </row>
    <row r="1411" spans="2:51" s="2195" customFormat="1">
      <c r="B1411" s="2196"/>
      <c r="D1411" s="2197" t="s">
        <v>3303</v>
      </c>
      <c r="E1411" s="2198" t="s">
        <v>3146</v>
      </c>
      <c r="F1411" s="2199" t="s">
        <v>5637</v>
      </c>
      <c r="H1411" s="2198" t="s">
        <v>3146</v>
      </c>
      <c r="L1411" s="2196"/>
      <c r="M1411" s="2200"/>
      <c r="T1411" s="2201"/>
      <c r="AT1411" s="2198" t="s">
        <v>3303</v>
      </c>
      <c r="AU1411" s="2198" t="s">
        <v>134</v>
      </c>
      <c r="AV1411" s="2195" t="s">
        <v>133</v>
      </c>
      <c r="AW1411" s="2195" t="s">
        <v>3171</v>
      </c>
      <c r="AX1411" s="2195" t="s">
        <v>3213</v>
      </c>
      <c r="AY1411" s="2198" t="s">
        <v>3285</v>
      </c>
    </row>
    <row r="1412" spans="2:51" s="2209" customFormat="1">
      <c r="B1412" s="2210"/>
      <c r="D1412" s="2197" t="s">
        <v>3303</v>
      </c>
      <c r="E1412" s="2211" t="s">
        <v>3146</v>
      </c>
      <c r="F1412" s="2212" t="s">
        <v>5635</v>
      </c>
      <c r="H1412" s="2213">
        <v>6.5</v>
      </c>
      <c r="L1412" s="2210"/>
      <c r="M1412" s="2214"/>
      <c r="T1412" s="2215"/>
      <c r="AT1412" s="2211" t="s">
        <v>3303</v>
      </c>
      <c r="AU1412" s="2211" t="s">
        <v>134</v>
      </c>
      <c r="AV1412" s="2209" t="s">
        <v>134</v>
      </c>
      <c r="AW1412" s="2209" t="s">
        <v>3171</v>
      </c>
      <c r="AX1412" s="2209" t="s">
        <v>3213</v>
      </c>
      <c r="AY1412" s="2211" t="s">
        <v>3285</v>
      </c>
    </row>
    <row r="1413" spans="2:51" s="2209" customFormat="1">
      <c r="B1413" s="2210"/>
      <c r="D1413" s="2197" t="s">
        <v>3303</v>
      </c>
      <c r="E1413" s="2211" t="s">
        <v>3146</v>
      </c>
      <c r="F1413" s="2212" t="s">
        <v>5636</v>
      </c>
      <c r="H1413" s="2213">
        <v>-2.4</v>
      </c>
      <c r="L1413" s="2210"/>
      <c r="M1413" s="2214"/>
      <c r="T1413" s="2215"/>
      <c r="AT1413" s="2211" t="s">
        <v>3303</v>
      </c>
      <c r="AU1413" s="2211" t="s">
        <v>134</v>
      </c>
      <c r="AV1413" s="2209" t="s">
        <v>134</v>
      </c>
      <c r="AW1413" s="2209" t="s">
        <v>3171</v>
      </c>
      <c r="AX1413" s="2209" t="s">
        <v>3213</v>
      </c>
      <c r="AY1413" s="2211" t="s">
        <v>3285</v>
      </c>
    </row>
    <row r="1414" spans="2:51" s="2202" customFormat="1">
      <c r="B1414" s="2203"/>
      <c r="D1414" s="2197" t="s">
        <v>3303</v>
      </c>
      <c r="E1414" s="2204" t="s">
        <v>3146</v>
      </c>
      <c r="F1414" s="2205" t="s">
        <v>3305</v>
      </c>
      <c r="H1414" s="2206">
        <v>4.0999999999999996</v>
      </c>
      <c r="L1414" s="2203"/>
      <c r="M1414" s="2207"/>
      <c r="T1414" s="2208"/>
      <c r="AT1414" s="2204" t="s">
        <v>3303</v>
      </c>
      <c r="AU1414" s="2204" t="s">
        <v>134</v>
      </c>
      <c r="AV1414" s="2202" t="s">
        <v>854</v>
      </c>
      <c r="AW1414" s="2202" t="s">
        <v>3171</v>
      </c>
      <c r="AX1414" s="2202" t="s">
        <v>3213</v>
      </c>
      <c r="AY1414" s="2204" t="s">
        <v>3285</v>
      </c>
    </row>
    <row r="1415" spans="2:51" s="2195" customFormat="1">
      <c r="B1415" s="2196"/>
      <c r="D1415" s="2197" t="s">
        <v>3303</v>
      </c>
      <c r="E1415" s="2198" t="s">
        <v>3146</v>
      </c>
      <c r="F1415" s="2199" t="s">
        <v>5535</v>
      </c>
      <c r="H1415" s="2198" t="s">
        <v>3146</v>
      </c>
      <c r="L1415" s="2196"/>
      <c r="M1415" s="2200"/>
      <c r="T1415" s="2201"/>
      <c r="AT1415" s="2198" t="s">
        <v>3303</v>
      </c>
      <c r="AU1415" s="2198" t="s">
        <v>134</v>
      </c>
      <c r="AV1415" s="2195" t="s">
        <v>133</v>
      </c>
      <c r="AW1415" s="2195" t="s">
        <v>3171</v>
      </c>
      <c r="AX1415" s="2195" t="s">
        <v>3213</v>
      </c>
      <c r="AY1415" s="2198" t="s">
        <v>3285</v>
      </c>
    </row>
    <row r="1416" spans="2:51" s="2209" customFormat="1">
      <c r="B1416" s="2210"/>
      <c r="D1416" s="2197" t="s">
        <v>3303</v>
      </c>
      <c r="E1416" s="2211" t="s">
        <v>3146</v>
      </c>
      <c r="F1416" s="2212" t="s">
        <v>5635</v>
      </c>
      <c r="H1416" s="2213">
        <v>6.5</v>
      </c>
      <c r="L1416" s="2210"/>
      <c r="M1416" s="2214"/>
      <c r="T1416" s="2215"/>
      <c r="AT1416" s="2211" t="s">
        <v>3303</v>
      </c>
      <c r="AU1416" s="2211" t="s">
        <v>134</v>
      </c>
      <c r="AV1416" s="2209" t="s">
        <v>134</v>
      </c>
      <c r="AW1416" s="2209" t="s">
        <v>3171</v>
      </c>
      <c r="AX1416" s="2209" t="s">
        <v>3213</v>
      </c>
      <c r="AY1416" s="2211" t="s">
        <v>3285</v>
      </c>
    </row>
    <row r="1417" spans="2:51" s="2209" customFormat="1">
      <c r="B1417" s="2210"/>
      <c r="D1417" s="2197" t="s">
        <v>3303</v>
      </c>
      <c r="E1417" s="2211" t="s">
        <v>3146</v>
      </c>
      <c r="F1417" s="2212" t="s">
        <v>5636</v>
      </c>
      <c r="H1417" s="2213">
        <v>-2.4</v>
      </c>
      <c r="L1417" s="2210"/>
      <c r="M1417" s="2214"/>
      <c r="T1417" s="2215"/>
      <c r="AT1417" s="2211" t="s">
        <v>3303</v>
      </c>
      <c r="AU1417" s="2211" t="s">
        <v>134</v>
      </c>
      <c r="AV1417" s="2209" t="s">
        <v>134</v>
      </c>
      <c r="AW1417" s="2209" t="s">
        <v>3171</v>
      </c>
      <c r="AX1417" s="2209" t="s">
        <v>3213</v>
      </c>
      <c r="AY1417" s="2211" t="s">
        <v>3285</v>
      </c>
    </row>
    <row r="1418" spans="2:51" s="2202" customFormat="1">
      <c r="B1418" s="2203"/>
      <c r="D1418" s="2197" t="s">
        <v>3303</v>
      </c>
      <c r="E1418" s="2204" t="s">
        <v>3146</v>
      </c>
      <c r="F1418" s="2205" t="s">
        <v>3305</v>
      </c>
      <c r="H1418" s="2206">
        <v>4.0999999999999996</v>
      </c>
      <c r="L1418" s="2203"/>
      <c r="M1418" s="2207"/>
      <c r="T1418" s="2208"/>
      <c r="AT1418" s="2204" t="s">
        <v>3303</v>
      </c>
      <c r="AU1418" s="2204" t="s">
        <v>134</v>
      </c>
      <c r="AV1418" s="2202" t="s">
        <v>854</v>
      </c>
      <c r="AW1418" s="2202" t="s">
        <v>3171</v>
      </c>
      <c r="AX1418" s="2202" t="s">
        <v>3213</v>
      </c>
      <c r="AY1418" s="2204" t="s">
        <v>3285</v>
      </c>
    </row>
    <row r="1419" spans="2:51" s="2195" customFormat="1">
      <c r="B1419" s="2196"/>
      <c r="D1419" s="2197" t="s">
        <v>3303</v>
      </c>
      <c r="E1419" s="2198" t="s">
        <v>3146</v>
      </c>
      <c r="F1419" s="2199" t="s">
        <v>5536</v>
      </c>
      <c r="H1419" s="2198" t="s">
        <v>3146</v>
      </c>
      <c r="L1419" s="2196"/>
      <c r="M1419" s="2200"/>
      <c r="T1419" s="2201"/>
      <c r="AT1419" s="2198" t="s">
        <v>3303</v>
      </c>
      <c r="AU1419" s="2198" t="s">
        <v>134</v>
      </c>
      <c r="AV1419" s="2195" t="s">
        <v>133</v>
      </c>
      <c r="AW1419" s="2195" t="s">
        <v>3171</v>
      </c>
      <c r="AX1419" s="2195" t="s">
        <v>3213</v>
      </c>
      <c r="AY1419" s="2198" t="s">
        <v>3285</v>
      </c>
    </row>
    <row r="1420" spans="2:51" s="2209" customFormat="1">
      <c r="B1420" s="2210"/>
      <c r="D1420" s="2197" t="s">
        <v>3303</v>
      </c>
      <c r="E1420" s="2211" t="s">
        <v>3146</v>
      </c>
      <c r="F1420" s="2212" t="s">
        <v>5635</v>
      </c>
      <c r="H1420" s="2213">
        <v>6.5</v>
      </c>
      <c r="L1420" s="2210"/>
      <c r="M1420" s="2214"/>
      <c r="T1420" s="2215"/>
      <c r="AT1420" s="2211" t="s">
        <v>3303</v>
      </c>
      <c r="AU1420" s="2211" t="s">
        <v>134</v>
      </c>
      <c r="AV1420" s="2209" t="s">
        <v>134</v>
      </c>
      <c r="AW1420" s="2209" t="s">
        <v>3171</v>
      </c>
      <c r="AX1420" s="2209" t="s">
        <v>3213</v>
      </c>
      <c r="AY1420" s="2211" t="s">
        <v>3285</v>
      </c>
    </row>
    <row r="1421" spans="2:51" s="2209" customFormat="1">
      <c r="B1421" s="2210"/>
      <c r="D1421" s="2197" t="s">
        <v>3303</v>
      </c>
      <c r="E1421" s="2211" t="s">
        <v>3146</v>
      </c>
      <c r="F1421" s="2212" t="s">
        <v>5636</v>
      </c>
      <c r="H1421" s="2213">
        <v>-2.4</v>
      </c>
      <c r="L1421" s="2210"/>
      <c r="M1421" s="2214"/>
      <c r="T1421" s="2215"/>
      <c r="AT1421" s="2211" t="s">
        <v>3303</v>
      </c>
      <c r="AU1421" s="2211" t="s">
        <v>134</v>
      </c>
      <c r="AV1421" s="2209" t="s">
        <v>134</v>
      </c>
      <c r="AW1421" s="2209" t="s">
        <v>3171</v>
      </c>
      <c r="AX1421" s="2209" t="s">
        <v>3213</v>
      </c>
      <c r="AY1421" s="2211" t="s">
        <v>3285</v>
      </c>
    </row>
    <row r="1422" spans="2:51" s="2202" customFormat="1">
      <c r="B1422" s="2203"/>
      <c r="D1422" s="2197" t="s">
        <v>3303</v>
      </c>
      <c r="E1422" s="2204" t="s">
        <v>3146</v>
      </c>
      <c r="F1422" s="2205" t="s">
        <v>3305</v>
      </c>
      <c r="H1422" s="2206">
        <v>4.0999999999999996</v>
      </c>
      <c r="L1422" s="2203"/>
      <c r="M1422" s="2207"/>
      <c r="T1422" s="2208"/>
      <c r="AT1422" s="2204" t="s">
        <v>3303</v>
      </c>
      <c r="AU1422" s="2204" t="s">
        <v>134</v>
      </c>
      <c r="AV1422" s="2202" t="s">
        <v>854</v>
      </c>
      <c r="AW1422" s="2202" t="s">
        <v>3171</v>
      </c>
      <c r="AX1422" s="2202" t="s">
        <v>3213</v>
      </c>
      <c r="AY1422" s="2204" t="s">
        <v>3285</v>
      </c>
    </row>
    <row r="1423" spans="2:51" s="2195" customFormat="1">
      <c r="B1423" s="2196"/>
      <c r="D1423" s="2197" t="s">
        <v>3303</v>
      </c>
      <c r="E1423" s="2198" t="s">
        <v>3146</v>
      </c>
      <c r="F1423" s="2199" t="s">
        <v>5538</v>
      </c>
      <c r="H1423" s="2198" t="s">
        <v>3146</v>
      </c>
      <c r="L1423" s="2196"/>
      <c r="M1423" s="2200"/>
      <c r="T1423" s="2201"/>
      <c r="AT1423" s="2198" t="s">
        <v>3303</v>
      </c>
      <c r="AU1423" s="2198" t="s">
        <v>134</v>
      </c>
      <c r="AV1423" s="2195" t="s">
        <v>133</v>
      </c>
      <c r="AW1423" s="2195" t="s">
        <v>3171</v>
      </c>
      <c r="AX1423" s="2195" t="s">
        <v>3213</v>
      </c>
      <c r="AY1423" s="2198" t="s">
        <v>3285</v>
      </c>
    </row>
    <row r="1424" spans="2:51" s="2209" customFormat="1">
      <c r="B1424" s="2210"/>
      <c r="D1424" s="2197" t="s">
        <v>3303</v>
      </c>
      <c r="E1424" s="2211" t="s">
        <v>3146</v>
      </c>
      <c r="F1424" s="2212" t="s">
        <v>5635</v>
      </c>
      <c r="H1424" s="2213">
        <v>6.5</v>
      </c>
      <c r="L1424" s="2210"/>
      <c r="M1424" s="2214"/>
      <c r="T1424" s="2215"/>
      <c r="AT1424" s="2211" t="s">
        <v>3303</v>
      </c>
      <c r="AU1424" s="2211" t="s">
        <v>134</v>
      </c>
      <c r="AV1424" s="2209" t="s">
        <v>134</v>
      </c>
      <c r="AW1424" s="2209" t="s">
        <v>3171</v>
      </c>
      <c r="AX1424" s="2209" t="s">
        <v>3213</v>
      </c>
      <c r="AY1424" s="2211" t="s">
        <v>3285</v>
      </c>
    </row>
    <row r="1425" spans="2:51" s="2209" customFormat="1">
      <c r="B1425" s="2210"/>
      <c r="D1425" s="2197" t="s">
        <v>3303</v>
      </c>
      <c r="E1425" s="2211" t="s">
        <v>3146</v>
      </c>
      <c r="F1425" s="2212" t="s">
        <v>5636</v>
      </c>
      <c r="H1425" s="2213">
        <v>-2.4</v>
      </c>
      <c r="L1425" s="2210"/>
      <c r="M1425" s="2214"/>
      <c r="T1425" s="2215"/>
      <c r="AT1425" s="2211" t="s">
        <v>3303</v>
      </c>
      <c r="AU1425" s="2211" t="s">
        <v>134</v>
      </c>
      <c r="AV1425" s="2209" t="s">
        <v>134</v>
      </c>
      <c r="AW1425" s="2209" t="s">
        <v>3171</v>
      </c>
      <c r="AX1425" s="2209" t="s">
        <v>3213</v>
      </c>
      <c r="AY1425" s="2211" t="s">
        <v>3285</v>
      </c>
    </row>
    <row r="1426" spans="2:51" s="2202" customFormat="1">
      <c r="B1426" s="2203"/>
      <c r="D1426" s="2197" t="s">
        <v>3303</v>
      </c>
      <c r="E1426" s="2204" t="s">
        <v>3146</v>
      </c>
      <c r="F1426" s="2205" t="s">
        <v>3305</v>
      </c>
      <c r="H1426" s="2206">
        <v>4.0999999999999996</v>
      </c>
      <c r="L1426" s="2203"/>
      <c r="M1426" s="2207"/>
      <c r="T1426" s="2208"/>
      <c r="AT1426" s="2204" t="s">
        <v>3303</v>
      </c>
      <c r="AU1426" s="2204" t="s">
        <v>134</v>
      </c>
      <c r="AV1426" s="2202" t="s">
        <v>854</v>
      </c>
      <c r="AW1426" s="2202" t="s">
        <v>3171</v>
      </c>
      <c r="AX1426" s="2202" t="s">
        <v>3213</v>
      </c>
      <c r="AY1426" s="2204" t="s">
        <v>3285</v>
      </c>
    </row>
    <row r="1427" spans="2:51" s="2195" customFormat="1">
      <c r="B1427" s="2196"/>
      <c r="D1427" s="2197" t="s">
        <v>3303</v>
      </c>
      <c r="E1427" s="2198" t="s">
        <v>3146</v>
      </c>
      <c r="F1427" s="2199" t="s">
        <v>5539</v>
      </c>
      <c r="H1427" s="2198" t="s">
        <v>3146</v>
      </c>
      <c r="L1427" s="2196"/>
      <c r="M1427" s="2200"/>
      <c r="T1427" s="2201"/>
      <c r="AT1427" s="2198" t="s">
        <v>3303</v>
      </c>
      <c r="AU1427" s="2198" t="s">
        <v>134</v>
      </c>
      <c r="AV1427" s="2195" t="s">
        <v>133</v>
      </c>
      <c r="AW1427" s="2195" t="s">
        <v>3171</v>
      </c>
      <c r="AX1427" s="2195" t="s">
        <v>3213</v>
      </c>
      <c r="AY1427" s="2198" t="s">
        <v>3285</v>
      </c>
    </row>
    <row r="1428" spans="2:51" s="2209" customFormat="1">
      <c r="B1428" s="2210"/>
      <c r="D1428" s="2197" t="s">
        <v>3303</v>
      </c>
      <c r="E1428" s="2211" t="s">
        <v>3146</v>
      </c>
      <c r="F1428" s="2212" t="s">
        <v>5635</v>
      </c>
      <c r="H1428" s="2213">
        <v>6.5</v>
      </c>
      <c r="L1428" s="2210"/>
      <c r="M1428" s="2214"/>
      <c r="T1428" s="2215"/>
      <c r="AT1428" s="2211" t="s">
        <v>3303</v>
      </c>
      <c r="AU1428" s="2211" t="s">
        <v>134</v>
      </c>
      <c r="AV1428" s="2209" t="s">
        <v>134</v>
      </c>
      <c r="AW1428" s="2209" t="s">
        <v>3171</v>
      </c>
      <c r="AX1428" s="2209" t="s">
        <v>3213</v>
      </c>
      <c r="AY1428" s="2211" t="s">
        <v>3285</v>
      </c>
    </row>
    <row r="1429" spans="2:51" s="2209" customFormat="1">
      <c r="B1429" s="2210"/>
      <c r="D1429" s="2197" t="s">
        <v>3303</v>
      </c>
      <c r="E1429" s="2211" t="s">
        <v>3146</v>
      </c>
      <c r="F1429" s="2212" t="s">
        <v>5636</v>
      </c>
      <c r="H1429" s="2213">
        <v>-2.4</v>
      </c>
      <c r="L1429" s="2210"/>
      <c r="M1429" s="2214"/>
      <c r="T1429" s="2215"/>
      <c r="AT1429" s="2211" t="s">
        <v>3303</v>
      </c>
      <c r="AU1429" s="2211" t="s">
        <v>134</v>
      </c>
      <c r="AV1429" s="2209" t="s">
        <v>134</v>
      </c>
      <c r="AW1429" s="2209" t="s">
        <v>3171</v>
      </c>
      <c r="AX1429" s="2209" t="s">
        <v>3213</v>
      </c>
      <c r="AY1429" s="2211" t="s">
        <v>3285</v>
      </c>
    </row>
    <row r="1430" spans="2:51" s="2202" customFormat="1">
      <c r="B1430" s="2203"/>
      <c r="D1430" s="2197" t="s">
        <v>3303</v>
      </c>
      <c r="E1430" s="2204" t="s">
        <v>3146</v>
      </c>
      <c r="F1430" s="2205" t="s">
        <v>3305</v>
      </c>
      <c r="H1430" s="2206">
        <v>4.0999999999999996</v>
      </c>
      <c r="L1430" s="2203"/>
      <c r="M1430" s="2207"/>
      <c r="T1430" s="2208"/>
      <c r="AT1430" s="2204" t="s">
        <v>3303</v>
      </c>
      <c r="AU1430" s="2204" t="s">
        <v>134</v>
      </c>
      <c r="AV1430" s="2202" t="s">
        <v>854</v>
      </c>
      <c r="AW1430" s="2202" t="s">
        <v>3171</v>
      </c>
      <c r="AX1430" s="2202" t="s">
        <v>3213</v>
      </c>
      <c r="AY1430" s="2204" t="s">
        <v>3285</v>
      </c>
    </row>
    <row r="1431" spans="2:51" s="2195" customFormat="1">
      <c r="B1431" s="2196"/>
      <c r="D1431" s="2197" t="s">
        <v>3303</v>
      </c>
      <c r="E1431" s="2198" t="s">
        <v>3146</v>
      </c>
      <c r="F1431" s="2199" t="s">
        <v>5540</v>
      </c>
      <c r="H1431" s="2198" t="s">
        <v>3146</v>
      </c>
      <c r="L1431" s="2196"/>
      <c r="M1431" s="2200"/>
      <c r="T1431" s="2201"/>
      <c r="AT1431" s="2198" t="s">
        <v>3303</v>
      </c>
      <c r="AU1431" s="2198" t="s">
        <v>134</v>
      </c>
      <c r="AV1431" s="2195" t="s">
        <v>133</v>
      </c>
      <c r="AW1431" s="2195" t="s">
        <v>3171</v>
      </c>
      <c r="AX1431" s="2195" t="s">
        <v>3213</v>
      </c>
      <c r="AY1431" s="2198" t="s">
        <v>3285</v>
      </c>
    </row>
    <row r="1432" spans="2:51" s="2209" customFormat="1">
      <c r="B1432" s="2210"/>
      <c r="D1432" s="2197" t="s">
        <v>3303</v>
      </c>
      <c r="E1432" s="2211" t="s">
        <v>3146</v>
      </c>
      <c r="F1432" s="2212" t="s">
        <v>5635</v>
      </c>
      <c r="H1432" s="2213">
        <v>6.5</v>
      </c>
      <c r="L1432" s="2210"/>
      <c r="M1432" s="2214"/>
      <c r="T1432" s="2215"/>
      <c r="AT1432" s="2211" t="s">
        <v>3303</v>
      </c>
      <c r="AU1432" s="2211" t="s">
        <v>134</v>
      </c>
      <c r="AV1432" s="2209" t="s">
        <v>134</v>
      </c>
      <c r="AW1432" s="2209" t="s">
        <v>3171</v>
      </c>
      <c r="AX1432" s="2209" t="s">
        <v>3213</v>
      </c>
      <c r="AY1432" s="2211" t="s">
        <v>3285</v>
      </c>
    </row>
    <row r="1433" spans="2:51" s="2209" customFormat="1">
      <c r="B1433" s="2210"/>
      <c r="D1433" s="2197" t="s">
        <v>3303</v>
      </c>
      <c r="E1433" s="2211" t="s">
        <v>3146</v>
      </c>
      <c r="F1433" s="2212" t="s">
        <v>5636</v>
      </c>
      <c r="H1433" s="2213">
        <v>-2.4</v>
      </c>
      <c r="L1433" s="2210"/>
      <c r="M1433" s="2214"/>
      <c r="T1433" s="2215"/>
      <c r="AT1433" s="2211" t="s">
        <v>3303</v>
      </c>
      <c r="AU1433" s="2211" t="s">
        <v>134</v>
      </c>
      <c r="AV1433" s="2209" t="s">
        <v>134</v>
      </c>
      <c r="AW1433" s="2209" t="s">
        <v>3171</v>
      </c>
      <c r="AX1433" s="2209" t="s">
        <v>3213</v>
      </c>
      <c r="AY1433" s="2211" t="s">
        <v>3285</v>
      </c>
    </row>
    <row r="1434" spans="2:51" s="2202" customFormat="1">
      <c r="B1434" s="2203"/>
      <c r="D1434" s="2197" t="s">
        <v>3303</v>
      </c>
      <c r="E1434" s="2204" t="s">
        <v>3146</v>
      </c>
      <c r="F1434" s="2205" t="s">
        <v>3305</v>
      </c>
      <c r="H1434" s="2206">
        <v>4.0999999999999996</v>
      </c>
      <c r="L1434" s="2203"/>
      <c r="M1434" s="2207"/>
      <c r="T1434" s="2208"/>
      <c r="AT1434" s="2204" t="s">
        <v>3303</v>
      </c>
      <c r="AU1434" s="2204" t="s">
        <v>134</v>
      </c>
      <c r="AV1434" s="2202" t="s">
        <v>854</v>
      </c>
      <c r="AW1434" s="2202" t="s">
        <v>3171</v>
      </c>
      <c r="AX1434" s="2202" t="s">
        <v>3213</v>
      </c>
      <c r="AY1434" s="2204" t="s">
        <v>3285</v>
      </c>
    </row>
    <row r="1435" spans="2:51" s="2195" customFormat="1">
      <c r="B1435" s="2196"/>
      <c r="D1435" s="2197" t="s">
        <v>3303</v>
      </c>
      <c r="E1435" s="2198" t="s">
        <v>3146</v>
      </c>
      <c r="F1435" s="2199" t="s">
        <v>5542</v>
      </c>
      <c r="H1435" s="2198" t="s">
        <v>3146</v>
      </c>
      <c r="L1435" s="2196"/>
      <c r="M1435" s="2200"/>
      <c r="T1435" s="2201"/>
      <c r="AT1435" s="2198" t="s">
        <v>3303</v>
      </c>
      <c r="AU1435" s="2198" t="s">
        <v>134</v>
      </c>
      <c r="AV1435" s="2195" t="s">
        <v>133</v>
      </c>
      <c r="AW1435" s="2195" t="s">
        <v>3171</v>
      </c>
      <c r="AX1435" s="2195" t="s">
        <v>3213</v>
      </c>
      <c r="AY1435" s="2198" t="s">
        <v>3285</v>
      </c>
    </row>
    <row r="1436" spans="2:51" s="2209" customFormat="1">
      <c r="B1436" s="2210"/>
      <c r="D1436" s="2197" t="s">
        <v>3303</v>
      </c>
      <c r="E1436" s="2211" t="s">
        <v>3146</v>
      </c>
      <c r="F1436" s="2212" t="s">
        <v>5635</v>
      </c>
      <c r="H1436" s="2213">
        <v>6.5</v>
      </c>
      <c r="L1436" s="2210"/>
      <c r="M1436" s="2214"/>
      <c r="T1436" s="2215"/>
      <c r="AT1436" s="2211" t="s">
        <v>3303</v>
      </c>
      <c r="AU1436" s="2211" t="s">
        <v>134</v>
      </c>
      <c r="AV1436" s="2209" t="s">
        <v>134</v>
      </c>
      <c r="AW1436" s="2209" t="s">
        <v>3171</v>
      </c>
      <c r="AX1436" s="2209" t="s">
        <v>3213</v>
      </c>
      <c r="AY1436" s="2211" t="s">
        <v>3285</v>
      </c>
    </row>
    <row r="1437" spans="2:51" s="2209" customFormat="1">
      <c r="B1437" s="2210"/>
      <c r="D1437" s="2197" t="s">
        <v>3303</v>
      </c>
      <c r="E1437" s="2211" t="s">
        <v>3146</v>
      </c>
      <c r="F1437" s="2212" t="s">
        <v>5636</v>
      </c>
      <c r="H1437" s="2213">
        <v>-2.4</v>
      </c>
      <c r="L1437" s="2210"/>
      <c r="M1437" s="2214"/>
      <c r="T1437" s="2215"/>
      <c r="AT1437" s="2211" t="s">
        <v>3303</v>
      </c>
      <c r="AU1437" s="2211" t="s">
        <v>134</v>
      </c>
      <c r="AV1437" s="2209" t="s">
        <v>134</v>
      </c>
      <c r="AW1437" s="2209" t="s">
        <v>3171</v>
      </c>
      <c r="AX1437" s="2209" t="s">
        <v>3213</v>
      </c>
      <c r="AY1437" s="2211" t="s">
        <v>3285</v>
      </c>
    </row>
    <row r="1438" spans="2:51" s="2202" customFormat="1">
      <c r="B1438" s="2203"/>
      <c r="D1438" s="2197" t="s">
        <v>3303</v>
      </c>
      <c r="E1438" s="2204" t="s">
        <v>3146</v>
      </c>
      <c r="F1438" s="2205" t="s">
        <v>3305</v>
      </c>
      <c r="H1438" s="2206">
        <v>4.0999999999999996</v>
      </c>
      <c r="L1438" s="2203"/>
      <c r="M1438" s="2207"/>
      <c r="T1438" s="2208"/>
      <c r="AT1438" s="2204" t="s">
        <v>3303</v>
      </c>
      <c r="AU1438" s="2204" t="s">
        <v>134</v>
      </c>
      <c r="AV1438" s="2202" t="s">
        <v>854</v>
      </c>
      <c r="AW1438" s="2202" t="s">
        <v>3171</v>
      </c>
      <c r="AX1438" s="2202" t="s">
        <v>3213</v>
      </c>
      <c r="AY1438" s="2204" t="s">
        <v>3285</v>
      </c>
    </row>
    <row r="1439" spans="2:51" s="2195" customFormat="1">
      <c r="B1439" s="2196"/>
      <c r="D1439" s="2197" t="s">
        <v>3303</v>
      </c>
      <c r="E1439" s="2198" t="s">
        <v>3146</v>
      </c>
      <c r="F1439" s="2199" t="s">
        <v>5543</v>
      </c>
      <c r="H1439" s="2198" t="s">
        <v>3146</v>
      </c>
      <c r="L1439" s="2196"/>
      <c r="M1439" s="2200"/>
      <c r="T1439" s="2201"/>
      <c r="AT1439" s="2198" t="s">
        <v>3303</v>
      </c>
      <c r="AU1439" s="2198" t="s">
        <v>134</v>
      </c>
      <c r="AV1439" s="2195" t="s">
        <v>133</v>
      </c>
      <c r="AW1439" s="2195" t="s">
        <v>3171</v>
      </c>
      <c r="AX1439" s="2195" t="s">
        <v>3213</v>
      </c>
      <c r="AY1439" s="2198" t="s">
        <v>3285</v>
      </c>
    </row>
    <row r="1440" spans="2:51" s="2209" customFormat="1">
      <c r="B1440" s="2210"/>
      <c r="D1440" s="2197" t="s">
        <v>3303</v>
      </c>
      <c r="E1440" s="2211" t="s">
        <v>3146</v>
      </c>
      <c r="F1440" s="2212" t="s">
        <v>5635</v>
      </c>
      <c r="H1440" s="2213">
        <v>6.5</v>
      </c>
      <c r="L1440" s="2210"/>
      <c r="M1440" s="2214"/>
      <c r="T1440" s="2215"/>
      <c r="AT1440" s="2211" t="s">
        <v>3303</v>
      </c>
      <c r="AU1440" s="2211" t="s">
        <v>134</v>
      </c>
      <c r="AV1440" s="2209" t="s">
        <v>134</v>
      </c>
      <c r="AW1440" s="2209" t="s">
        <v>3171</v>
      </c>
      <c r="AX1440" s="2209" t="s">
        <v>3213</v>
      </c>
      <c r="AY1440" s="2211" t="s">
        <v>3285</v>
      </c>
    </row>
    <row r="1441" spans="2:65" s="2209" customFormat="1">
      <c r="B1441" s="2210"/>
      <c r="D1441" s="2197" t="s">
        <v>3303</v>
      </c>
      <c r="E1441" s="2211" t="s">
        <v>3146</v>
      </c>
      <c r="F1441" s="2212" t="s">
        <v>5636</v>
      </c>
      <c r="H1441" s="2213">
        <v>-2.4</v>
      </c>
      <c r="L1441" s="2210"/>
      <c r="M1441" s="2214"/>
      <c r="T1441" s="2215"/>
      <c r="AT1441" s="2211" t="s">
        <v>3303</v>
      </c>
      <c r="AU1441" s="2211" t="s">
        <v>134</v>
      </c>
      <c r="AV1441" s="2209" t="s">
        <v>134</v>
      </c>
      <c r="AW1441" s="2209" t="s">
        <v>3171</v>
      </c>
      <c r="AX1441" s="2209" t="s">
        <v>3213</v>
      </c>
      <c r="AY1441" s="2211" t="s">
        <v>3285</v>
      </c>
    </row>
    <row r="1442" spans="2:65" s="2202" customFormat="1">
      <c r="B1442" s="2203"/>
      <c r="D1442" s="2197" t="s">
        <v>3303</v>
      </c>
      <c r="E1442" s="2204" t="s">
        <v>3146</v>
      </c>
      <c r="F1442" s="2205" t="s">
        <v>3305</v>
      </c>
      <c r="H1442" s="2206">
        <v>4.0999999999999996</v>
      </c>
      <c r="L1442" s="2203"/>
      <c r="M1442" s="2207"/>
      <c r="T1442" s="2208"/>
      <c r="AT1442" s="2204" t="s">
        <v>3303</v>
      </c>
      <c r="AU1442" s="2204" t="s">
        <v>134</v>
      </c>
      <c r="AV1442" s="2202" t="s">
        <v>854</v>
      </c>
      <c r="AW1442" s="2202" t="s">
        <v>3171</v>
      </c>
      <c r="AX1442" s="2202" t="s">
        <v>3213</v>
      </c>
      <c r="AY1442" s="2204" t="s">
        <v>3285</v>
      </c>
    </row>
    <row r="1443" spans="2:65" s="2216" customFormat="1">
      <c r="B1443" s="2217"/>
      <c r="D1443" s="2197" t="s">
        <v>3303</v>
      </c>
      <c r="E1443" s="2218" t="s">
        <v>3146</v>
      </c>
      <c r="F1443" s="2219" t="s">
        <v>3306</v>
      </c>
      <c r="H1443" s="2220">
        <v>36.9</v>
      </c>
      <c r="L1443" s="2217"/>
      <c r="M1443" s="2221"/>
      <c r="T1443" s="2222"/>
      <c r="AT1443" s="2218" t="s">
        <v>3303</v>
      </c>
      <c r="AU1443" s="2218" t="s">
        <v>134</v>
      </c>
      <c r="AV1443" s="2216" t="s">
        <v>856</v>
      </c>
      <c r="AW1443" s="2216" t="s">
        <v>3171</v>
      </c>
      <c r="AX1443" s="2216" t="s">
        <v>133</v>
      </c>
      <c r="AY1443" s="2218" t="s">
        <v>3285</v>
      </c>
    </row>
    <row r="1444" spans="2:65" s="2070" customFormat="1" ht="24.2" customHeight="1">
      <c r="B1444" s="2164"/>
      <c r="C1444" s="4614" t="s">
        <v>11431</v>
      </c>
      <c r="D1444" s="4614" t="s">
        <v>135</v>
      </c>
      <c r="E1444" s="4615" t="s">
        <v>5638</v>
      </c>
      <c r="F1444" s="4616" t="s">
        <v>5639</v>
      </c>
      <c r="G1444" s="4617" t="s">
        <v>611</v>
      </c>
      <c r="H1444" s="4618">
        <v>46.125</v>
      </c>
      <c r="I1444" s="4619"/>
      <c r="J1444" s="4619">
        <f>ROUND(I1444*H1444,2)</f>
        <v>0</v>
      </c>
      <c r="K1444" s="4616" t="s">
        <v>142</v>
      </c>
      <c r="L1444" s="2223"/>
      <c r="M1444" s="2224" t="s">
        <v>3146</v>
      </c>
      <c r="N1444" s="2225" t="s">
        <v>3181</v>
      </c>
      <c r="O1444" s="2191">
        <v>0</v>
      </c>
      <c r="P1444" s="2191">
        <f>O1444*H1444</f>
        <v>0</v>
      </c>
      <c r="Q1444" s="2191">
        <v>3.8289999999999998E-2</v>
      </c>
      <c r="R1444" s="2191">
        <f>Q1444*H1444</f>
        <v>1.7661262499999999</v>
      </c>
      <c r="S1444" s="2191">
        <v>0</v>
      </c>
      <c r="T1444" s="2192">
        <f>S1444*H1444</f>
        <v>0</v>
      </c>
      <c r="AR1444" s="2193" t="s">
        <v>3389</v>
      </c>
      <c r="AT1444" s="2193" t="s">
        <v>135</v>
      </c>
      <c r="AU1444" s="2193" t="s">
        <v>134</v>
      </c>
      <c r="AY1444" s="2056" t="s">
        <v>3285</v>
      </c>
      <c r="BE1444" s="2194">
        <f>IF(N1444="základní",J1444,0)</f>
        <v>0</v>
      </c>
      <c r="BF1444" s="2194">
        <f>IF(N1444="snížená",J1444,0)</f>
        <v>0</v>
      </c>
      <c r="BG1444" s="2194">
        <f>IF(N1444="zákl. přenesená",J1444,0)</f>
        <v>0</v>
      </c>
      <c r="BH1444" s="2194">
        <f>IF(N1444="sníž. přenesená",J1444,0)</f>
        <v>0</v>
      </c>
      <c r="BI1444" s="2194">
        <f>IF(N1444="nulová",J1444,0)</f>
        <v>0</v>
      </c>
      <c r="BJ1444" s="2056" t="s">
        <v>134</v>
      </c>
      <c r="BK1444" s="2194">
        <f>ROUND(I1444*H1444,2)</f>
        <v>0</v>
      </c>
      <c r="BL1444" s="2056" t="s">
        <v>2894</v>
      </c>
      <c r="BM1444" s="2193" t="s">
        <v>5640</v>
      </c>
    </row>
    <row r="1445" spans="2:65" s="2195" customFormat="1">
      <c r="B1445" s="2196"/>
      <c r="D1445" s="2197" t="s">
        <v>3303</v>
      </c>
      <c r="E1445" s="2198" t="s">
        <v>3146</v>
      </c>
      <c r="F1445" s="2199" t="s">
        <v>5532</v>
      </c>
      <c r="H1445" s="2198" t="s">
        <v>3146</v>
      </c>
      <c r="L1445" s="2196"/>
      <c r="M1445" s="2200"/>
      <c r="T1445" s="2201"/>
      <c r="AT1445" s="2198" t="s">
        <v>3303</v>
      </c>
      <c r="AU1445" s="2198" t="s">
        <v>134</v>
      </c>
      <c r="AV1445" s="2195" t="s">
        <v>133</v>
      </c>
      <c r="AW1445" s="2195" t="s">
        <v>3171</v>
      </c>
      <c r="AX1445" s="2195" t="s">
        <v>3213</v>
      </c>
      <c r="AY1445" s="2198" t="s">
        <v>3285</v>
      </c>
    </row>
    <row r="1446" spans="2:65" s="2209" customFormat="1">
      <c r="B1446" s="2210"/>
      <c r="D1446" s="2197" t="s">
        <v>3303</v>
      </c>
      <c r="E1446" s="2211" t="s">
        <v>3146</v>
      </c>
      <c r="F1446" s="2212" t="s">
        <v>5635</v>
      </c>
      <c r="H1446" s="2213">
        <v>6.5</v>
      </c>
      <c r="L1446" s="2210"/>
      <c r="M1446" s="2214"/>
      <c r="T1446" s="2215"/>
      <c r="AT1446" s="2211" t="s">
        <v>3303</v>
      </c>
      <c r="AU1446" s="2211" t="s">
        <v>134</v>
      </c>
      <c r="AV1446" s="2209" t="s">
        <v>134</v>
      </c>
      <c r="AW1446" s="2209" t="s">
        <v>3171</v>
      </c>
      <c r="AX1446" s="2209" t="s">
        <v>3213</v>
      </c>
      <c r="AY1446" s="2211" t="s">
        <v>3285</v>
      </c>
    </row>
    <row r="1447" spans="2:65" s="2209" customFormat="1">
      <c r="B1447" s="2210"/>
      <c r="D1447" s="2197" t="s">
        <v>3303</v>
      </c>
      <c r="E1447" s="2211" t="s">
        <v>3146</v>
      </c>
      <c r="F1447" s="2212" t="s">
        <v>5636</v>
      </c>
      <c r="H1447" s="2213">
        <v>-2.4</v>
      </c>
      <c r="L1447" s="2210"/>
      <c r="M1447" s="2214"/>
      <c r="T1447" s="2215"/>
      <c r="AT1447" s="2211" t="s">
        <v>3303</v>
      </c>
      <c r="AU1447" s="2211" t="s">
        <v>134</v>
      </c>
      <c r="AV1447" s="2209" t="s">
        <v>134</v>
      </c>
      <c r="AW1447" s="2209" t="s">
        <v>3171</v>
      </c>
      <c r="AX1447" s="2209" t="s">
        <v>3213</v>
      </c>
      <c r="AY1447" s="2211" t="s">
        <v>3285</v>
      </c>
    </row>
    <row r="1448" spans="2:65" s="2202" customFormat="1">
      <c r="B1448" s="2203"/>
      <c r="D1448" s="2197" t="s">
        <v>3303</v>
      </c>
      <c r="E1448" s="2204" t="s">
        <v>3146</v>
      </c>
      <c r="F1448" s="2205" t="s">
        <v>3305</v>
      </c>
      <c r="H1448" s="2206">
        <v>4.0999999999999996</v>
      </c>
      <c r="L1448" s="2203"/>
      <c r="M1448" s="2207"/>
      <c r="T1448" s="2208"/>
      <c r="AT1448" s="2204" t="s">
        <v>3303</v>
      </c>
      <c r="AU1448" s="2204" t="s">
        <v>134</v>
      </c>
      <c r="AV1448" s="2202" t="s">
        <v>854</v>
      </c>
      <c r="AW1448" s="2202" t="s">
        <v>3171</v>
      </c>
      <c r="AX1448" s="2202" t="s">
        <v>3213</v>
      </c>
      <c r="AY1448" s="2204" t="s">
        <v>3285</v>
      </c>
    </row>
    <row r="1449" spans="2:65" s="2195" customFormat="1">
      <c r="B1449" s="2196"/>
      <c r="D1449" s="2197" t="s">
        <v>3303</v>
      </c>
      <c r="E1449" s="2198" t="s">
        <v>3146</v>
      </c>
      <c r="F1449" s="2199" t="s">
        <v>5637</v>
      </c>
      <c r="H1449" s="2198" t="s">
        <v>3146</v>
      </c>
      <c r="L1449" s="2196"/>
      <c r="M1449" s="2200"/>
      <c r="T1449" s="2201"/>
      <c r="AT1449" s="2198" t="s">
        <v>3303</v>
      </c>
      <c r="AU1449" s="2198" t="s">
        <v>134</v>
      </c>
      <c r="AV1449" s="2195" t="s">
        <v>133</v>
      </c>
      <c r="AW1449" s="2195" t="s">
        <v>3171</v>
      </c>
      <c r="AX1449" s="2195" t="s">
        <v>3213</v>
      </c>
      <c r="AY1449" s="2198" t="s">
        <v>3285</v>
      </c>
    </row>
    <row r="1450" spans="2:65" s="2209" customFormat="1">
      <c r="B1450" s="2210"/>
      <c r="D1450" s="2197" t="s">
        <v>3303</v>
      </c>
      <c r="E1450" s="2211" t="s">
        <v>3146</v>
      </c>
      <c r="F1450" s="2212" t="s">
        <v>5635</v>
      </c>
      <c r="H1450" s="2213">
        <v>6.5</v>
      </c>
      <c r="L1450" s="2210"/>
      <c r="M1450" s="2214"/>
      <c r="T1450" s="2215"/>
      <c r="AT1450" s="2211" t="s">
        <v>3303</v>
      </c>
      <c r="AU1450" s="2211" t="s">
        <v>134</v>
      </c>
      <c r="AV1450" s="2209" t="s">
        <v>134</v>
      </c>
      <c r="AW1450" s="2209" t="s">
        <v>3171</v>
      </c>
      <c r="AX1450" s="2209" t="s">
        <v>3213</v>
      </c>
      <c r="AY1450" s="2211" t="s">
        <v>3285</v>
      </c>
    </row>
    <row r="1451" spans="2:65" s="2209" customFormat="1">
      <c r="B1451" s="2210"/>
      <c r="D1451" s="2197" t="s">
        <v>3303</v>
      </c>
      <c r="E1451" s="2211" t="s">
        <v>3146</v>
      </c>
      <c r="F1451" s="2212" t="s">
        <v>5636</v>
      </c>
      <c r="H1451" s="2213">
        <v>-2.4</v>
      </c>
      <c r="L1451" s="2210"/>
      <c r="M1451" s="2214"/>
      <c r="T1451" s="2215"/>
      <c r="AT1451" s="2211" t="s">
        <v>3303</v>
      </c>
      <c r="AU1451" s="2211" t="s">
        <v>134</v>
      </c>
      <c r="AV1451" s="2209" t="s">
        <v>134</v>
      </c>
      <c r="AW1451" s="2209" t="s">
        <v>3171</v>
      </c>
      <c r="AX1451" s="2209" t="s">
        <v>3213</v>
      </c>
      <c r="AY1451" s="2211" t="s">
        <v>3285</v>
      </c>
    </row>
    <row r="1452" spans="2:65" s="2202" customFormat="1">
      <c r="B1452" s="2203"/>
      <c r="D1452" s="2197" t="s">
        <v>3303</v>
      </c>
      <c r="E1452" s="2204" t="s">
        <v>3146</v>
      </c>
      <c r="F1452" s="2205" t="s">
        <v>3305</v>
      </c>
      <c r="H1452" s="2206">
        <v>4.0999999999999996</v>
      </c>
      <c r="L1452" s="2203"/>
      <c r="M1452" s="2207"/>
      <c r="T1452" s="2208"/>
      <c r="AT1452" s="2204" t="s">
        <v>3303</v>
      </c>
      <c r="AU1452" s="2204" t="s">
        <v>134</v>
      </c>
      <c r="AV1452" s="2202" t="s">
        <v>854</v>
      </c>
      <c r="AW1452" s="2202" t="s">
        <v>3171</v>
      </c>
      <c r="AX1452" s="2202" t="s">
        <v>3213</v>
      </c>
      <c r="AY1452" s="2204" t="s">
        <v>3285</v>
      </c>
    </row>
    <row r="1453" spans="2:65" s="2195" customFormat="1">
      <c r="B1453" s="2196"/>
      <c r="D1453" s="2197" t="s">
        <v>3303</v>
      </c>
      <c r="E1453" s="2198" t="s">
        <v>3146</v>
      </c>
      <c r="F1453" s="2199" t="s">
        <v>5535</v>
      </c>
      <c r="H1453" s="2198" t="s">
        <v>3146</v>
      </c>
      <c r="L1453" s="2196"/>
      <c r="M1453" s="2200"/>
      <c r="T1453" s="2201"/>
      <c r="AT1453" s="2198" t="s">
        <v>3303</v>
      </c>
      <c r="AU1453" s="2198" t="s">
        <v>134</v>
      </c>
      <c r="AV1453" s="2195" t="s">
        <v>133</v>
      </c>
      <c r="AW1453" s="2195" t="s">
        <v>3171</v>
      </c>
      <c r="AX1453" s="2195" t="s">
        <v>3213</v>
      </c>
      <c r="AY1453" s="2198" t="s">
        <v>3285</v>
      </c>
    </row>
    <row r="1454" spans="2:65" s="2209" customFormat="1">
      <c r="B1454" s="2210"/>
      <c r="D1454" s="2197" t="s">
        <v>3303</v>
      </c>
      <c r="E1454" s="2211" t="s">
        <v>3146</v>
      </c>
      <c r="F1454" s="2212" t="s">
        <v>5635</v>
      </c>
      <c r="H1454" s="2213">
        <v>6.5</v>
      </c>
      <c r="L1454" s="2210"/>
      <c r="M1454" s="2214"/>
      <c r="T1454" s="2215"/>
      <c r="AT1454" s="2211" t="s">
        <v>3303</v>
      </c>
      <c r="AU1454" s="2211" t="s">
        <v>134</v>
      </c>
      <c r="AV1454" s="2209" t="s">
        <v>134</v>
      </c>
      <c r="AW1454" s="2209" t="s">
        <v>3171</v>
      </c>
      <c r="AX1454" s="2209" t="s">
        <v>3213</v>
      </c>
      <c r="AY1454" s="2211" t="s">
        <v>3285</v>
      </c>
    </row>
    <row r="1455" spans="2:65" s="2209" customFormat="1">
      <c r="B1455" s="2210"/>
      <c r="D1455" s="2197" t="s">
        <v>3303</v>
      </c>
      <c r="E1455" s="2211" t="s">
        <v>3146</v>
      </c>
      <c r="F1455" s="2212" t="s">
        <v>5636</v>
      </c>
      <c r="H1455" s="2213">
        <v>-2.4</v>
      </c>
      <c r="L1455" s="2210"/>
      <c r="M1455" s="2214"/>
      <c r="T1455" s="2215"/>
      <c r="AT1455" s="2211" t="s">
        <v>3303</v>
      </c>
      <c r="AU1455" s="2211" t="s">
        <v>134</v>
      </c>
      <c r="AV1455" s="2209" t="s">
        <v>134</v>
      </c>
      <c r="AW1455" s="2209" t="s">
        <v>3171</v>
      </c>
      <c r="AX1455" s="2209" t="s">
        <v>3213</v>
      </c>
      <c r="AY1455" s="2211" t="s">
        <v>3285</v>
      </c>
    </row>
    <row r="1456" spans="2:65" s="2202" customFormat="1">
      <c r="B1456" s="2203"/>
      <c r="D1456" s="2197" t="s">
        <v>3303</v>
      </c>
      <c r="E1456" s="2204" t="s">
        <v>3146</v>
      </c>
      <c r="F1456" s="2205" t="s">
        <v>3305</v>
      </c>
      <c r="H1456" s="2206">
        <v>4.0999999999999996</v>
      </c>
      <c r="L1456" s="2203"/>
      <c r="M1456" s="2207"/>
      <c r="T1456" s="2208"/>
      <c r="AT1456" s="2204" t="s">
        <v>3303</v>
      </c>
      <c r="AU1456" s="2204" t="s">
        <v>134</v>
      </c>
      <c r="AV1456" s="2202" t="s">
        <v>854</v>
      </c>
      <c r="AW1456" s="2202" t="s">
        <v>3171</v>
      </c>
      <c r="AX1456" s="2202" t="s">
        <v>3213</v>
      </c>
      <c r="AY1456" s="2204" t="s">
        <v>3285</v>
      </c>
    </row>
    <row r="1457" spans="2:51" s="2195" customFormat="1">
      <c r="B1457" s="2196"/>
      <c r="D1457" s="2197" t="s">
        <v>3303</v>
      </c>
      <c r="E1457" s="2198" t="s">
        <v>3146</v>
      </c>
      <c r="F1457" s="2199" t="s">
        <v>5536</v>
      </c>
      <c r="H1457" s="2198" t="s">
        <v>3146</v>
      </c>
      <c r="L1457" s="2196"/>
      <c r="M1457" s="2200"/>
      <c r="T1457" s="2201"/>
      <c r="AT1457" s="2198" t="s">
        <v>3303</v>
      </c>
      <c r="AU1457" s="2198" t="s">
        <v>134</v>
      </c>
      <c r="AV1457" s="2195" t="s">
        <v>133</v>
      </c>
      <c r="AW1457" s="2195" t="s">
        <v>3171</v>
      </c>
      <c r="AX1457" s="2195" t="s">
        <v>3213</v>
      </c>
      <c r="AY1457" s="2198" t="s">
        <v>3285</v>
      </c>
    </row>
    <row r="1458" spans="2:51" s="2209" customFormat="1">
      <c r="B1458" s="2210"/>
      <c r="D1458" s="2197" t="s">
        <v>3303</v>
      </c>
      <c r="E1458" s="2211" t="s">
        <v>3146</v>
      </c>
      <c r="F1458" s="2212" t="s">
        <v>5635</v>
      </c>
      <c r="H1458" s="2213">
        <v>6.5</v>
      </c>
      <c r="L1458" s="2210"/>
      <c r="M1458" s="2214"/>
      <c r="T1458" s="2215"/>
      <c r="AT1458" s="2211" t="s">
        <v>3303</v>
      </c>
      <c r="AU1458" s="2211" t="s">
        <v>134</v>
      </c>
      <c r="AV1458" s="2209" t="s">
        <v>134</v>
      </c>
      <c r="AW1458" s="2209" t="s">
        <v>3171</v>
      </c>
      <c r="AX1458" s="2209" t="s">
        <v>3213</v>
      </c>
      <c r="AY1458" s="2211" t="s">
        <v>3285</v>
      </c>
    </row>
    <row r="1459" spans="2:51" s="2209" customFormat="1">
      <c r="B1459" s="2210"/>
      <c r="D1459" s="2197" t="s">
        <v>3303</v>
      </c>
      <c r="E1459" s="2211" t="s">
        <v>3146</v>
      </c>
      <c r="F1459" s="2212" t="s">
        <v>5636</v>
      </c>
      <c r="H1459" s="2213">
        <v>-2.4</v>
      </c>
      <c r="L1459" s="2210"/>
      <c r="M1459" s="2214"/>
      <c r="T1459" s="2215"/>
      <c r="AT1459" s="2211" t="s">
        <v>3303</v>
      </c>
      <c r="AU1459" s="2211" t="s">
        <v>134</v>
      </c>
      <c r="AV1459" s="2209" t="s">
        <v>134</v>
      </c>
      <c r="AW1459" s="2209" t="s">
        <v>3171</v>
      </c>
      <c r="AX1459" s="2209" t="s">
        <v>3213</v>
      </c>
      <c r="AY1459" s="2211" t="s">
        <v>3285</v>
      </c>
    </row>
    <row r="1460" spans="2:51" s="2202" customFormat="1">
      <c r="B1460" s="2203"/>
      <c r="D1460" s="2197" t="s">
        <v>3303</v>
      </c>
      <c r="E1460" s="2204" t="s">
        <v>3146</v>
      </c>
      <c r="F1460" s="2205" t="s">
        <v>3305</v>
      </c>
      <c r="H1460" s="2206">
        <v>4.0999999999999996</v>
      </c>
      <c r="L1460" s="2203"/>
      <c r="M1460" s="2207"/>
      <c r="T1460" s="2208"/>
      <c r="AT1460" s="2204" t="s">
        <v>3303</v>
      </c>
      <c r="AU1460" s="2204" t="s">
        <v>134</v>
      </c>
      <c r="AV1460" s="2202" t="s">
        <v>854</v>
      </c>
      <c r="AW1460" s="2202" t="s">
        <v>3171</v>
      </c>
      <c r="AX1460" s="2202" t="s">
        <v>3213</v>
      </c>
      <c r="AY1460" s="2204" t="s">
        <v>3285</v>
      </c>
    </row>
    <row r="1461" spans="2:51" s="2195" customFormat="1">
      <c r="B1461" s="2196"/>
      <c r="D1461" s="2197" t="s">
        <v>3303</v>
      </c>
      <c r="E1461" s="2198" t="s">
        <v>3146</v>
      </c>
      <c r="F1461" s="2199" t="s">
        <v>5538</v>
      </c>
      <c r="H1461" s="2198" t="s">
        <v>3146</v>
      </c>
      <c r="L1461" s="2196"/>
      <c r="M1461" s="2200"/>
      <c r="T1461" s="2201"/>
      <c r="AT1461" s="2198" t="s">
        <v>3303</v>
      </c>
      <c r="AU1461" s="2198" t="s">
        <v>134</v>
      </c>
      <c r="AV1461" s="2195" t="s">
        <v>133</v>
      </c>
      <c r="AW1461" s="2195" t="s">
        <v>3171</v>
      </c>
      <c r="AX1461" s="2195" t="s">
        <v>3213</v>
      </c>
      <c r="AY1461" s="2198" t="s">
        <v>3285</v>
      </c>
    </row>
    <row r="1462" spans="2:51" s="2209" customFormat="1">
      <c r="B1462" s="2210"/>
      <c r="D1462" s="2197" t="s">
        <v>3303</v>
      </c>
      <c r="E1462" s="2211" t="s">
        <v>3146</v>
      </c>
      <c r="F1462" s="2212" t="s">
        <v>5635</v>
      </c>
      <c r="H1462" s="2213">
        <v>6.5</v>
      </c>
      <c r="L1462" s="2210"/>
      <c r="M1462" s="2214"/>
      <c r="T1462" s="2215"/>
      <c r="AT1462" s="2211" t="s">
        <v>3303</v>
      </c>
      <c r="AU1462" s="2211" t="s">
        <v>134</v>
      </c>
      <c r="AV1462" s="2209" t="s">
        <v>134</v>
      </c>
      <c r="AW1462" s="2209" t="s">
        <v>3171</v>
      </c>
      <c r="AX1462" s="2209" t="s">
        <v>3213</v>
      </c>
      <c r="AY1462" s="2211" t="s">
        <v>3285</v>
      </c>
    </row>
    <row r="1463" spans="2:51" s="2209" customFormat="1">
      <c r="B1463" s="2210"/>
      <c r="D1463" s="2197" t="s">
        <v>3303</v>
      </c>
      <c r="E1463" s="2211" t="s">
        <v>3146</v>
      </c>
      <c r="F1463" s="2212" t="s">
        <v>5636</v>
      </c>
      <c r="H1463" s="2213">
        <v>-2.4</v>
      </c>
      <c r="L1463" s="2210"/>
      <c r="M1463" s="2214"/>
      <c r="T1463" s="2215"/>
      <c r="AT1463" s="2211" t="s">
        <v>3303</v>
      </c>
      <c r="AU1463" s="2211" t="s">
        <v>134</v>
      </c>
      <c r="AV1463" s="2209" t="s">
        <v>134</v>
      </c>
      <c r="AW1463" s="2209" t="s">
        <v>3171</v>
      </c>
      <c r="AX1463" s="2209" t="s">
        <v>3213</v>
      </c>
      <c r="AY1463" s="2211" t="s">
        <v>3285</v>
      </c>
    </row>
    <row r="1464" spans="2:51" s="2202" customFormat="1">
      <c r="B1464" s="2203"/>
      <c r="D1464" s="2197" t="s">
        <v>3303</v>
      </c>
      <c r="E1464" s="2204" t="s">
        <v>3146</v>
      </c>
      <c r="F1464" s="2205" t="s">
        <v>3305</v>
      </c>
      <c r="H1464" s="2206">
        <v>4.0999999999999996</v>
      </c>
      <c r="L1464" s="2203"/>
      <c r="M1464" s="2207"/>
      <c r="T1464" s="2208"/>
      <c r="AT1464" s="2204" t="s">
        <v>3303</v>
      </c>
      <c r="AU1464" s="2204" t="s">
        <v>134</v>
      </c>
      <c r="AV1464" s="2202" t="s">
        <v>854</v>
      </c>
      <c r="AW1464" s="2202" t="s">
        <v>3171</v>
      </c>
      <c r="AX1464" s="2202" t="s">
        <v>3213</v>
      </c>
      <c r="AY1464" s="2204" t="s">
        <v>3285</v>
      </c>
    </row>
    <row r="1465" spans="2:51" s="2195" customFormat="1">
      <c r="B1465" s="2196"/>
      <c r="D1465" s="2197" t="s">
        <v>3303</v>
      </c>
      <c r="E1465" s="2198" t="s">
        <v>3146</v>
      </c>
      <c r="F1465" s="2199" t="s">
        <v>5539</v>
      </c>
      <c r="H1465" s="2198" t="s">
        <v>3146</v>
      </c>
      <c r="L1465" s="2196"/>
      <c r="M1465" s="2200"/>
      <c r="T1465" s="2201"/>
      <c r="AT1465" s="2198" t="s">
        <v>3303</v>
      </c>
      <c r="AU1465" s="2198" t="s">
        <v>134</v>
      </c>
      <c r="AV1465" s="2195" t="s">
        <v>133</v>
      </c>
      <c r="AW1465" s="2195" t="s">
        <v>3171</v>
      </c>
      <c r="AX1465" s="2195" t="s">
        <v>3213</v>
      </c>
      <c r="AY1465" s="2198" t="s">
        <v>3285</v>
      </c>
    </row>
    <row r="1466" spans="2:51" s="2209" customFormat="1">
      <c r="B1466" s="2210"/>
      <c r="D1466" s="2197" t="s">
        <v>3303</v>
      </c>
      <c r="E1466" s="2211" t="s">
        <v>3146</v>
      </c>
      <c r="F1466" s="2212" t="s">
        <v>5635</v>
      </c>
      <c r="H1466" s="2213">
        <v>6.5</v>
      </c>
      <c r="L1466" s="2210"/>
      <c r="M1466" s="2214"/>
      <c r="T1466" s="2215"/>
      <c r="AT1466" s="2211" t="s">
        <v>3303</v>
      </c>
      <c r="AU1466" s="2211" t="s">
        <v>134</v>
      </c>
      <c r="AV1466" s="2209" t="s">
        <v>134</v>
      </c>
      <c r="AW1466" s="2209" t="s">
        <v>3171</v>
      </c>
      <c r="AX1466" s="2209" t="s">
        <v>3213</v>
      </c>
      <c r="AY1466" s="2211" t="s">
        <v>3285</v>
      </c>
    </row>
    <row r="1467" spans="2:51" s="2209" customFormat="1">
      <c r="B1467" s="2210"/>
      <c r="D1467" s="2197" t="s">
        <v>3303</v>
      </c>
      <c r="E1467" s="2211" t="s">
        <v>3146</v>
      </c>
      <c r="F1467" s="2212" t="s">
        <v>5636</v>
      </c>
      <c r="H1467" s="2213">
        <v>-2.4</v>
      </c>
      <c r="L1467" s="2210"/>
      <c r="M1467" s="2214"/>
      <c r="T1467" s="2215"/>
      <c r="AT1467" s="2211" t="s">
        <v>3303</v>
      </c>
      <c r="AU1467" s="2211" t="s">
        <v>134</v>
      </c>
      <c r="AV1467" s="2209" t="s">
        <v>134</v>
      </c>
      <c r="AW1467" s="2209" t="s">
        <v>3171</v>
      </c>
      <c r="AX1467" s="2209" t="s">
        <v>3213</v>
      </c>
      <c r="AY1467" s="2211" t="s">
        <v>3285</v>
      </c>
    </row>
    <row r="1468" spans="2:51" s="2202" customFormat="1">
      <c r="B1468" s="2203"/>
      <c r="D1468" s="2197" t="s">
        <v>3303</v>
      </c>
      <c r="E1468" s="2204" t="s">
        <v>3146</v>
      </c>
      <c r="F1468" s="2205" t="s">
        <v>3305</v>
      </c>
      <c r="H1468" s="2206">
        <v>4.0999999999999996</v>
      </c>
      <c r="L1468" s="2203"/>
      <c r="M1468" s="2207"/>
      <c r="T1468" s="2208"/>
      <c r="AT1468" s="2204" t="s">
        <v>3303</v>
      </c>
      <c r="AU1468" s="2204" t="s">
        <v>134</v>
      </c>
      <c r="AV1468" s="2202" t="s">
        <v>854</v>
      </c>
      <c r="AW1468" s="2202" t="s">
        <v>3171</v>
      </c>
      <c r="AX1468" s="2202" t="s">
        <v>3213</v>
      </c>
      <c r="AY1468" s="2204" t="s">
        <v>3285</v>
      </c>
    </row>
    <row r="1469" spans="2:51" s="2195" customFormat="1">
      <c r="B1469" s="2196"/>
      <c r="D1469" s="2197" t="s">
        <v>3303</v>
      </c>
      <c r="E1469" s="2198" t="s">
        <v>3146</v>
      </c>
      <c r="F1469" s="2199" t="s">
        <v>5540</v>
      </c>
      <c r="H1469" s="2198" t="s">
        <v>3146</v>
      </c>
      <c r="L1469" s="2196"/>
      <c r="M1469" s="2200"/>
      <c r="T1469" s="2201"/>
      <c r="AT1469" s="2198" t="s">
        <v>3303</v>
      </c>
      <c r="AU1469" s="2198" t="s">
        <v>134</v>
      </c>
      <c r="AV1469" s="2195" t="s">
        <v>133</v>
      </c>
      <c r="AW1469" s="2195" t="s">
        <v>3171</v>
      </c>
      <c r="AX1469" s="2195" t="s">
        <v>3213</v>
      </c>
      <c r="AY1469" s="2198" t="s">
        <v>3285</v>
      </c>
    </row>
    <row r="1470" spans="2:51" s="2209" customFormat="1">
      <c r="B1470" s="2210"/>
      <c r="D1470" s="2197" t="s">
        <v>3303</v>
      </c>
      <c r="E1470" s="2211" t="s">
        <v>3146</v>
      </c>
      <c r="F1470" s="2212" t="s">
        <v>5635</v>
      </c>
      <c r="H1470" s="2213">
        <v>6.5</v>
      </c>
      <c r="L1470" s="2210"/>
      <c r="M1470" s="2214"/>
      <c r="T1470" s="2215"/>
      <c r="AT1470" s="2211" t="s">
        <v>3303</v>
      </c>
      <c r="AU1470" s="2211" t="s">
        <v>134</v>
      </c>
      <c r="AV1470" s="2209" t="s">
        <v>134</v>
      </c>
      <c r="AW1470" s="2209" t="s">
        <v>3171</v>
      </c>
      <c r="AX1470" s="2209" t="s">
        <v>3213</v>
      </c>
      <c r="AY1470" s="2211" t="s">
        <v>3285</v>
      </c>
    </row>
    <row r="1471" spans="2:51" s="2209" customFormat="1">
      <c r="B1471" s="2210"/>
      <c r="D1471" s="2197" t="s">
        <v>3303</v>
      </c>
      <c r="E1471" s="2211" t="s">
        <v>3146</v>
      </c>
      <c r="F1471" s="2212" t="s">
        <v>5636</v>
      </c>
      <c r="H1471" s="2213">
        <v>-2.4</v>
      </c>
      <c r="L1471" s="2210"/>
      <c r="M1471" s="2214"/>
      <c r="T1471" s="2215"/>
      <c r="AT1471" s="2211" t="s">
        <v>3303</v>
      </c>
      <c r="AU1471" s="2211" t="s">
        <v>134</v>
      </c>
      <c r="AV1471" s="2209" t="s">
        <v>134</v>
      </c>
      <c r="AW1471" s="2209" t="s">
        <v>3171</v>
      </c>
      <c r="AX1471" s="2209" t="s">
        <v>3213</v>
      </c>
      <c r="AY1471" s="2211" t="s">
        <v>3285</v>
      </c>
    </row>
    <row r="1472" spans="2:51" s="2202" customFormat="1">
      <c r="B1472" s="2203"/>
      <c r="D1472" s="2197" t="s">
        <v>3303</v>
      </c>
      <c r="E1472" s="2204" t="s">
        <v>3146</v>
      </c>
      <c r="F1472" s="2205" t="s">
        <v>3305</v>
      </c>
      <c r="H1472" s="2206">
        <v>4.0999999999999996</v>
      </c>
      <c r="L1472" s="2203"/>
      <c r="M1472" s="2207"/>
      <c r="T1472" s="2208"/>
      <c r="AT1472" s="2204" t="s">
        <v>3303</v>
      </c>
      <c r="AU1472" s="2204" t="s">
        <v>134</v>
      </c>
      <c r="AV1472" s="2202" t="s">
        <v>854</v>
      </c>
      <c r="AW1472" s="2202" t="s">
        <v>3171</v>
      </c>
      <c r="AX1472" s="2202" t="s">
        <v>3213</v>
      </c>
      <c r="AY1472" s="2204" t="s">
        <v>3285</v>
      </c>
    </row>
    <row r="1473" spans="2:65" s="2195" customFormat="1">
      <c r="B1473" s="2196"/>
      <c r="D1473" s="2197" t="s">
        <v>3303</v>
      </c>
      <c r="E1473" s="2198" t="s">
        <v>3146</v>
      </c>
      <c r="F1473" s="2199" t="s">
        <v>5542</v>
      </c>
      <c r="H1473" s="2198" t="s">
        <v>3146</v>
      </c>
      <c r="L1473" s="2196"/>
      <c r="M1473" s="2200"/>
      <c r="T1473" s="2201"/>
      <c r="AT1473" s="2198" t="s">
        <v>3303</v>
      </c>
      <c r="AU1473" s="2198" t="s">
        <v>134</v>
      </c>
      <c r="AV1473" s="2195" t="s">
        <v>133</v>
      </c>
      <c r="AW1473" s="2195" t="s">
        <v>3171</v>
      </c>
      <c r="AX1473" s="2195" t="s">
        <v>3213</v>
      </c>
      <c r="AY1473" s="2198" t="s">
        <v>3285</v>
      </c>
    </row>
    <row r="1474" spans="2:65" s="2209" customFormat="1">
      <c r="B1474" s="2210"/>
      <c r="D1474" s="2197" t="s">
        <v>3303</v>
      </c>
      <c r="E1474" s="2211" t="s">
        <v>3146</v>
      </c>
      <c r="F1474" s="2212" t="s">
        <v>5635</v>
      </c>
      <c r="H1474" s="2213">
        <v>6.5</v>
      </c>
      <c r="L1474" s="2210"/>
      <c r="M1474" s="2214"/>
      <c r="T1474" s="2215"/>
      <c r="AT1474" s="2211" t="s">
        <v>3303</v>
      </c>
      <c r="AU1474" s="2211" t="s">
        <v>134</v>
      </c>
      <c r="AV1474" s="2209" t="s">
        <v>134</v>
      </c>
      <c r="AW1474" s="2209" t="s">
        <v>3171</v>
      </c>
      <c r="AX1474" s="2209" t="s">
        <v>3213</v>
      </c>
      <c r="AY1474" s="2211" t="s">
        <v>3285</v>
      </c>
    </row>
    <row r="1475" spans="2:65" s="2209" customFormat="1">
      <c r="B1475" s="2210"/>
      <c r="D1475" s="2197" t="s">
        <v>3303</v>
      </c>
      <c r="E1475" s="2211" t="s">
        <v>3146</v>
      </c>
      <c r="F1475" s="2212" t="s">
        <v>5636</v>
      </c>
      <c r="H1475" s="2213">
        <v>-2.4</v>
      </c>
      <c r="L1475" s="2210"/>
      <c r="M1475" s="2214"/>
      <c r="T1475" s="2215"/>
      <c r="AT1475" s="2211" t="s">
        <v>3303</v>
      </c>
      <c r="AU1475" s="2211" t="s">
        <v>134</v>
      </c>
      <c r="AV1475" s="2209" t="s">
        <v>134</v>
      </c>
      <c r="AW1475" s="2209" t="s">
        <v>3171</v>
      </c>
      <c r="AX1475" s="2209" t="s">
        <v>3213</v>
      </c>
      <c r="AY1475" s="2211" t="s">
        <v>3285</v>
      </c>
    </row>
    <row r="1476" spans="2:65" s="2202" customFormat="1">
      <c r="B1476" s="2203"/>
      <c r="D1476" s="2197" t="s">
        <v>3303</v>
      </c>
      <c r="E1476" s="2204" t="s">
        <v>3146</v>
      </c>
      <c r="F1476" s="2205" t="s">
        <v>3305</v>
      </c>
      <c r="H1476" s="2206">
        <v>4.0999999999999996</v>
      </c>
      <c r="L1476" s="2203"/>
      <c r="M1476" s="2207"/>
      <c r="T1476" s="2208"/>
      <c r="AT1476" s="2204" t="s">
        <v>3303</v>
      </c>
      <c r="AU1476" s="2204" t="s">
        <v>134</v>
      </c>
      <c r="AV1476" s="2202" t="s">
        <v>854</v>
      </c>
      <c r="AW1476" s="2202" t="s">
        <v>3171</v>
      </c>
      <c r="AX1476" s="2202" t="s">
        <v>3213</v>
      </c>
      <c r="AY1476" s="2204" t="s">
        <v>3285</v>
      </c>
    </row>
    <row r="1477" spans="2:65" s="2195" customFormat="1">
      <c r="B1477" s="2196"/>
      <c r="D1477" s="2197" t="s">
        <v>3303</v>
      </c>
      <c r="E1477" s="2198" t="s">
        <v>3146</v>
      </c>
      <c r="F1477" s="2199" t="s">
        <v>5543</v>
      </c>
      <c r="H1477" s="2198" t="s">
        <v>3146</v>
      </c>
      <c r="L1477" s="2196"/>
      <c r="M1477" s="2200"/>
      <c r="T1477" s="2201"/>
      <c r="AT1477" s="2198" t="s">
        <v>3303</v>
      </c>
      <c r="AU1477" s="2198" t="s">
        <v>134</v>
      </c>
      <c r="AV1477" s="2195" t="s">
        <v>133</v>
      </c>
      <c r="AW1477" s="2195" t="s">
        <v>3171</v>
      </c>
      <c r="AX1477" s="2195" t="s">
        <v>3213</v>
      </c>
      <c r="AY1477" s="2198" t="s">
        <v>3285</v>
      </c>
    </row>
    <row r="1478" spans="2:65" s="2209" customFormat="1">
      <c r="B1478" s="2210"/>
      <c r="D1478" s="2197" t="s">
        <v>3303</v>
      </c>
      <c r="E1478" s="2211" t="s">
        <v>3146</v>
      </c>
      <c r="F1478" s="2212" t="s">
        <v>5635</v>
      </c>
      <c r="H1478" s="2213">
        <v>6.5</v>
      </c>
      <c r="L1478" s="2210"/>
      <c r="M1478" s="2214"/>
      <c r="T1478" s="2215"/>
      <c r="AT1478" s="2211" t="s">
        <v>3303</v>
      </c>
      <c r="AU1478" s="2211" t="s">
        <v>134</v>
      </c>
      <c r="AV1478" s="2209" t="s">
        <v>134</v>
      </c>
      <c r="AW1478" s="2209" t="s">
        <v>3171</v>
      </c>
      <c r="AX1478" s="2209" t="s">
        <v>3213</v>
      </c>
      <c r="AY1478" s="2211" t="s">
        <v>3285</v>
      </c>
    </row>
    <row r="1479" spans="2:65" s="2209" customFormat="1">
      <c r="B1479" s="2210"/>
      <c r="D1479" s="2197" t="s">
        <v>3303</v>
      </c>
      <c r="E1479" s="2211" t="s">
        <v>3146</v>
      </c>
      <c r="F1479" s="2212" t="s">
        <v>5636</v>
      </c>
      <c r="H1479" s="2213">
        <v>-2.4</v>
      </c>
      <c r="L1479" s="2210"/>
      <c r="M1479" s="2214"/>
      <c r="T1479" s="2215"/>
      <c r="AT1479" s="2211" t="s">
        <v>3303</v>
      </c>
      <c r="AU1479" s="2211" t="s">
        <v>134</v>
      </c>
      <c r="AV1479" s="2209" t="s">
        <v>134</v>
      </c>
      <c r="AW1479" s="2209" t="s">
        <v>3171</v>
      </c>
      <c r="AX1479" s="2209" t="s">
        <v>3213</v>
      </c>
      <c r="AY1479" s="2211" t="s">
        <v>3285</v>
      </c>
    </row>
    <row r="1480" spans="2:65" s="2202" customFormat="1">
      <c r="B1480" s="2203"/>
      <c r="D1480" s="2197" t="s">
        <v>3303</v>
      </c>
      <c r="E1480" s="2204" t="s">
        <v>3146</v>
      </c>
      <c r="F1480" s="2205" t="s">
        <v>3305</v>
      </c>
      <c r="H1480" s="2206">
        <v>4.0999999999999996</v>
      </c>
      <c r="L1480" s="2203"/>
      <c r="M1480" s="2207"/>
      <c r="T1480" s="2208"/>
      <c r="AT1480" s="2204" t="s">
        <v>3303</v>
      </c>
      <c r="AU1480" s="2204" t="s">
        <v>134</v>
      </c>
      <c r="AV1480" s="2202" t="s">
        <v>854</v>
      </c>
      <c r="AW1480" s="2202" t="s">
        <v>3171</v>
      </c>
      <c r="AX1480" s="2202" t="s">
        <v>3213</v>
      </c>
      <c r="AY1480" s="2204" t="s">
        <v>3285</v>
      </c>
    </row>
    <row r="1481" spans="2:65" s="2216" customFormat="1">
      <c r="B1481" s="2217"/>
      <c r="D1481" s="2197" t="s">
        <v>3303</v>
      </c>
      <c r="E1481" s="2218" t="s">
        <v>3146</v>
      </c>
      <c r="F1481" s="2219" t="s">
        <v>3306</v>
      </c>
      <c r="H1481" s="2220">
        <v>36.9</v>
      </c>
      <c r="L1481" s="2217"/>
      <c r="M1481" s="2221"/>
      <c r="T1481" s="2222"/>
      <c r="AT1481" s="2218" t="s">
        <v>3303</v>
      </c>
      <c r="AU1481" s="2218" t="s">
        <v>134</v>
      </c>
      <c r="AV1481" s="2216" t="s">
        <v>856</v>
      </c>
      <c r="AW1481" s="2216" t="s">
        <v>3171</v>
      </c>
      <c r="AX1481" s="2216" t="s">
        <v>133</v>
      </c>
      <c r="AY1481" s="2218" t="s">
        <v>3285</v>
      </c>
    </row>
    <row r="1482" spans="2:65" s="2209" customFormat="1">
      <c r="B1482" s="2210"/>
      <c r="D1482" s="2197" t="s">
        <v>3303</v>
      </c>
      <c r="F1482" s="2212" t="s">
        <v>5641</v>
      </c>
      <c r="H1482" s="2213">
        <v>46.125</v>
      </c>
      <c r="L1482" s="2210"/>
      <c r="M1482" s="2214"/>
      <c r="T1482" s="2215"/>
      <c r="AT1482" s="2211" t="s">
        <v>3303</v>
      </c>
      <c r="AU1482" s="2211" t="s">
        <v>134</v>
      </c>
      <c r="AV1482" s="2209" t="s">
        <v>134</v>
      </c>
      <c r="AW1482" s="2209" t="s">
        <v>3148</v>
      </c>
      <c r="AX1482" s="2209" t="s">
        <v>133</v>
      </c>
      <c r="AY1482" s="2211" t="s">
        <v>3285</v>
      </c>
    </row>
    <row r="1483" spans="2:65" s="2070" customFormat="1" ht="16.5" customHeight="1">
      <c r="B1483" s="2164"/>
      <c r="C1483" s="4608" t="s">
        <v>11432</v>
      </c>
      <c r="D1483" s="4608" t="s">
        <v>3286</v>
      </c>
      <c r="E1483" s="4609" t="s">
        <v>5642</v>
      </c>
      <c r="F1483" s="4610" t="s">
        <v>5643</v>
      </c>
      <c r="G1483" s="4611" t="s">
        <v>611</v>
      </c>
      <c r="H1483" s="4612">
        <v>59.48</v>
      </c>
      <c r="I1483" s="4613"/>
      <c r="J1483" s="4613">
        <f>ROUND(I1483*H1483,2)</f>
        <v>0</v>
      </c>
      <c r="K1483" s="4610" t="s">
        <v>142</v>
      </c>
      <c r="L1483" s="2071"/>
      <c r="M1483" s="2190" t="s">
        <v>3146</v>
      </c>
      <c r="N1483" s="2163" t="s">
        <v>3181</v>
      </c>
      <c r="O1483" s="2191">
        <v>1.1739999999999999</v>
      </c>
      <c r="P1483" s="2191">
        <f>O1483*H1483</f>
        <v>69.829519999999988</v>
      </c>
      <c r="Q1483" s="2191">
        <v>1.4999999999999999E-4</v>
      </c>
      <c r="R1483" s="2191">
        <f>Q1483*H1483</f>
        <v>8.9219999999999994E-3</v>
      </c>
      <c r="S1483" s="2191">
        <v>0</v>
      </c>
      <c r="T1483" s="2192">
        <f>S1483*H1483</f>
        <v>0</v>
      </c>
      <c r="AR1483" s="2193" t="s">
        <v>2894</v>
      </c>
      <c r="AT1483" s="2193" t="s">
        <v>3286</v>
      </c>
      <c r="AU1483" s="2193" t="s">
        <v>134</v>
      </c>
      <c r="AY1483" s="2056" t="s">
        <v>3285</v>
      </c>
      <c r="BE1483" s="2194">
        <f>IF(N1483="základní",J1483,0)</f>
        <v>0</v>
      </c>
      <c r="BF1483" s="2194">
        <f>IF(N1483="snížená",J1483,0)</f>
        <v>0</v>
      </c>
      <c r="BG1483" s="2194">
        <f>IF(N1483="zákl. přenesená",J1483,0)</f>
        <v>0</v>
      </c>
      <c r="BH1483" s="2194">
        <f>IF(N1483="sníž. přenesená",J1483,0)</f>
        <v>0</v>
      </c>
      <c r="BI1483" s="2194">
        <f>IF(N1483="nulová",J1483,0)</f>
        <v>0</v>
      </c>
      <c r="BJ1483" s="2056" t="s">
        <v>134</v>
      </c>
      <c r="BK1483" s="2194">
        <f>ROUND(I1483*H1483,2)</f>
        <v>0</v>
      </c>
      <c r="BL1483" s="2056" t="s">
        <v>2894</v>
      </c>
      <c r="BM1483" s="2193" t="s">
        <v>5644</v>
      </c>
    </row>
    <row r="1484" spans="2:65" s="2195" customFormat="1">
      <c r="B1484" s="2196"/>
      <c r="D1484" s="2197" t="s">
        <v>3303</v>
      </c>
      <c r="E1484" s="2198" t="s">
        <v>3146</v>
      </c>
      <c r="F1484" s="2199" t="s">
        <v>5537</v>
      </c>
      <c r="H1484" s="2198" t="s">
        <v>3146</v>
      </c>
      <c r="L1484" s="2196"/>
      <c r="M1484" s="2200"/>
      <c r="T1484" s="2201"/>
      <c r="AT1484" s="2198" t="s">
        <v>3303</v>
      </c>
      <c r="AU1484" s="2198" t="s">
        <v>134</v>
      </c>
      <c r="AV1484" s="2195" t="s">
        <v>133</v>
      </c>
      <c r="AW1484" s="2195" t="s">
        <v>3171</v>
      </c>
      <c r="AX1484" s="2195" t="s">
        <v>3213</v>
      </c>
      <c r="AY1484" s="2198" t="s">
        <v>3285</v>
      </c>
    </row>
    <row r="1485" spans="2:65" s="2209" customFormat="1">
      <c r="B1485" s="2210"/>
      <c r="D1485" s="2197" t="s">
        <v>3303</v>
      </c>
      <c r="E1485" s="2211" t="s">
        <v>3146</v>
      </c>
      <c r="F1485" s="2212" t="s">
        <v>5645</v>
      </c>
      <c r="H1485" s="2213">
        <v>11.57</v>
      </c>
      <c r="L1485" s="2210"/>
      <c r="M1485" s="2214"/>
      <c r="T1485" s="2215"/>
      <c r="AT1485" s="2211" t="s">
        <v>3303</v>
      </c>
      <c r="AU1485" s="2211" t="s">
        <v>134</v>
      </c>
      <c r="AV1485" s="2209" t="s">
        <v>134</v>
      </c>
      <c r="AW1485" s="2209" t="s">
        <v>3171</v>
      </c>
      <c r="AX1485" s="2209" t="s">
        <v>3213</v>
      </c>
      <c r="AY1485" s="2211" t="s">
        <v>3285</v>
      </c>
    </row>
    <row r="1486" spans="2:65" s="2202" customFormat="1">
      <c r="B1486" s="2203"/>
      <c r="D1486" s="2197" t="s">
        <v>3303</v>
      </c>
      <c r="E1486" s="2204" t="s">
        <v>3146</v>
      </c>
      <c r="F1486" s="2205" t="s">
        <v>3305</v>
      </c>
      <c r="H1486" s="2206">
        <v>11.57</v>
      </c>
      <c r="L1486" s="2203"/>
      <c r="M1486" s="2207"/>
      <c r="T1486" s="2208"/>
      <c r="AT1486" s="2204" t="s">
        <v>3303</v>
      </c>
      <c r="AU1486" s="2204" t="s">
        <v>134</v>
      </c>
      <c r="AV1486" s="2202" t="s">
        <v>854</v>
      </c>
      <c r="AW1486" s="2202" t="s">
        <v>3171</v>
      </c>
      <c r="AX1486" s="2202" t="s">
        <v>3213</v>
      </c>
      <c r="AY1486" s="2204" t="s">
        <v>3285</v>
      </c>
    </row>
    <row r="1487" spans="2:65" s="2195" customFormat="1">
      <c r="B1487" s="2196"/>
      <c r="D1487" s="2197" t="s">
        <v>3303</v>
      </c>
      <c r="E1487" s="2198" t="s">
        <v>3146</v>
      </c>
      <c r="F1487" s="2199" t="s">
        <v>5541</v>
      </c>
      <c r="H1487" s="2198" t="s">
        <v>3146</v>
      </c>
      <c r="L1487" s="2196"/>
      <c r="M1487" s="2200"/>
      <c r="T1487" s="2201"/>
      <c r="AT1487" s="2198" t="s">
        <v>3303</v>
      </c>
      <c r="AU1487" s="2198" t="s">
        <v>134</v>
      </c>
      <c r="AV1487" s="2195" t="s">
        <v>133</v>
      </c>
      <c r="AW1487" s="2195" t="s">
        <v>3171</v>
      </c>
      <c r="AX1487" s="2195" t="s">
        <v>3213</v>
      </c>
      <c r="AY1487" s="2198" t="s">
        <v>3285</v>
      </c>
    </row>
    <row r="1488" spans="2:65" s="2209" customFormat="1">
      <c r="B1488" s="2210"/>
      <c r="D1488" s="2197" t="s">
        <v>3303</v>
      </c>
      <c r="E1488" s="2211" t="s">
        <v>3146</v>
      </c>
      <c r="F1488" s="2212" t="s">
        <v>5645</v>
      </c>
      <c r="H1488" s="2213">
        <v>11.57</v>
      </c>
      <c r="L1488" s="2210"/>
      <c r="M1488" s="2214"/>
      <c r="T1488" s="2215"/>
      <c r="AT1488" s="2211" t="s">
        <v>3303</v>
      </c>
      <c r="AU1488" s="2211" t="s">
        <v>134</v>
      </c>
      <c r="AV1488" s="2209" t="s">
        <v>134</v>
      </c>
      <c r="AW1488" s="2209" t="s">
        <v>3171</v>
      </c>
      <c r="AX1488" s="2209" t="s">
        <v>3213</v>
      </c>
      <c r="AY1488" s="2211" t="s">
        <v>3285</v>
      </c>
    </row>
    <row r="1489" spans="2:65" s="2195" customFormat="1">
      <c r="B1489" s="2196"/>
      <c r="D1489" s="2197" t="s">
        <v>3303</v>
      </c>
      <c r="E1489" s="2198" t="s">
        <v>3146</v>
      </c>
      <c r="F1489" s="2199" t="s">
        <v>5646</v>
      </c>
      <c r="H1489" s="2198" t="s">
        <v>3146</v>
      </c>
      <c r="L1489" s="2196"/>
      <c r="M1489" s="2200"/>
      <c r="T1489" s="2201"/>
      <c r="AT1489" s="2198" t="s">
        <v>3303</v>
      </c>
      <c r="AU1489" s="2198" t="s">
        <v>134</v>
      </c>
      <c r="AV1489" s="2195" t="s">
        <v>133</v>
      </c>
      <c r="AW1489" s="2195" t="s">
        <v>3171</v>
      </c>
      <c r="AX1489" s="2195" t="s">
        <v>3213</v>
      </c>
      <c r="AY1489" s="2198" t="s">
        <v>3285</v>
      </c>
    </row>
    <row r="1490" spans="2:65" s="2209" customFormat="1">
      <c r="B1490" s="2210"/>
      <c r="D1490" s="2197" t="s">
        <v>3303</v>
      </c>
      <c r="E1490" s="2211" t="s">
        <v>3146</v>
      </c>
      <c r="F1490" s="2212" t="s">
        <v>5647</v>
      </c>
      <c r="H1490" s="2213">
        <v>22</v>
      </c>
      <c r="L1490" s="2210"/>
      <c r="M1490" s="2214"/>
      <c r="T1490" s="2215"/>
      <c r="AT1490" s="2211" t="s">
        <v>3303</v>
      </c>
      <c r="AU1490" s="2211" t="s">
        <v>134</v>
      </c>
      <c r="AV1490" s="2209" t="s">
        <v>134</v>
      </c>
      <c r="AW1490" s="2209" t="s">
        <v>3171</v>
      </c>
      <c r="AX1490" s="2209" t="s">
        <v>3213</v>
      </c>
      <c r="AY1490" s="2211" t="s">
        <v>3285</v>
      </c>
    </row>
    <row r="1491" spans="2:65" s="2209" customFormat="1">
      <c r="B1491" s="2210"/>
      <c r="D1491" s="2197" t="s">
        <v>3303</v>
      </c>
      <c r="E1491" s="2211" t="s">
        <v>3146</v>
      </c>
      <c r="F1491" s="2212" t="s">
        <v>5648</v>
      </c>
      <c r="H1491" s="2213">
        <v>14.34</v>
      </c>
      <c r="L1491" s="2210"/>
      <c r="M1491" s="2214"/>
      <c r="T1491" s="2215"/>
      <c r="AT1491" s="2211" t="s">
        <v>3303</v>
      </c>
      <c r="AU1491" s="2211" t="s">
        <v>134</v>
      </c>
      <c r="AV1491" s="2209" t="s">
        <v>134</v>
      </c>
      <c r="AW1491" s="2209" t="s">
        <v>3171</v>
      </c>
      <c r="AX1491" s="2209" t="s">
        <v>3213</v>
      </c>
      <c r="AY1491" s="2211" t="s">
        <v>3285</v>
      </c>
    </row>
    <row r="1492" spans="2:65" s="2202" customFormat="1">
      <c r="B1492" s="2203"/>
      <c r="D1492" s="2197" t="s">
        <v>3303</v>
      </c>
      <c r="E1492" s="2204" t="s">
        <v>3146</v>
      </c>
      <c r="F1492" s="2205" t="s">
        <v>3305</v>
      </c>
      <c r="H1492" s="2206">
        <v>47.91</v>
      </c>
      <c r="L1492" s="2203"/>
      <c r="M1492" s="2207"/>
      <c r="T1492" s="2208"/>
      <c r="AT1492" s="2204" t="s">
        <v>3303</v>
      </c>
      <c r="AU1492" s="2204" t="s">
        <v>134</v>
      </c>
      <c r="AV1492" s="2202" t="s">
        <v>854</v>
      </c>
      <c r="AW1492" s="2202" t="s">
        <v>3171</v>
      </c>
      <c r="AX1492" s="2202" t="s">
        <v>3213</v>
      </c>
      <c r="AY1492" s="2204" t="s">
        <v>3285</v>
      </c>
    </row>
    <row r="1493" spans="2:65" s="2216" customFormat="1">
      <c r="B1493" s="2217"/>
      <c r="D1493" s="2197" t="s">
        <v>3303</v>
      </c>
      <c r="E1493" s="2218" t="s">
        <v>3146</v>
      </c>
      <c r="F1493" s="2219" t="s">
        <v>3306</v>
      </c>
      <c r="H1493" s="2220">
        <v>59.48</v>
      </c>
      <c r="L1493" s="2217"/>
      <c r="M1493" s="2221"/>
      <c r="T1493" s="2222"/>
      <c r="AT1493" s="2218" t="s">
        <v>3303</v>
      </c>
      <c r="AU1493" s="2218" t="s">
        <v>134</v>
      </c>
      <c r="AV1493" s="2216" t="s">
        <v>856</v>
      </c>
      <c r="AW1493" s="2216" t="s">
        <v>3171</v>
      </c>
      <c r="AX1493" s="2216" t="s">
        <v>133</v>
      </c>
      <c r="AY1493" s="2218" t="s">
        <v>3285</v>
      </c>
    </row>
    <row r="1494" spans="2:65" s="2070" customFormat="1" ht="24.2" customHeight="1">
      <c r="B1494" s="2164"/>
      <c r="C1494" s="4614" t="s">
        <v>11433</v>
      </c>
      <c r="D1494" s="4614" t="s">
        <v>135</v>
      </c>
      <c r="E1494" s="4615" t="s">
        <v>5649</v>
      </c>
      <c r="F1494" s="4616" t="s">
        <v>5650</v>
      </c>
      <c r="G1494" s="4617" t="s">
        <v>611</v>
      </c>
      <c r="H1494" s="4618">
        <v>28.925000000000001</v>
      </c>
      <c r="I1494" s="4619"/>
      <c r="J1494" s="4619">
        <f>ROUND(I1494*H1494,2)</f>
        <v>0</v>
      </c>
      <c r="K1494" s="4616" t="s">
        <v>142</v>
      </c>
      <c r="L1494" s="2223"/>
      <c r="M1494" s="2224" t="s">
        <v>3146</v>
      </c>
      <c r="N1494" s="2225" t="s">
        <v>3181</v>
      </c>
      <c r="O1494" s="2191">
        <v>0</v>
      </c>
      <c r="P1494" s="2191">
        <f>O1494*H1494</f>
        <v>0</v>
      </c>
      <c r="Q1494" s="2191">
        <v>3.8289999999999998E-2</v>
      </c>
      <c r="R1494" s="2191">
        <f>Q1494*H1494</f>
        <v>1.1075382499999999</v>
      </c>
      <c r="S1494" s="2191">
        <v>0</v>
      </c>
      <c r="T1494" s="2192">
        <f>S1494*H1494</f>
        <v>0</v>
      </c>
      <c r="AR1494" s="2193" t="s">
        <v>3389</v>
      </c>
      <c r="AT1494" s="2193" t="s">
        <v>135</v>
      </c>
      <c r="AU1494" s="2193" t="s">
        <v>134</v>
      </c>
      <c r="AY1494" s="2056" t="s">
        <v>3285</v>
      </c>
      <c r="BE1494" s="2194">
        <f>IF(N1494="základní",J1494,0)</f>
        <v>0</v>
      </c>
      <c r="BF1494" s="2194">
        <f>IF(N1494="snížená",J1494,0)</f>
        <v>0</v>
      </c>
      <c r="BG1494" s="2194">
        <f>IF(N1494="zákl. přenesená",J1494,0)</f>
        <v>0</v>
      </c>
      <c r="BH1494" s="2194">
        <f>IF(N1494="sníž. přenesená",J1494,0)</f>
        <v>0</v>
      </c>
      <c r="BI1494" s="2194">
        <f>IF(N1494="nulová",J1494,0)</f>
        <v>0</v>
      </c>
      <c r="BJ1494" s="2056" t="s">
        <v>134</v>
      </c>
      <c r="BK1494" s="2194">
        <f>ROUND(I1494*H1494,2)</f>
        <v>0</v>
      </c>
      <c r="BL1494" s="2056" t="s">
        <v>2894</v>
      </c>
      <c r="BM1494" s="2193" t="s">
        <v>5651</v>
      </c>
    </row>
    <row r="1495" spans="2:65" s="2195" customFormat="1">
      <c r="B1495" s="2196"/>
      <c r="D1495" s="2197" t="s">
        <v>3303</v>
      </c>
      <c r="E1495" s="2198" t="s">
        <v>3146</v>
      </c>
      <c r="F1495" s="2199" t="s">
        <v>5537</v>
      </c>
      <c r="H1495" s="2198" t="s">
        <v>3146</v>
      </c>
      <c r="L1495" s="2196"/>
      <c r="M1495" s="2200"/>
      <c r="T1495" s="2201"/>
      <c r="AT1495" s="2198" t="s">
        <v>3303</v>
      </c>
      <c r="AU1495" s="2198" t="s">
        <v>134</v>
      </c>
      <c r="AV1495" s="2195" t="s">
        <v>133</v>
      </c>
      <c r="AW1495" s="2195" t="s">
        <v>3171</v>
      </c>
      <c r="AX1495" s="2195" t="s">
        <v>3213</v>
      </c>
      <c r="AY1495" s="2198" t="s">
        <v>3285</v>
      </c>
    </row>
    <row r="1496" spans="2:65" s="2209" customFormat="1">
      <c r="B1496" s="2210"/>
      <c r="D1496" s="2197" t="s">
        <v>3303</v>
      </c>
      <c r="E1496" s="2211" t="s">
        <v>3146</v>
      </c>
      <c r="F1496" s="2212" t="s">
        <v>5645</v>
      </c>
      <c r="H1496" s="2213">
        <v>11.57</v>
      </c>
      <c r="L1496" s="2210"/>
      <c r="M1496" s="2214"/>
      <c r="T1496" s="2215"/>
      <c r="AT1496" s="2211" t="s">
        <v>3303</v>
      </c>
      <c r="AU1496" s="2211" t="s">
        <v>134</v>
      </c>
      <c r="AV1496" s="2209" t="s">
        <v>134</v>
      </c>
      <c r="AW1496" s="2209" t="s">
        <v>3171</v>
      </c>
      <c r="AX1496" s="2209" t="s">
        <v>3213</v>
      </c>
      <c r="AY1496" s="2211" t="s">
        <v>3285</v>
      </c>
    </row>
    <row r="1497" spans="2:65" s="2202" customFormat="1">
      <c r="B1497" s="2203"/>
      <c r="D1497" s="2197" t="s">
        <v>3303</v>
      </c>
      <c r="E1497" s="2204" t="s">
        <v>3146</v>
      </c>
      <c r="F1497" s="2205" t="s">
        <v>3305</v>
      </c>
      <c r="H1497" s="2206">
        <v>11.57</v>
      </c>
      <c r="L1497" s="2203"/>
      <c r="M1497" s="2207"/>
      <c r="T1497" s="2208"/>
      <c r="AT1497" s="2204" t="s">
        <v>3303</v>
      </c>
      <c r="AU1497" s="2204" t="s">
        <v>134</v>
      </c>
      <c r="AV1497" s="2202" t="s">
        <v>854</v>
      </c>
      <c r="AW1497" s="2202" t="s">
        <v>3171</v>
      </c>
      <c r="AX1497" s="2202" t="s">
        <v>3213</v>
      </c>
      <c r="AY1497" s="2204" t="s">
        <v>3285</v>
      </c>
    </row>
    <row r="1498" spans="2:65" s="2195" customFormat="1">
      <c r="B1498" s="2196"/>
      <c r="D1498" s="2197" t="s">
        <v>3303</v>
      </c>
      <c r="E1498" s="2198" t="s">
        <v>3146</v>
      </c>
      <c r="F1498" s="2199" t="s">
        <v>5541</v>
      </c>
      <c r="H1498" s="2198" t="s">
        <v>3146</v>
      </c>
      <c r="L1498" s="2196"/>
      <c r="M1498" s="2200"/>
      <c r="T1498" s="2201"/>
      <c r="AT1498" s="2198" t="s">
        <v>3303</v>
      </c>
      <c r="AU1498" s="2198" t="s">
        <v>134</v>
      </c>
      <c r="AV1498" s="2195" t="s">
        <v>133</v>
      </c>
      <c r="AW1498" s="2195" t="s">
        <v>3171</v>
      </c>
      <c r="AX1498" s="2195" t="s">
        <v>3213</v>
      </c>
      <c r="AY1498" s="2198" t="s">
        <v>3285</v>
      </c>
    </row>
    <row r="1499" spans="2:65" s="2209" customFormat="1">
      <c r="B1499" s="2210"/>
      <c r="D1499" s="2197" t="s">
        <v>3303</v>
      </c>
      <c r="E1499" s="2211" t="s">
        <v>3146</v>
      </c>
      <c r="F1499" s="2212" t="s">
        <v>5645</v>
      </c>
      <c r="H1499" s="2213">
        <v>11.57</v>
      </c>
      <c r="L1499" s="2210"/>
      <c r="M1499" s="2214"/>
      <c r="T1499" s="2215"/>
      <c r="AT1499" s="2211" t="s">
        <v>3303</v>
      </c>
      <c r="AU1499" s="2211" t="s">
        <v>134</v>
      </c>
      <c r="AV1499" s="2209" t="s">
        <v>134</v>
      </c>
      <c r="AW1499" s="2209" t="s">
        <v>3171</v>
      </c>
      <c r="AX1499" s="2209" t="s">
        <v>3213</v>
      </c>
      <c r="AY1499" s="2211" t="s">
        <v>3285</v>
      </c>
    </row>
    <row r="1500" spans="2:65" s="2216" customFormat="1">
      <c r="B1500" s="2217"/>
      <c r="D1500" s="2197" t="s">
        <v>3303</v>
      </c>
      <c r="E1500" s="2218" t="s">
        <v>3146</v>
      </c>
      <c r="F1500" s="2219" t="s">
        <v>3306</v>
      </c>
      <c r="H1500" s="2220">
        <v>23.14</v>
      </c>
      <c r="L1500" s="2217"/>
      <c r="M1500" s="2221"/>
      <c r="T1500" s="2222"/>
      <c r="AT1500" s="2218" t="s">
        <v>3303</v>
      </c>
      <c r="AU1500" s="2218" t="s">
        <v>134</v>
      </c>
      <c r="AV1500" s="2216" t="s">
        <v>856</v>
      </c>
      <c r="AW1500" s="2216" t="s">
        <v>3171</v>
      </c>
      <c r="AX1500" s="2216" t="s">
        <v>133</v>
      </c>
      <c r="AY1500" s="2218" t="s">
        <v>3285</v>
      </c>
    </row>
    <row r="1501" spans="2:65" s="2209" customFormat="1">
      <c r="B1501" s="2210"/>
      <c r="D1501" s="2197" t="s">
        <v>3303</v>
      </c>
      <c r="F1501" s="2212" t="s">
        <v>5652</v>
      </c>
      <c r="H1501" s="2213">
        <v>28.925000000000001</v>
      </c>
      <c r="L1501" s="2210"/>
      <c r="M1501" s="2214"/>
      <c r="T1501" s="2215"/>
      <c r="AT1501" s="2211" t="s">
        <v>3303</v>
      </c>
      <c r="AU1501" s="2211" t="s">
        <v>134</v>
      </c>
      <c r="AV1501" s="2209" t="s">
        <v>134</v>
      </c>
      <c r="AW1501" s="2209" t="s">
        <v>3148</v>
      </c>
      <c r="AX1501" s="2209" t="s">
        <v>133</v>
      </c>
      <c r="AY1501" s="2211" t="s">
        <v>3285</v>
      </c>
    </row>
    <row r="1502" spans="2:65" s="2070" customFormat="1" ht="24.2" customHeight="1">
      <c r="B1502" s="2164"/>
      <c r="C1502" s="4614" t="s">
        <v>11434</v>
      </c>
      <c r="D1502" s="4614" t="s">
        <v>135</v>
      </c>
      <c r="E1502" s="4615" t="s">
        <v>5638</v>
      </c>
      <c r="F1502" s="4616" t="s">
        <v>5639</v>
      </c>
      <c r="G1502" s="4617" t="s">
        <v>611</v>
      </c>
      <c r="H1502" s="4618">
        <v>45.424999999999997</v>
      </c>
      <c r="I1502" s="4619"/>
      <c r="J1502" s="4619">
        <f>ROUND(I1502*H1502,2)</f>
        <v>0</v>
      </c>
      <c r="K1502" s="4616" t="s">
        <v>142</v>
      </c>
      <c r="L1502" s="2223"/>
      <c r="M1502" s="2224" t="s">
        <v>3146</v>
      </c>
      <c r="N1502" s="2225" t="s">
        <v>3181</v>
      </c>
      <c r="O1502" s="2191">
        <v>0</v>
      </c>
      <c r="P1502" s="2191">
        <f>O1502*H1502</f>
        <v>0</v>
      </c>
      <c r="Q1502" s="2191">
        <v>3.8289999999999998E-2</v>
      </c>
      <c r="R1502" s="2191">
        <f>Q1502*H1502</f>
        <v>1.7393232499999998</v>
      </c>
      <c r="S1502" s="2191">
        <v>0</v>
      </c>
      <c r="T1502" s="2192">
        <f>S1502*H1502</f>
        <v>0</v>
      </c>
      <c r="AR1502" s="2193" t="s">
        <v>3389</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f>ROUND(I1502*H1502,2)</f>
        <v>0</v>
      </c>
      <c r="BL1502" s="2056" t="s">
        <v>2894</v>
      </c>
      <c r="BM1502" s="2193" t="s">
        <v>5653</v>
      </c>
    </row>
    <row r="1503" spans="2:65" s="2195" customFormat="1">
      <c r="B1503" s="2196"/>
      <c r="D1503" s="2197" t="s">
        <v>3303</v>
      </c>
      <c r="E1503" s="2198" t="s">
        <v>3146</v>
      </c>
      <c r="F1503" s="2199" t="s">
        <v>5646</v>
      </c>
      <c r="H1503" s="2198" t="s">
        <v>3146</v>
      </c>
      <c r="L1503" s="2196"/>
      <c r="M1503" s="2200"/>
      <c r="T1503" s="2201"/>
      <c r="AT1503" s="2198" t="s">
        <v>3303</v>
      </c>
      <c r="AU1503" s="2198" t="s">
        <v>134</v>
      </c>
      <c r="AV1503" s="2195" t="s">
        <v>133</v>
      </c>
      <c r="AW1503" s="2195" t="s">
        <v>3171</v>
      </c>
      <c r="AX1503" s="2195" t="s">
        <v>3213</v>
      </c>
      <c r="AY1503" s="2198" t="s">
        <v>3285</v>
      </c>
    </row>
    <row r="1504" spans="2:65" s="2209" customFormat="1">
      <c r="B1504" s="2210"/>
      <c r="D1504" s="2197" t="s">
        <v>3303</v>
      </c>
      <c r="E1504" s="2211" t="s">
        <v>3146</v>
      </c>
      <c r="F1504" s="2212" t="s">
        <v>5647</v>
      </c>
      <c r="H1504" s="2213">
        <v>22</v>
      </c>
      <c r="L1504" s="2210"/>
      <c r="M1504" s="2214"/>
      <c r="T1504" s="2215"/>
      <c r="AT1504" s="2211" t="s">
        <v>3303</v>
      </c>
      <c r="AU1504" s="2211" t="s">
        <v>134</v>
      </c>
      <c r="AV1504" s="2209" t="s">
        <v>134</v>
      </c>
      <c r="AW1504" s="2209" t="s">
        <v>3171</v>
      </c>
      <c r="AX1504" s="2209" t="s">
        <v>3213</v>
      </c>
      <c r="AY1504" s="2211" t="s">
        <v>3285</v>
      </c>
    </row>
    <row r="1505" spans="2:65" s="2209" customFormat="1">
      <c r="B1505" s="2210"/>
      <c r="D1505" s="2197" t="s">
        <v>3303</v>
      </c>
      <c r="E1505" s="2211" t="s">
        <v>3146</v>
      </c>
      <c r="F1505" s="2212" t="s">
        <v>5648</v>
      </c>
      <c r="H1505" s="2213">
        <v>14.34</v>
      </c>
      <c r="L1505" s="2210"/>
      <c r="M1505" s="2214"/>
      <c r="T1505" s="2215"/>
      <c r="AT1505" s="2211" t="s">
        <v>3303</v>
      </c>
      <c r="AU1505" s="2211" t="s">
        <v>134</v>
      </c>
      <c r="AV1505" s="2209" t="s">
        <v>134</v>
      </c>
      <c r="AW1505" s="2209" t="s">
        <v>3171</v>
      </c>
      <c r="AX1505" s="2209" t="s">
        <v>3213</v>
      </c>
      <c r="AY1505" s="2211" t="s">
        <v>3285</v>
      </c>
    </row>
    <row r="1506" spans="2:65" s="2202" customFormat="1">
      <c r="B1506" s="2203"/>
      <c r="D1506" s="2197" t="s">
        <v>3303</v>
      </c>
      <c r="E1506" s="2204" t="s">
        <v>3146</v>
      </c>
      <c r="F1506" s="2205" t="s">
        <v>3305</v>
      </c>
      <c r="H1506" s="2206">
        <v>36.340000000000003</v>
      </c>
      <c r="L1506" s="2203"/>
      <c r="M1506" s="2207"/>
      <c r="T1506" s="2208"/>
      <c r="AT1506" s="2204" t="s">
        <v>3303</v>
      </c>
      <c r="AU1506" s="2204" t="s">
        <v>134</v>
      </c>
      <c r="AV1506" s="2202" t="s">
        <v>854</v>
      </c>
      <c r="AW1506" s="2202" t="s">
        <v>3171</v>
      </c>
      <c r="AX1506" s="2202" t="s">
        <v>3213</v>
      </c>
      <c r="AY1506" s="2204" t="s">
        <v>3285</v>
      </c>
    </row>
    <row r="1507" spans="2:65" s="2216" customFormat="1">
      <c r="B1507" s="2217"/>
      <c r="D1507" s="2197" t="s">
        <v>3303</v>
      </c>
      <c r="E1507" s="2218" t="s">
        <v>3146</v>
      </c>
      <c r="F1507" s="2219" t="s">
        <v>3306</v>
      </c>
      <c r="H1507" s="2220">
        <v>36.340000000000003</v>
      </c>
      <c r="L1507" s="2217"/>
      <c r="M1507" s="2221"/>
      <c r="T1507" s="2222"/>
      <c r="AT1507" s="2218" t="s">
        <v>3303</v>
      </c>
      <c r="AU1507" s="2218" t="s">
        <v>134</v>
      </c>
      <c r="AV1507" s="2216" t="s">
        <v>856</v>
      </c>
      <c r="AW1507" s="2216" t="s">
        <v>3171</v>
      </c>
      <c r="AX1507" s="2216" t="s">
        <v>133</v>
      </c>
      <c r="AY1507" s="2218" t="s">
        <v>3285</v>
      </c>
    </row>
    <row r="1508" spans="2:65" s="2209" customFormat="1">
      <c r="B1508" s="2210"/>
      <c r="D1508" s="2197" t="s">
        <v>3303</v>
      </c>
      <c r="F1508" s="2212" t="s">
        <v>5654</v>
      </c>
      <c r="H1508" s="2213">
        <v>45.424999999999997</v>
      </c>
      <c r="L1508" s="2210"/>
      <c r="M1508" s="2214"/>
      <c r="T1508" s="2215"/>
      <c r="AT1508" s="2211" t="s">
        <v>3303</v>
      </c>
      <c r="AU1508" s="2211" t="s">
        <v>134</v>
      </c>
      <c r="AV1508" s="2209" t="s">
        <v>134</v>
      </c>
      <c r="AW1508" s="2209" t="s">
        <v>3148</v>
      </c>
      <c r="AX1508" s="2209" t="s">
        <v>133</v>
      </c>
      <c r="AY1508" s="2211" t="s">
        <v>3285</v>
      </c>
    </row>
    <row r="1509" spans="2:65" s="2070" customFormat="1" ht="16.5" customHeight="1">
      <c r="B1509" s="2164"/>
      <c r="C1509" s="4608" t="s">
        <v>11435</v>
      </c>
      <c r="D1509" s="4608" t="s">
        <v>3286</v>
      </c>
      <c r="E1509" s="4609" t="s">
        <v>5655</v>
      </c>
      <c r="F1509" s="4610" t="s">
        <v>5656</v>
      </c>
      <c r="G1509" s="4611" t="s">
        <v>611</v>
      </c>
      <c r="H1509" s="4612">
        <v>21.71</v>
      </c>
      <c r="I1509" s="4613"/>
      <c r="J1509" s="4613">
        <f>ROUND(I1509*H1509,2)</f>
        <v>0</v>
      </c>
      <c r="K1509" s="4610" t="s">
        <v>142</v>
      </c>
      <c r="L1509" s="2071"/>
      <c r="M1509" s="2190" t="s">
        <v>3146</v>
      </c>
      <c r="N1509" s="2163" t="s">
        <v>3181</v>
      </c>
      <c r="O1509" s="2191">
        <v>1.042</v>
      </c>
      <c r="P1509" s="2191">
        <f>O1509*H1509</f>
        <v>22.621820000000003</v>
      </c>
      <c r="Q1509" s="2191">
        <v>1.4999999999999999E-4</v>
      </c>
      <c r="R1509" s="2191">
        <f>Q1509*H1509</f>
        <v>3.2564999999999998E-3</v>
      </c>
      <c r="S1509" s="2191">
        <v>0</v>
      </c>
      <c r="T1509" s="2192">
        <f>S1509*H1509</f>
        <v>0</v>
      </c>
      <c r="AR1509" s="2193" t="s">
        <v>2894</v>
      </c>
      <c r="AT1509" s="2193" t="s">
        <v>3286</v>
      </c>
      <c r="AU1509" s="2193" t="s">
        <v>134</v>
      </c>
      <c r="AY1509" s="2056" t="s">
        <v>3285</v>
      </c>
      <c r="BE1509" s="2194">
        <f>IF(N1509="základní",J1509,0)</f>
        <v>0</v>
      </c>
      <c r="BF1509" s="2194">
        <f>IF(N1509="snížená",J1509,0)</f>
        <v>0</v>
      </c>
      <c r="BG1509" s="2194">
        <f>IF(N1509="zákl. přenesená",J1509,0)</f>
        <v>0</v>
      </c>
      <c r="BH1509" s="2194">
        <f>IF(N1509="sníž. přenesená",J1509,0)</f>
        <v>0</v>
      </c>
      <c r="BI1509" s="2194">
        <f>IF(N1509="nulová",J1509,0)</f>
        <v>0</v>
      </c>
      <c r="BJ1509" s="2056" t="s">
        <v>134</v>
      </c>
      <c r="BK1509" s="2194">
        <f>ROUND(I1509*H1509,2)</f>
        <v>0</v>
      </c>
      <c r="BL1509" s="2056" t="s">
        <v>2894</v>
      </c>
      <c r="BM1509" s="2193" t="s">
        <v>5657</v>
      </c>
    </row>
    <row r="1510" spans="2:65" s="2195" customFormat="1">
      <c r="B1510" s="2196"/>
      <c r="D1510" s="2197" t="s">
        <v>3303</v>
      </c>
      <c r="E1510" s="2198" t="s">
        <v>3146</v>
      </c>
      <c r="F1510" s="2199" t="s">
        <v>5533</v>
      </c>
      <c r="H1510" s="2198" t="s">
        <v>3146</v>
      </c>
      <c r="L1510" s="2196"/>
      <c r="M1510" s="2200"/>
      <c r="T1510" s="2201"/>
      <c r="AT1510" s="2198" t="s">
        <v>3303</v>
      </c>
      <c r="AU1510" s="2198" t="s">
        <v>134</v>
      </c>
      <c r="AV1510" s="2195" t="s">
        <v>133</v>
      </c>
      <c r="AW1510" s="2195" t="s">
        <v>3171</v>
      </c>
      <c r="AX1510" s="2195" t="s">
        <v>3213</v>
      </c>
      <c r="AY1510" s="2198" t="s">
        <v>3285</v>
      </c>
    </row>
    <row r="1511" spans="2:65" s="2209" customFormat="1">
      <c r="B1511" s="2210"/>
      <c r="D1511" s="2197" t="s">
        <v>3303</v>
      </c>
      <c r="E1511" s="2211" t="s">
        <v>3146</v>
      </c>
      <c r="F1511" s="2212" t="s">
        <v>5658</v>
      </c>
      <c r="H1511" s="2213">
        <v>21.71</v>
      </c>
      <c r="L1511" s="2210"/>
      <c r="M1511" s="2214"/>
      <c r="T1511" s="2215"/>
      <c r="AT1511" s="2211" t="s">
        <v>3303</v>
      </c>
      <c r="AU1511" s="2211" t="s">
        <v>134</v>
      </c>
      <c r="AV1511" s="2209" t="s">
        <v>134</v>
      </c>
      <c r="AW1511" s="2209" t="s">
        <v>3171</v>
      </c>
      <c r="AX1511" s="2209" t="s">
        <v>3213</v>
      </c>
      <c r="AY1511" s="2211" t="s">
        <v>3285</v>
      </c>
    </row>
    <row r="1512" spans="2:65" s="2216" customFormat="1">
      <c r="B1512" s="2217"/>
      <c r="D1512" s="2197" t="s">
        <v>3303</v>
      </c>
      <c r="E1512" s="2218" t="s">
        <v>3146</v>
      </c>
      <c r="F1512" s="2219" t="s">
        <v>3306</v>
      </c>
      <c r="H1512" s="2220">
        <v>21.71</v>
      </c>
      <c r="L1512" s="2217"/>
      <c r="M1512" s="2221"/>
      <c r="T1512" s="2222"/>
      <c r="AT1512" s="2218" t="s">
        <v>3303</v>
      </c>
      <c r="AU1512" s="2218" t="s">
        <v>134</v>
      </c>
      <c r="AV1512" s="2216" t="s">
        <v>856</v>
      </c>
      <c r="AW1512" s="2216" t="s">
        <v>3171</v>
      </c>
      <c r="AX1512" s="2216" t="s">
        <v>133</v>
      </c>
      <c r="AY1512" s="2218" t="s">
        <v>3285</v>
      </c>
    </row>
    <row r="1513" spans="2:65" s="2070" customFormat="1" ht="24.2" customHeight="1">
      <c r="B1513" s="2164"/>
      <c r="C1513" s="4614" t="s">
        <v>11436</v>
      </c>
      <c r="D1513" s="4614" t="s">
        <v>135</v>
      </c>
      <c r="E1513" s="4615" t="s">
        <v>5649</v>
      </c>
      <c r="F1513" s="4616" t="s">
        <v>5650</v>
      </c>
      <c r="G1513" s="4617" t="s">
        <v>611</v>
      </c>
      <c r="H1513" s="4618">
        <v>27.138000000000002</v>
      </c>
      <c r="I1513" s="4619"/>
      <c r="J1513" s="4619">
        <f>ROUND(I1513*H1513,2)</f>
        <v>0</v>
      </c>
      <c r="K1513" s="4616" t="s">
        <v>142</v>
      </c>
      <c r="L1513" s="2223"/>
      <c r="M1513" s="2224" t="s">
        <v>3146</v>
      </c>
      <c r="N1513" s="2225" t="s">
        <v>3181</v>
      </c>
      <c r="O1513" s="2191">
        <v>0</v>
      </c>
      <c r="P1513" s="2191">
        <f>O1513*H1513</f>
        <v>0</v>
      </c>
      <c r="Q1513" s="2191">
        <v>3.8289999999999998E-2</v>
      </c>
      <c r="R1513" s="2191">
        <f>Q1513*H1513</f>
        <v>1.03911402</v>
      </c>
      <c r="S1513" s="2191">
        <v>0</v>
      </c>
      <c r="T1513" s="2192">
        <f>S1513*H1513</f>
        <v>0</v>
      </c>
      <c r="AR1513" s="2193" t="s">
        <v>3389</v>
      </c>
      <c r="AT1513" s="2193" t="s">
        <v>135</v>
      </c>
      <c r="AU1513" s="2193" t="s">
        <v>134</v>
      </c>
      <c r="AY1513" s="2056" t="s">
        <v>3285</v>
      </c>
      <c r="BE1513" s="2194">
        <f>IF(N1513="základní",J1513,0)</f>
        <v>0</v>
      </c>
      <c r="BF1513" s="2194">
        <f>IF(N1513="snížená",J1513,0)</f>
        <v>0</v>
      </c>
      <c r="BG1513" s="2194">
        <f>IF(N1513="zákl. přenesená",J1513,0)</f>
        <v>0</v>
      </c>
      <c r="BH1513" s="2194">
        <f>IF(N1513="sníž. přenesená",J1513,0)</f>
        <v>0</v>
      </c>
      <c r="BI1513" s="2194">
        <f>IF(N1513="nulová",J1513,0)</f>
        <v>0</v>
      </c>
      <c r="BJ1513" s="2056" t="s">
        <v>134</v>
      </c>
      <c r="BK1513" s="2194">
        <f>ROUND(I1513*H1513,2)</f>
        <v>0</v>
      </c>
      <c r="BL1513" s="2056" t="s">
        <v>2894</v>
      </c>
      <c r="BM1513" s="2193" t="s">
        <v>5659</v>
      </c>
    </row>
    <row r="1514" spans="2:65" s="2195" customFormat="1">
      <c r="B1514" s="2196"/>
      <c r="D1514" s="2197" t="s">
        <v>3303</v>
      </c>
      <c r="E1514" s="2198" t="s">
        <v>3146</v>
      </c>
      <c r="F1514" s="2199" t="s">
        <v>5533</v>
      </c>
      <c r="H1514" s="2198" t="s">
        <v>3146</v>
      </c>
      <c r="L1514" s="2196"/>
      <c r="M1514" s="2200"/>
      <c r="T1514" s="2201"/>
      <c r="AT1514" s="2198" t="s">
        <v>3303</v>
      </c>
      <c r="AU1514" s="2198" t="s">
        <v>134</v>
      </c>
      <c r="AV1514" s="2195" t="s">
        <v>133</v>
      </c>
      <c r="AW1514" s="2195" t="s">
        <v>3171</v>
      </c>
      <c r="AX1514" s="2195" t="s">
        <v>3213</v>
      </c>
      <c r="AY1514" s="2198" t="s">
        <v>3285</v>
      </c>
    </row>
    <row r="1515" spans="2:65" s="2209" customFormat="1">
      <c r="B1515" s="2210"/>
      <c r="D1515" s="2197" t="s">
        <v>3303</v>
      </c>
      <c r="E1515" s="2211" t="s">
        <v>3146</v>
      </c>
      <c r="F1515" s="2212" t="s">
        <v>5658</v>
      </c>
      <c r="H1515" s="2213">
        <v>21.71</v>
      </c>
      <c r="L1515" s="2210"/>
      <c r="M1515" s="2214"/>
      <c r="T1515" s="2215"/>
      <c r="AT1515" s="2211" t="s">
        <v>3303</v>
      </c>
      <c r="AU1515" s="2211" t="s">
        <v>134</v>
      </c>
      <c r="AV1515" s="2209" t="s">
        <v>134</v>
      </c>
      <c r="AW1515" s="2209" t="s">
        <v>3171</v>
      </c>
      <c r="AX1515" s="2209" t="s">
        <v>3213</v>
      </c>
      <c r="AY1515" s="2211" t="s">
        <v>3285</v>
      </c>
    </row>
    <row r="1516" spans="2:65" s="2216" customFormat="1">
      <c r="B1516" s="2217"/>
      <c r="D1516" s="2197" t="s">
        <v>3303</v>
      </c>
      <c r="E1516" s="2218" t="s">
        <v>3146</v>
      </c>
      <c r="F1516" s="2219" t="s">
        <v>3306</v>
      </c>
      <c r="H1516" s="2220">
        <v>21.71</v>
      </c>
      <c r="L1516" s="2217"/>
      <c r="M1516" s="2221"/>
      <c r="T1516" s="2222"/>
      <c r="AT1516" s="2218" t="s">
        <v>3303</v>
      </c>
      <c r="AU1516" s="2218" t="s">
        <v>134</v>
      </c>
      <c r="AV1516" s="2216" t="s">
        <v>856</v>
      </c>
      <c r="AW1516" s="2216" t="s">
        <v>3171</v>
      </c>
      <c r="AX1516" s="2216" t="s">
        <v>133</v>
      </c>
      <c r="AY1516" s="2218" t="s">
        <v>3285</v>
      </c>
    </row>
    <row r="1517" spans="2:65" s="2209" customFormat="1">
      <c r="B1517" s="2210"/>
      <c r="D1517" s="2197" t="s">
        <v>3303</v>
      </c>
      <c r="F1517" s="2212" t="s">
        <v>5660</v>
      </c>
      <c r="H1517" s="2213">
        <v>27.138000000000002</v>
      </c>
      <c r="L1517" s="2210"/>
      <c r="M1517" s="2214"/>
      <c r="T1517" s="2215"/>
      <c r="AT1517" s="2211" t="s">
        <v>3303</v>
      </c>
      <c r="AU1517" s="2211" t="s">
        <v>134</v>
      </c>
      <c r="AV1517" s="2209" t="s">
        <v>134</v>
      </c>
      <c r="AW1517" s="2209" t="s">
        <v>3148</v>
      </c>
      <c r="AX1517" s="2209" t="s">
        <v>133</v>
      </c>
      <c r="AY1517" s="2211" t="s">
        <v>3285</v>
      </c>
    </row>
    <row r="1518" spans="2:65" s="2070" customFormat="1" ht="16.5" customHeight="1">
      <c r="B1518" s="2164"/>
      <c r="C1518" s="4608" t="s">
        <v>11437</v>
      </c>
      <c r="D1518" s="4608" t="s">
        <v>3286</v>
      </c>
      <c r="E1518" s="4609" t="s">
        <v>5661</v>
      </c>
      <c r="F1518" s="4610" t="s">
        <v>5662</v>
      </c>
      <c r="G1518" s="4611" t="s">
        <v>611</v>
      </c>
      <c r="H1518" s="4612">
        <v>5.48</v>
      </c>
      <c r="I1518" s="4613"/>
      <c r="J1518" s="4613">
        <f>ROUND(I1518*H1518,2)</f>
        <v>0</v>
      </c>
      <c r="K1518" s="4610" t="s">
        <v>142</v>
      </c>
      <c r="L1518" s="2071"/>
      <c r="M1518" s="2190" t="s">
        <v>3146</v>
      </c>
      <c r="N1518" s="2163" t="s">
        <v>3181</v>
      </c>
      <c r="O1518" s="2191">
        <v>1.323</v>
      </c>
      <c r="P1518" s="2191">
        <f>O1518*H1518</f>
        <v>7.2500400000000003</v>
      </c>
      <c r="Q1518" s="2191">
        <v>2.0000000000000001E-4</v>
      </c>
      <c r="R1518" s="2191">
        <f>Q1518*H1518</f>
        <v>1.0960000000000002E-3</v>
      </c>
      <c r="S1518" s="2191">
        <v>0</v>
      </c>
      <c r="T1518" s="2192">
        <f>S1518*H1518</f>
        <v>0</v>
      </c>
      <c r="AR1518" s="2193" t="s">
        <v>2894</v>
      </c>
      <c r="AT1518" s="2193" t="s">
        <v>3286</v>
      </c>
      <c r="AU1518" s="2193" t="s">
        <v>134</v>
      </c>
      <c r="AY1518" s="2056" t="s">
        <v>3285</v>
      </c>
      <c r="BE1518" s="2194">
        <f>IF(N1518="základní",J1518,0)</f>
        <v>0</v>
      </c>
      <c r="BF1518" s="2194">
        <f>IF(N1518="snížená",J1518,0)</f>
        <v>0</v>
      </c>
      <c r="BG1518" s="2194">
        <f>IF(N1518="zákl. přenesená",J1518,0)</f>
        <v>0</v>
      </c>
      <c r="BH1518" s="2194">
        <f>IF(N1518="sníž. přenesená",J1518,0)</f>
        <v>0</v>
      </c>
      <c r="BI1518" s="2194">
        <f>IF(N1518="nulová",J1518,0)</f>
        <v>0</v>
      </c>
      <c r="BJ1518" s="2056" t="s">
        <v>134</v>
      </c>
      <c r="BK1518" s="2194">
        <f>ROUND(I1518*H1518,2)</f>
        <v>0</v>
      </c>
      <c r="BL1518" s="2056" t="s">
        <v>2894</v>
      </c>
      <c r="BM1518" s="2193" t="s">
        <v>5663</v>
      </c>
    </row>
    <row r="1519" spans="2:65" s="2195" customFormat="1">
      <c r="B1519" s="2196"/>
      <c r="D1519" s="2197" t="s">
        <v>3303</v>
      </c>
      <c r="E1519" s="2198" t="s">
        <v>3146</v>
      </c>
      <c r="F1519" s="2199" t="s">
        <v>5553</v>
      </c>
      <c r="H1519" s="2198" t="s">
        <v>3146</v>
      </c>
      <c r="L1519" s="2196"/>
      <c r="M1519" s="2200"/>
      <c r="T1519" s="2201"/>
      <c r="AT1519" s="2198" t="s">
        <v>3303</v>
      </c>
      <c r="AU1519" s="2198" t="s">
        <v>134</v>
      </c>
      <c r="AV1519" s="2195" t="s">
        <v>133</v>
      </c>
      <c r="AW1519" s="2195" t="s">
        <v>3171</v>
      </c>
      <c r="AX1519" s="2195" t="s">
        <v>3213</v>
      </c>
      <c r="AY1519" s="2198" t="s">
        <v>3285</v>
      </c>
    </row>
    <row r="1520" spans="2:65" s="2209" customFormat="1">
      <c r="B1520" s="2210"/>
      <c r="D1520" s="2197" t="s">
        <v>3303</v>
      </c>
      <c r="E1520" s="2211" t="s">
        <v>3146</v>
      </c>
      <c r="F1520" s="2212" t="s">
        <v>5664</v>
      </c>
      <c r="H1520" s="2213">
        <v>5.2</v>
      </c>
      <c r="L1520" s="2210"/>
      <c r="M1520" s="2214"/>
      <c r="T1520" s="2215"/>
      <c r="AT1520" s="2211" t="s">
        <v>3303</v>
      </c>
      <c r="AU1520" s="2211" t="s">
        <v>134</v>
      </c>
      <c r="AV1520" s="2209" t="s">
        <v>134</v>
      </c>
      <c r="AW1520" s="2209" t="s">
        <v>3171</v>
      </c>
      <c r="AX1520" s="2209" t="s">
        <v>3213</v>
      </c>
      <c r="AY1520" s="2211" t="s">
        <v>3285</v>
      </c>
    </row>
    <row r="1521" spans="2:51" s="2209" customFormat="1">
      <c r="B1521" s="2210"/>
      <c r="D1521" s="2197" t="s">
        <v>3303</v>
      </c>
      <c r="E1521" s="2211" t="s">
        <v>3146</v>
      </c>
      <c r="F1521" s="2212" t="s">
        <v>5665</v>
      </c>
      <c r="H1521" s="2213">
        <v>-1.89</v>
      </c>
      <c r="L1521" s="2210"/>
      <c r="M1521" s="2214"/>
      <c r="T1521" s="2215"/>
      <c r="AT1521" s="2211" t="s">
        <v>3303</v>
      </c>
      <c r="AU1521" s="2211" t="s">
        <v>134</v>
      </c>
      <c r="AV1521" s="2209" t="s">
        <v>134</v>
      </c>
      <c r="AW1521" s="2209" t="s">
        <v>3171</v>
      </c>
      <c r="AX1521" s="2209" t="s">
        <v>3213</v>
      </c>
      <c r="AY1521" s="2211" t="s">
        <v>3285</v>
      </c>
    </row>
    <row r="1522" spans="2:51" s="2202" customFormat="1">
      <c r="B1522" s="2203"/>
      <c r="D1522" s="2197" t="s">
        <v>3303</v>
      </c>
      <c r="E1522" s="2204" t="s">
        <v>3146</v>
      </c>
      <c r="F1522" s="2205" t="s">
        <v>3305</v>
      </c>
      <c r="H1522" s="2206">
        <v>3.31</v>
      </c>
      <c r="L1522" s="2203"/>
      <c r="M1522" s="2207"/>
      <c r="T1522" s="2208"/>
      <c r="AT1522" s="2204" t="s">
        <v>3303</v>
      </c>
      <c r="AU1522" s="2204" t="s">
        <v>134</v>
      </c>
      <c r="AV1522" s="2202" t="s">
        <v>854</v>
      </c>
      <c r="AW1522" s="2202" t="s">
        <v>3171</v>
      </c>
      <c r="AX1522" s="2202" t="s">
        <v>3213</v>
      </c>
      <c r="AY1522" s="2204" t="s">
        <v>3285</v>
      </c>
    </row>
    <row r="1523" spans="2:51" s="2195" customFormat="1">
      <c r="B1523" s="2196"/>
      <c r="D1523" s="2197" t="s">
        <v>3303</v>
      </c>
      <c r="E1523" s="2198" t="s">
        <v>3146</v>
      </c>
      <c r="F1523" s="2199" t="s">
        <v>5565</v>
      </c>
      <c r="H1523" s="2198" t="s">
        <v>3146</v>
      </c>
      <c r="L1523" s="2196"/>
      <c r="M1523" s="2200"/>
      <c r="T1523" s="2201"/>
      <c r="AT1523" s="2198" t="s">
        <v>3303</v>
      </c>
      <c r="AU1523" s="2198" t="s">
        <v>134</v>
      </c>
      <c r="AV1523" s="2195" t="s">
        <v>133</v>
      </c>
      <c r="AW1523" s="2195" t="s">
        <v>3171</v>
      </c>
      <c r="AX1523" s="2195" t="s">
        <v>3213</v>
      </c>
      <c r="AY1523" s="2198" t="s">
        <v>3285</v>
      </c>
    </row>
    <row r="1524" spans="2:51" s="2209" customFormat="1">
      <c r="B1524" s="2210"/>
      <c r="D1524" s="2197" t="s">
        <v>3303</v>
      </c>
      <c r="E1524" s="2211" t="s">
        <v>3146</v>
      </c>
      <c r="F1524" s="2212" t="s">
        <v>5666</v>
      </c>
      <c r="H1524" s="2213">
        <v>10.4</v>
      </c>
      <c r="L1524" s="2210"/>
      <c r="M1524" s="2214"/>
      <c r="T1524" s="2215"/>
      <c r="AT1524" s="2211" t="s">
        <v>3303</v>
      </c>
      <c r="AU1524" s="2211" t="s">
        <v>134</v>
      </c>
      <c r="AV1524" s="2209" t="s">
        <v>134</v>
      </c>
      <c r="AW1524" s="2209" t="s">
        <v>3171</v>
      </c>
      <c r="AX1524" s="2209" t="s">
        <v>3213</v>
      </c>
      <c r="AY1524" s="2211" t="s">
        <v>3285</v>
      </c>
    </row>
    <row r="1525" spans="2:51" s="2209" customFormat="1">
      <c r="B1525" s="2210"/>
      <c r="D1525" s="2197" t="s">
        <v>3303</v>
      </c>
      <c r="E1525" s="2211" t="s">
        <v>3146</v>
      </c>
      <c r="F1525" s="2212" t="s">
        <v>5667</v>
      </c>
      <c r="H1525" s="2213">
        <v>-3.78</v>
      </c>
      <c r="L1525" s="2210"/>
      <c r="M1525" s="2214"/>
      <c r="T1525" s="2215"/>
      <c r="AT1525" s="2211" t="s">
        <v>3303</v>
      </c>
      <c r="AU1525" s="2211" t="s">
        <v>134</v>
      </c>
      <c r="AV1525" s="2209" t="s">
        <v>134</v>
      </c>
      <c r="AW1525" s="2209" t="s">
        <v>3171</v>
      </c>
      <c r="AX1525" s="2209" t="s">
        <v>3213</v>
      </c>
      <c r="AY1525" s="2211" t="s">
        <v>3285</v>
      </c>
    </row>
    <row r="1526" spans="2:51" s="2202" customFormat="1">
      <c r="B1526" s="2203"/>
      <c r="D1526" s="2197" t="s">
        <v>3303</v>
      </c>
      <c r="E1526" s="2204" t="s">
        <v>3146</v>
      </c>
      <c r="F1526" s="2205" t="s">
        <v>3305</v>
      </c>
      <c r="H1526" s="2206">
        <v>6.62</v>
      </c>
      <c r="L1526" s="2203"/>
      <c r="M1526" s="2207"/>
      <c r="T1526" s="2208"/>
      <c r="AT1526" s="2204" t="s">
        <v>3303</v>
      </c>
      <c r="AU1526" s="2204" t="s">
        <v>134</v>
      </c>
      <c r="AV1526" s="2202" t="s">
        <v>854</v>
      </c>
      <c r="AW1526" s="2202" t="s">
        <v>3171</v>
      </c>
      <c r="AX1526" s="2202" t="s">
        <v>3213</v>
      </c>
      <c r="AY1526" s="2204" t="s">
        <v>3285</v>
      </c>
    </row>
    <row r="1527" spans="2:51" s="2195" customFormat="1">
      <c r="B1527" s="2196"/>
      <c r="D1527" s="2197" t="s">
        <v>3303</v>
      </c>
      <c r="E1527" s="2198" t="s">
        <v>3146</v>
      </c>
      <c r="F1527" s="2199" t="s">
        <v>5554</v>
      </c>
      <c r="H1527" s="2198" t="s">
        <v>3146</v>
      </c>
      <c r="L1527" s="2196"/>
      <c r="M1527" s="2200"/>
      <c r="T1527" s="2201"/>
      <c r="AT1527" s="2198" t="s">
        <v>3303</v>
      </c>
      <c r="AU1527" s="2198" t="s">
        <v>134</v>
      </c>
      <c r="AV1527" s="2195" t="s">
        <v>133</v>
      </c>
      <c r="AW1527" s="2195" t="s">
        <v>3171</v>
      </c>
      <c r="AX1527" s="2195" t="s">
        <v>3213</v>
      </c>
      <c r="AY1527" s="2198" t="s">
        <v>3285</v>
      </c>
    </row>
    <row r="1528" spans="2:51" s="2209" customFormat="1">
      <c r="B1528" s="2210"/>
      <c r="D1528" s="2197" t="s">
        <v>3303</v>
      </c>
      <c r="E1528" s="2211" t="s">
        <v>3146</v>
      </c>
      <c r="F1528" s="2212" t="s">
        <v>5664</v>
      </c>
      <c r="H1528" s="2213">
        <v>5.2</v>
      </c>
      <c r="L1528" s="2210"/>
      <c r="M1528" s="2214"/>
      <c r="T1528" s="2215"/>
      <c r="AT1528" s="2211" t="s">
        <v>3303</v>
      </c>
      <c r="AU1528" s="2211" t="s">
        <v>134</v>
      </c>
      <c r="AV1528" s="2209" t="s">
        <v>134</v>
      </c>
      <c r="AW1528" s="2209" t="s">
        <v>3171</v>
      </c>
      <c r="AX1528" s="2209" t="s">
        <v>3213</v>
      </c>
      <c r="AY1528" s="2211" t="s">
        <v>3285</v>
      </c>
    </row>
    <row r="1529" spans="2:51" s="2209" customFormat="1">
      <c r="B1529" s="2210"/>
      <c r="D1529" s="2197" t="s">
        <v>3303</v>
      </c>
      <c r="E1529" s="2211" t="s">
        <v>3146</v>
      </c>
      <c r="F1529" s="2212" t="s">
        <v>5665</v>
      </c>
      <c r="H1529" s="2213">
        <v>-1.89</v>
      </c>
      <c r="L1529" s="2210"/>
      <c r="M1529" s="2214"/>
      <c r="T1529" s="2215"/>
      <c r="AT1529" s="2211" t="s">
        <v>3303</v>
      </c>
      <c r="AU1529" s="2211" t="s">
        <v>134</v>
      </c>
      <c r="AV1529" s="2209" t="s">
        <v>134</v>
      </c>
      <c r="AW1529" s="2209" t="s">
        <v>3171</v>
      </c>
      <c r="AX1529" s="2209" t="s">
        <v>3213</v>
      </c>
      <c r="AY1529" s="2211" t="s">
        <v>3285</v>
      </c>
    </row>
    <row r="1530" spans="2:51" s="2202" customFormat="1">
      <c r="B1530" s="2203"/>
      <c r="D1530" s="2197" t="s">
        <v>3303</v>
      </c>
      <c r="E1530" s="2204" t="s">
        <v>3146</v>
      </c>
      <c r="F1530" s="2205" t="s">
        <v>3305</v>
      </c>
      <c r="H1530" s="2206">
        <v>3.31</v>
      </c>
      <c r="L1530" s="2203"/>
      <c r="M1530" s="2207"/>
      <c r="T1530" s="2208"/>
      <c r="AT1530" s="2204" t="s">
        <v>3303</v>
      </c>
      <c r="AU1530" s="2204" t="s">
        <v>134</v>
      </c>
      <c r="AV1530" s="2202" t="s">
        <v>854</v>
      </c>
      <c r="AW1530" s="2202" t="s">
        <v>3171</v>
      </c>
      <c r="AX1530" s="2202" t="s">
        <v>3213</v>
      </c>
      <c r="AY1530" s="2204" t="s">
        <v>3285</v>
      </c>
    </row>
    <row r="1531" spans="2:51" s="2195" customFormat="1">
      <c r="B1531" s="2196"/>
      <c r="D1531" s="2197" t="s">
        <v>3303</v>
      </c>
      <c r="E1531" s="2198" t="s">
        <v>3146</v>
      </c>
      <c r="F1531" s="2199" t="s">
        <v>5555</v>
      </c>
      <c r="H1531" s="2198" t="s">
        <v>3146</v>
      </c>
      <c r="L1531" s="2196"/>
      <c r="M1531" s="2200"/>
      <c r="T1531" s="2201"/>
      <c r="AT1531" s="2198" t="s">
        <v>3303</v>
      </c>
      <c r="AU1531" s="2198" t="s">
        <v>134</v>
      </c>
      <c r="AV1531" s="2195" t="s">
        <v>133</v>
      </c>
      <c r="AW1531" s="2195" t="s">
        <v>3171</v>
      </c>
      <c r="AX1531" s="2195" t="s">
        <v>3213</v>
      </c>
      <c r="AY1531" s="2198" t="s">
        <v>3285</v>
      </c>
    </row>
    <row r="1532" spans="2:51" s="2209" customFormat="1">
      <c r="B1532" s="2210"/>
      <c r="D1532" s="2197" t="s">
        <v>3303</v>
      </c>
      <c r="E1532" s="2211" t="s">
        <v>3146</v>
      </c>
      <c r="F1532" s="2212" t="s">
        <v>5664</v>
      </c>
      <c r="H1532" s="2213">
        <v>5.2</v>
      </c>
      <c r="L1532" s="2210"/>
      <c r="M1532" s="2214"/>
      <c r="T1532" s="2215"/>
      <c r="AT1532" s="2211" t="s">
        <v>3303</v>
      </c>
      <c r="AU1532" s="2211" t="s">
        <v>134</v>
      </c>
      <c r="AV1532" s="2209" t="s">
        <v>134</v>
      </c>
      <c r="AW1532" s="2209" t="s">
        <v>3171</v>
      </c>
      <c r="AX1532" s="2209" t="s">
        <v>3213</v>
      </c>
      <c r="AY1532" s="2211" t="s">
        <v>3285</v>
      </c>
    </row>
    <row r="1533" spans="2:51" s="2209" customFormat="1">
      <c r="B1533" s="2210"/>
      <c r="D1533" s="2197" t="s">
        <v>3303</v>
      </c>
      <c r="E1533" s="2211" t="s">
        <v>3146</v>
      </c>
      <c r="F1533" s="2212" t="s">
        <v>5665</v>
      </c>
      <c r="H1533" s="2213">
        <v>-1.89</v>
      </c>
      <c r="L1533" s="2210"/>
      <c r="M1533" s="2214"/>
      <c r="T1533" s="2215"/>
      <c r="AT1533" s="2211" t="s">
        <v>3303</v>
      </c>
      <c r="AU1533" s="2211" t="s">
        <v>134</v>
      </c>
      <c r="AV1533" s="2209" t="s">
        <v>134</v>
      </c>
      <c r="AW1533" s="2209" t="s">
        <v>3171</v>
      </c>
      <c r="AX1533" s="2209" t="s">
        <v>3213</v>
      </c>
      <c r="AY1533" s="2211" t="s">
        <v>3285</v>
      </c>
    </row>
    <row r="1534" spans="2:51" s="2202" customFormat="1">
      <c r="B1534" s="2203"/>
      <c r="D1534" s="2197" t="s">
        <v>3303</v>
      </c>
      <c r="E1534" s="2204" t="s">
        <v>3146</v>
      </c>
      <c r="F1534" s="2205" t="s">
        <v>3305</v>
      </c>
      <c r="H1534" s="2206">
        <v>3.31</v>
      </c>
      <c r="L1534" s="2203"/>
      <c r="M1534" s="2207"/>
      <c r="T1534" s="2208"/>
      <c r="AT1534" s="2204" t="s">
        <v>3303</v>
      </c>
      <c r="AU1534" s="2204" t="s">
        <v>134</v>
      </c>
      <c r="AV1534" s="2202" t="s">
        <v>854</v>
      </c>
      <c r="AW1534" s="2202" t="s">
        <v>3171</v>
      </c>
      <c r="AX1534" s="2202" t="s">
        <v>3213</v>
      </c>
      <c r="AY1534" s="2204" t="s">
        <v>3285</v>
      </c>
    </row>
    <row r="1535" spans="2:51" s="2195" customFormat="1">
      <c r="B1535" s="2196"/>
      <c r="D1535" s="2197" t="s">
        <v>3303</v>
      </c>
      <c r="E1535" s="2198" t="s">
        <v>3146</v>
      </c>
      <c r="F1535" s="2199" t="s">
        <v>5566</v>
      </c>
      <c r="H1535" s="2198" t="s">
        <v>3146</v>
      </c>
      <c r="L1535" s="2196"/>
      <c r="M1535" s="2200"/>
      <c r="T1535" s="2201"/>
      <c r="AT1535" s="2198" t="s">
        <v>3303</v>
      </c>
      <c r="AU1535" s="2198" t="s">
        <v>134</v>
      </c>
      <c r="AV1535" s="2195" t="s">
        <v>133</v>
      </c>
      <c r="AW1535" s="2195" t="s">
        <v>3171</v>
      </c>
      <c r="AX1535" s="2195" t="s">
        <v>3213</v>
      </c>
      <c r="AY1535" s="2198" t="s">
        <v>3285</v>
      </c>
    </row>
    <row r="1536" spans="2:51" s="2209" customFormat="1">
      <c r="B1536" s="2210"/>
      <c r="D1536" s="2197" t="s">
        <v>3303</v>
      </c>
      <c r="E1536" s="2211" t="s">
        <v>3146</v>
      </c>
      <c r="F1536" s="2212" t="s">
        <v>5668</v>
      </c>
      <c r="H1536" s="2213">
        <v>8.84</v>
      </c>
      <c r="L1536" s="2210"/>
      <c r="M1536" s="2214"/>
      <c r="T1536" s="2215"/>
      <c r="AT1536" s="2211" t="s">
        <v>3303</v>
      </c>
      <c r="AU1536" s="2211" t="s">
        <v>134</v>
      </c>
      <c r="AV1536" s="2209" t="s">
        <v>134</v>
      </c>
      <c r="AW1536" s="2209" t="s">
        <v>3171</v>
      </c>
      <c r="AX1536" s="2209" t="s">
        <v>3213</v>
      </c>
      <c r="AY1536" s="2211" t="s">
        <v>3285</v>
      </c>
    </row>
    <row r="1537" spans="2:65" s="2209" customFormat="1">
      <c r="B1537" s="2210"/>
      <c r="D1537" s="2197" t="s">
        <v>3303</v>
      </c>
      <c r="E1537" s="2211" t="s">
        <v>3146</v>
      </c>
      <c r="F1537" s="2212" t="s">
        <v>5669</v>
      </c>
      <c r="H1537" s="2213">
        <v>-3.36</v>
      </c>
      <c r="L1537" s="2210"/>
      <c r="M1537" s="2214"/>
      <c r="T1537" s="2215"/>
      <c r="AT1537" s="2211" t="s">
        <v>3303</v>
      </c>
      <c r="AU1537" s="2211" t="s">
        <v>134</v>
      </c>
      <c r="AV1537" s="2209" t="s">
        <v>134</v>
      </c>
      <c r="AW1537" s="2209" t="s">
        <v>3171</v>
      </c>
      <c r="AX1537" s="2209" t="s">
        <v>3213</v>
      </c>
      <c r="AY1537" s="2211" t="s">
        <v>3285</v>
      </c>
    </row>
    <row r="1538" spans="2:65" s="2202" customFormat="1">
      <c r="B1538" s="2203"/>
      <c r="D1538" s="2197" t="s">
        <v>3303</v>
      </c>
      <c r="E1538" s="2204" t="s">
        <v>3146</v>
      </c>
      <c r="F1538" s="2205" t="s">
        <v>3305</v>
      </c>
      <c r="H1538" s="2206">
        <v>5.48</v>
      </c>
      <c r="L1538" s="2203"/>
      <c r="M1538" s="2207"/>
      <c r="T1538" s="2208"/>
      <c r="AT1538" s="2204" t="s">
        <v>3303</v>
      </c>
      <c r="AU1538" s="2204" t="s">
        <v>134</v>
      </c>
      <c r="AV1538" s="2202" t="s">
        <v>854</v>
      </c>
      <c r="AW1538" s="2202" t="s">
        <v>3171</v>
      </c>
      <c r="AX1538" s="2202" t="s">
        <v>133</v>
      </c>
      <c r="AY1538" s="2204" t="s">
        <v>3285</v>
      </c>
    </row>
    <row r="1539" spans="2:65" s="2070" customFormat="1" ht="24.2" customHeight="1">
      <c r="B1539" s="2164"/>
      <c r="C1539" s="4614" t="s">
        <v>11438</v>
      </c>
      <c r="D1539" s="4614" t="s">
        <v>135</v>
      </c>
      <c r="E1539" s="4615" t="s">
        <v>5670</v>
      </c>
      <c r="F1539" s="4616" t="s">
        <v>5671</v>
      </c>
      <c r="G1539" s="4617" t="s">
        <v>611</v>
      </c>
      <c r="H1539" s="4618">
        <v>7.3979999999999997</v>
      </c>
      <c r="I1539" s="4619"/>
      <c r="J1539" s="4619">
        <f>ROUND(I1539*H1539,2)</f>
        <v>0</v>
      </c>
      <c r="K1539" s="4616" t="s">
        <v>142</v>
      </c>
      <c r="L1539" s="2223"/>
      <c r="M1539" s="2224" t="s">
        <v>3146</v>
      </c>
      <c r="N1539" s="2225" t="s">
        <v>3181</v>
      </c>
      <c r="O1539" s="2191">
        <v>0</v>
      </c>
      <c r="P1539" s="2191">
        <f>O1539*H1539</f>
        <v>0</v>
      </c>
      <c r="Q1539" s="2191">
        <v>2.6790000000000001E-2</v>
      </c>
      <c r="R1539" s="2191">
        <f>Q1539*H1539</f>
        <v>0.19819242000000001</v>
      </c>
      <c r="S1539" s="2191">
        <v>0</v>
      </c>
      <c r="T1539" s="2192">
        <f>S1539*H1539</f>
        <v>0</v>
      </c>
      <c r="AR1539" s="2193" t="s">
        <v>3389</v>
      </c>
      <c r="AT1539" s="2193" t="s">
        <v>135</v>
      </c>
      <c r="AU1539" s="2193" t="s">
        <v>134</v>
      </c>
      <c r="AY1539" s="2056" t="s">
        <v>3285</v>
      </c>
      <c r="BE1539" s="2194">
        <f>IF(N1539="základní",J1539,0)</f>
        <v>0</v>
      </c>
      <c r="BF1539" s="2194">
        <f>IF(N1539="snížená",J1539,0)</f>
        <v>0</v>
      </c>
      <c r="BG1539" s="2194">
        <f>IF(N1539="zákl. přenesená",J1539,0)</f>
        <v>0</v>
      </c>
      <c r="BH1539" s="2194">
        <f>IF(N1539="sníž. přenesená",J1539,0)</f>
        <v>0</v>
      </c>
      <c r="BI1539" s="2194">
        <f>IF(N1539="nulová",J1539,0)</f>
        <v>0</v>
      </c>
      <c r="BJ1539" s="2056" t="s">
        <v>134</v>
      </c>
      <c r="BK1539" s="2194">
        <f>ROUND(I1539*H1539,2)</f>
        <v>0</v>
      </c>
      <c r="BL1539" s="2056" t="s">
        <v>2894</v>
      </c>
      <c r="BM1539" s="2193" t="s">
        <v>5672</v>
      </c>
    </row>
    <row r="1540" spans="2:65" s="2209" customFormat="1">
      <c r="B1540" s="2210"/>
      <c r="D1540" s="2197" t="s">
        <v>3303</v>
      </c>
      <c r="F1540" s="2212" t="s">
        <v>5673</v>
      </c>
      <c r="H1540" s="2213">
        <v>7.3979999999999997</v>
      </c>
      <c r="L1540" s="2210"/>
      <c r="M1540" s="2214"/>
      <c r="T1540" s="2215"/>
      <c r="AT1540" s="2211" t="s">
        <v>3303</v>
      </c>
      <c r="AU1540" s="2211" t="s">
        <v>134</v>
      </c>
      <c r="AV1540" s="2209" t="s">
        <v>134</v>
      </c>
      <c r="AW1540" s="2209" t="s">
        <v>3148</v>
      </c>
      <c r="AX1540" s="2209" t="s">
        <v>133</v>
      </c>
      <c r="AY1540" s="2211" t="s">
        <v>3285</v>
      </c>
    </row>
    <row r="1541" spans="2:65" s="2070" customFormat="1" ht="24.2" customHeight="1">
      <c r="B1541" s="2164"/>
      <c r="C1541" s="4608" t="s">
        <v>11439</v>
      </c>
      <c r="D1541" s="4608" t="s">
        <v>3286</v>
      </c>
      <c r="E1541" s="4609" t="s">
        <v>5675</v>
      </c>
      <c r="F1541" s="4610" t="s">
        <v>5676</v>
      </c>
      <c r="G1541" s="4611" t="s">
        <v>149</v>
      </c>
      <c r="H1541" s="4612">
        <v>726.57500000000005</v>
      </c>
      <c r="I1541" s="4613"/>
      <c r="J1541" s="4613">
        <f>ROUND(I1541*H1541,2)</f>
        <v>0</v>
      </c>
      <c r="K1541" s="4610" t="s">
        <v>3146</v>
      </c>
      <c r="L1541" s="2071"/>
      <c r="M1541" s="2190" t="s">
        <v>3146</v>
      </c>
      <c r="N1541" s="2163" t="s">
        <v>3181</v>
      </c>
      <c r="O1541" s="2191">
        <v>0.16200000000000001</v>
      </c>
      <c r="P1541" s="2191">
        <f>O1541*H1541</f>
        <v>117.70515000000002</v>
      </c>
      <c r="Q1541" s="2191">
        <v>1.1E-4</v>
      </c>
      <c r="R1541" s="2191">
        <f>Q1541*H1541</f>
        <v>7.9923250000000001E-2</v>
      </c>
      <c r="S1541" s="2191">
        <v>0</v>
      </c>
      <c r="T1541" s="2192">
        <f>S1541*H1541</f>
        <v>0</v>
      </c>
      <c r="AR1541" s="2193" t="s">
        <v>2894</v>
      </c>
      <c r="AT1541" s="2193" t="s">
        <v>3286</v>
      </c>
      <c r="AU1541" s="2193" t="s">
        <v>134</v>
      </c>
      <c r="AY1541" s="2056" t="s">
        <v>3285</v>
      </c>
      <c r="BE1541" s="2194">
        <f>IF(N1541="základní",J1541,0)</f>
        <v>0</v>
      </c>
      <c r="BF1541" s="2194">
        <f>IF(N1541="snížená",J1541,0)</f>
        <v>0</v>
      </c>
      <c r="BG1541" s="2194">
        <f>IF(N1541="zákl. přenesená",J1541,0)</f>
        <v>0</v>
      </c>
      <c r="BH1541" s="2194">
        <f>IF(N1541="sníž. přenesená",J1541,0)</f>
        <v>0</v>
      </c>
      <c r="BI1541" s="2194">
        <f>IF(N1541="nulová",J1541,0)</f>
        <v>0</v>
      </c>
      <c r="BJ1541" s="2056" t="s">
        <v>134</v>
      </c>
      <c r="BK1541" s="2194">
        <f>ROUND(I1541*H1541,2)</f>
        <v>0</v>
      </c>
      <c r="BL1541" s="2056" t="s">
        <v>2894</v>
      </c>
      <c r="BM1541" s="2193" t="s">
        <v>5677</v>
      </c>
    </row>
    <row r="1542" spans="2:65" s="2195" customFormat="1">
      <c r="B1542" s="2196"/>
      <c r="D1542" s="2197" t="s">
        <v>3303</v>
      </c>
      <c r="E1542" s="2198" t="s">
        <v>3146</v>
      </c>
      <c r="F1542" s="2199" t="s">
        <v>5678</v>
      </c>
      <c r="H1542" s="2198" t="s">
        <v>3146</v>
      </c>
      <c r="L1542" s="2196"/>
      <c r="M1542" s="2200"/>
      <c r="T1542" s="2201"/>
      <c r="AT1542" s="2198" t="s">
        <v>3303</v>
      </c>
      <c r="AU1542" s="2198" t="s">
        <v>134</v>
      </c>
      <c r="AV1542" s="2195" t="s">
        <v>133</v>
      </c>
      <c r="AW1542" s="2195" t="s">
        <v>3171</v>
      </c>
      <c r="AX1542" s="2195" t="s">
        <v>3213</v>
      </c>
      <c r="AY1542" s="2198" t="s">
        <v>3285</v>
      </c>
    </row>
    <row r="1543" spans="2:65" s="2195" customFormat="1">
      <c r="B1543" s="2196"/>
      <c r="D1543" s="2197" t="s">
        <v>3303</v>
      </c>
      <c r="E1543" s="2198" t="s">
        <v>3146</v>
      </c>
      <c r="F1543" s="2199" t="s">
        <v>5679</v>
      </c>
      <c r="H1543" s="2198" t="s">
        <v>3146</v>
      </c>
      <c r="L1543" s="2196"/>
      <c r="M1543" s="2200"/>
      <c r="T1543" s="2201"/>
      <c r="AT1543" s="2198" t="s">
        <v>3303</v>
      </c>
      <c r="AU1543" s="2198" t="s">
        <v>134</v>
      </c>
      <c r="AV1543" s="2195" t="s">
        <v>133</v>
      </c>
      <c r="AW1543" s="2195" t="s">
        <v>3171</v>
      </c>
      <c r="AX1543" s="2195" t="s">
        <v>3213</v>
      </c>
      <c r="AY1543" s="2198" t="s">
        <v>3285</v>
      </c>
    </row>
    <row r="1544" spans="2:65" s="2195" customFormat="1">
      <c r="B1544" s="2196"/>
      <c r="D1544" s="2197" t="s">
        <v>3303</v>
      </c>
      <c r="E1544" s="2198" t="s">
        <v>3146</v>
      </c>
      <c r="F1544" s="2199" t="s">
        <v>11440</v>
      </c>
      <c r="H1544" s="2198" t="s">
        <v>3146</v>
      </c>
      <c r="L1544" s="2196"/>
      <c r="M1544" s="2200"/>
      <c r="T1544" s="2201"/>
      <c r="AT1544" s="2198" t="s">
        <v>3303</v>
      </c>
      <c r="AU1544" s="2198" t="s">
        <v>134</v>
      </c>
      <c r="AV1544" s="2195" t="s">
        <v>133</v>
      </c>
      <c r="AW1544" s="2195" t="s">
        <v>3171</v>
      </c>
      <c r="AX1544" s="2195" t="s">
        <v>3213</v>
      </c>
      <c r="AY1544" s="2198" t="s">
        <v>3285</v>
      </c>
    </row>
    <row r="1545" spans="2:65" s="2195" customFormat="1">
      <c r="B1545" s="2196"/>
      <c r="D1545" s="2197" t="s">
        <v>3303</v>
      </c>
      <c r="E1545" s="2198" t="s">
        <v>3146</v>
      </c>
      <c r="F1545" s="2199" t="s">
        <v>11441</v>
      </c>
      <c r="H1545" s="2198" t="s">
        <v>3146</v>
      </c>
      <c r="L1545" s="2196"/>
      <c r="M1545" s="2200"/>
      <c r="T1545" s="2201"/>
      <c r="AT1545" s="2198" t="s">
        <v>3303</v>
      </c>
      <c r="AU1545" s="2198" t="s">
        <v>134</v>
      </c>
      <c r="AV1545" s="2195" t="s">
        <v>133</v>
      </c>
      <c r="AW1545" s="2195" t="s">
        <v>3171</v>
      </c>
      <c r="AX1545" s="2195" t="s">
        <v>3213</v>
      </c>
      <c r="AY1545" s="2198" t="s">
        <v>3285</v>
      </c>
    </row>
    <row r="1546" spans="2:65" s="2209" customFormat="1">
      <c r="B1546" s="2210"/>
      <c r="D1546" s="2197" t="s">
        <v>3303</v>
      </c>
      <c r="E1546" s="2211" t="s">
        <v>3146</v>
      </c>
      <c r="F1546" s="2212" t="s">
        <v>11442</v>
      </c>
      <c r="H1546" s="2213">
        <v>191.25</v>
      </c>
      <c r="L1546" s="2210"/>
      <c r="M1546" s="2214"/>
      <c r="T1546" s="2215"/>
      <c r="AT1546" s="2211" t="s">
        <v>3303</v>
      </c>
      <c r="AU1546" s="2211" t="s">
        <v>134</v>
      </c>
      <c r="AV1546" s="2209" t="s">
        <v>134</v>
      </c>
      <c r="AW1546" s="2209" t="s">
        <v>3171</v>
      </c>
      <c r="AX1546" s="2209" t="s">
        <v>3213</v>
      </c>
      <c r="AY1546" s="2211" t="s">
        <v>3285</v>
      </c>
    </row>
    <row r="1547" spans="2:65" s="2195" customFormat="1">
      <c r="B1547" s="2196"/>
      <c r="D1547" s="2197" t="s">
        <v>3303</v>
      </c>
      <c r="E1547" s="2198" t="s">
        <v>3146</v>
      </c>
      <c r="F1547" s="2199" t="s">
        <v>11443</v>
      </c>
      <c r="H1547" s="2198" t="s">
        <v>3146</v>
      </c>
      <c r="L1547" s="2196"/>
      <c r="M1547" s="2200"/>
      <c r="T1547" s="2201"/>
      <c r="AT1547" s="2198" t="s">
        <v>3303</v>
      </c>
      <c r="AU1547" s="2198" t="s">
        <v>134</v>
      </c>
      <c r="AV1547" s="2195" t="s">
        <v>133</v>
      </c>
      <c r="AW1547" s="2195" t="s">
        <v>3171</v>
      </c>
      <c r="AX1547" s="2195" t="s">
        <v>3213</v>
      </c>
      <c r="AY1547" s="2198" t="s">
        <v>3285</v>
      </c>
    </row>
    <row r="1548" spans="2:65" s="2209" customFormat="1">
      <c r="B1548" s="2210"/>
      <c r="D1548" s="2197" t="s">
        <v>3303</v>
      </c>
      <c r="E1548" s="2211" t="s">
        <v>3146</v>
      </c>
      <c r="F1548" s="2212" t="s">
        <v>11444</v>
      </c>
      <c r="H1548" s="2213">
        <v>76.233999999999995</v>
      </c>
      <c r="L1548" s="2210"/>
      <c r="M1548" s="2214"/>
      <c r="T1548" s="2215"/>
      <c r="AT1548" s="2211" t="s">
        <v>3303</v>
      </c>
      <c r="AU1548" s="2211" t="s">
        <v>134</v>
      </c>
      <c r="AV1548" s="2209" t="s">
        <v>134</v>
      </c>
      <c r="AW1548" s="2209" t="s">
        <v>3171</v>
      </c>
      <c r="AX1548" s="2209" t="s">
        <v>3213</v>
      </c>
      <c r="AY1548" s="2211" t="s">
        <v>3285</v>
      </c>
    </row>
    <row r="1549" spans="2:65" s="2195" customFormat="1">
      <c r="B1549" s="2196"/>
      <c r="D1549" s="2197" t="s">
        <v>3303</v>
      </c>
      <c r="E1549" s="2198" t="s">
        <v>3146</v>
      </c>
      <c r="F1549" s="2199" t="s">
        <v>11445</v>
      </c>
      <c r="H1549" s="2198" t="s">
        <v>3146</v>
      </c>
      <c r="L1549" s="2196"/>
      <c r="M1549" s="2200"/>
      <c r="T1549" s="2201"/>
      <c r="AT1549" s="2198" t="s">
        <v>3303</v>
      </c>
      <c r="AU1549" s="2198" t="s">
        <v>134</v>
      </c>
      <c r="AV1549" s="2195" t="s">
        <v>133</v>
      </c>
      <c r="AW1549" s="2195" t="s">
        <v>3171</v>
      </c>
      <c r="AX1549" s="2195" t="s">
        <v>3213</v>
      </c>
      <c r="AY1549" s="2198" t="s">
        <v>3285</v>
      </c>
    </row>
    <row r="1550" spans="2:65" s="2209" customFormat="1">
      <c r="B1550" s="2210"/>
      <c r="D1550" s="2197" t="s">
        <v>3303</v>
      </c>
      <c r="E1550" s="2211" t="s">
        <v>3146</v>
      </c>
      <c r="F1550" s="2212" t="s">
        <v>11446</v>
      </c>
      <c r="H1550" s="2213">
        <v>168.93799999999999</v>
      </c>
      <c r="L1550" s="2210"/>
      <c r="M1550" s="2214"/>
      <c r="T1550" s="2215"/>
      <c r="AT1550" s="2211" t="s">
        <v>3303</v>
      </c>
      <c r="AU1550" s="2211" t="s">
        <v>134</v>
      </c>
      <c r="AV1550" s="2209" t="s">
        <v>134</v>
      </c>
      <c r="AW1550" s="2209" t="s">
        <v>3171</v>
      </c>
      <c r="AX1550" s="2209" t="s">
        <v>3213</v>
      </c>
      <c r="AY1550" s="2211" t="s">
        <v>3285</v>
      </c>
    </row>
    <row r="1551" spans="2:65" s="2195" customFormat="1">
      <c r="B1551" s="2196"/>
      <c r="D1551" s="2197" t="s">
        <v>3303</v>
      </c>
      <c r="E1551" s="2198" t="s">
        <v>3146</v>
      </c>
      <c r="F1551" s="2199" t="s">
        <v>11447</v>
      </c>
      <c r="H1551" s="2198" t="s">
        <v>3146</v>
      </c>
      <c r="L1551" s="2196"/>
      <c r="M1551" s="2200"/>
      <c r="T1551" s="2201"/>
      <c r="AT1551" s="2198" t="s">
        <v>3303</v>
      </c>
      <c r="AU1551" s="2198" t="s">
        <v>134</v>
      </c>
      <c r="AV1551" s="2195" t="s">
        <v>133</v>
      </c>
      <c r="AW1551" s="2195" t="s">
        <v>3171</v>
      </c>
      <c r="AX1551" s="2195" t="s">
        <v>3213</v>
      </c>
      <c r="AY1551" s="2198" t="s">
        <v>3285</v>
      </c>
    </row>
    <row r="1552" spans="2:65" s="2209" customFormat="1">
      <c r="B1552" s="2210"/>
      <c r="D1552" s="2197" t="s">
        <v>3303</v>
      </c>
      <c r="E1552" s="2211" t="s">
        <v>3146</v>
      </c>
      <c r="F1552" s="2212" t="s">
        <v>11448</v>
      </c>
      <c r="H1552" s="2213">
        <v>95.625</v>
      </c>
      <c r="L1552" s="2210"/>
      <c r="M1552" s="2214"/>
      <c r="T1552" s="2215"/>
      <c r="AT1552" s="2211" t="s">
        <v>3303</v>
      </c>
      <c r="AU1552" s="2211" t="s">
        <v>134</v>
      </c>
      <c r="AV1552" s="2209" t="s">
        <v>134</v>
      </c>
      <c r="AW1552" s="2209" t="s">
        <v>3171</v>
      </c>
      <c r="AX1552" s="2209" t="s">
        <v>3213</v>
      </c>
      <c r="AY1552" s="2211" t="s">
        <v>3285</v>
      </c>
    </row>
    <row r="1553" spans="2:65" s="2195" customFormat="1">
      <c r="B1553" s="2196"/>
      <c r="D1553" s="2197" t="s">
        <v>3303</v>
      </c>
      <c r="E1553" s="2198" t="s">
        <v>3146</v>
      </c>
      <c r="F1553" s="2199" t="s">
        <v>11449</v>
      </c>
      <c r="H1553" s="2198" t="s">
        <v>3146</v>
      </c>
      <c r="L1553" s="2196"/>
      <c r="M1553" s="2200"/>
      <c r="T1553" s="2201"/>
      <c r="AT1553" s="2198" t="s">
        <v>3303</v>
      </c>
      <c r="AU1553" s="2198" t="s">
        <v>134</v>
      </c>
      <c r="AV1553" s="2195" t="s">
        <v>133</v>
      </c>
      <c r="AW1553" s="2195" t="s">
        <v>3171</v>
      </c>
      <c r="AX1553" s="2195" t="s">
        <v>3213</v>
      </c>
      <c r="AY1553" s="2198" t="s">
        <v>3285</v>
      </c>
    </row>
    <row r="1554" spans="2:65" s="2209" customFormat="1">
      <c r="B1554" s="2210"/>
      <c r="D1554" s="2197" t="s">
        <v>3303</v>
      </c>
      <c r="E1554" s="2211" t="s">
        <v>3146</v>
      </c>
      <c r="F1554" s="2212" t="s">
        <v>11450</v>
      </c>
      <c r="H1554" s="2213">
        <v>28.687999999999999</v>
      </c>
      <c r="L1554" s="2210"/>
      <c r="M1554" s="2214"/>
      <c r="T1554" s="2215"/>
      <c r="AT1554" s="2211" t="s">
        <v>3303</v>
      </c>
      <c r="AU1554" s="2211" t="s">
        <v>134</v>
      </c>
      <c r="AV1554" s="2209" t="s">
        <v>134</v>
      </c>
      <c r="AW1554" s="2209" t="s">
        <v>3171</v>
      </c>
      <c r="AX1554" s="2209" t="s">
        <v>3213</v>
      </c>
      <c r="AY1554" s="2211" t="s">
        <v>3285</v>
      </c>
    </row>
    <row r="1555" spans="2:65" s="2202" customFormat="1">
      <c r="B1555" s="2203"/>
      <c r="D1555" s="2197" t="s">
        <v>3303</v>
      </c>
      <c r="E1555" s="2204" t="s">
        <v>3146</v>
      </c>
      <c r="F1555" s="2205" t="s">
        <v>3305</v>
      </c>
      <c r="H1555" s="2206">
        <v>560.73500000000001</v>
      </c>
      <c r="L1555" s="2203"/>
      <c r="M1555" s="2207"/>
      <c r="T1555" s="2208"/>
      <c r="AT1555" s="2204" t="s">
        <v>3303</v>
      </c>
      <c r="AU1555" s="2204" t="s">
        <v>134</v>
      </c>
      <c r="AV1555" s="2202" t="s">
        <v>854</v>
      </c>
      <c r="AW1555" s="2202" t="s">
        <v>3171</v>
      </c>
      <c r="AX1555" s="2202" t="s">
        <v>3213</v>
      </c>
      <c r="AY1555" s="2204" t="s">
        <v>3285</v>
      </c>
    </row>
    <row r="1556" spans="2:65" s="2195" customFormat="1">
      <c r="B1556" s="2196"/>
      <c r="D1556" s="2197" t="s">
        <v>3303</v>
      </c>
      <c r="E1556" s="2198" t="s">
        <v>3146</v>
      </c>
      <c r="F1556" s="2199" t="s">
        <v>11451</v>
      </c>
      <c r="H1556" s="2198" t="s">
        <v>3146</v>
      </c>
      <c r="L1556" s="2196"/>
      <c r="M1556" s="2200"/>
      <c r="T1556" s="2201"/>
      <c r="AT1556" s="2198" t="s">
        <v>3303</v>
      </c>
      <c r="AU1556" s="2198" t="s">
        <v>134</v>
      </c>
      <c r="AV1556" s="2195" t="s">
        <v>133</v>
      </c>
      <c r="AW1556" s="2195" t="s">
        <v>3171</v>
      </c>
      <c r="AX1556" s="2195" t="s">
        <v>3213</v>
      </c>
      <c r="AY1556" s="2198" t="s">
        <v>3285</v>
      </c>
    </row>
    <row r="1557" spans="2:65" s="2195" customFormat="1">
      <c r="B1557" s="2196"/>
      <c r="D1557" s="2197" t="s">
        <v>3303</v>
      </c>
      <c r="E1557" s="2198" t="s">
        <v>3146</v>
      </c>
      <c r="F1557" s="2199" t="s">
        <v>11452</v>
      </c>
      <c r="H1557" s="2198" t="s">
        <v>3146</v>
      </c>
      <c r="L1557" s="2196"/>
      <c r="M1557" s="2200"/>
      <c r="T1557" s="2201"/>
      <c r="AT1557" s="2198" t="s">
        <v>3303</v>
      </c>
      <c r="AU1557" s="2198" t="s">
        <v>134</v>
      </c>
      <c r="AV1557" s="2195" t="s">
        <v>133</v>
      </c>
      <c r="AW1557" s="2195" t="s">
        <v>3171</v>
      </c>
      <c r="AX1557" s="2195" t="s">
        <v>3213</v>
      </c>
      <c r="AY1557" s="2198" t="s">
        <v>3285</v>
      </c>
    </row>
    <row r="1558" spans="2:65" s="2209" customFormat="1">
      <c r="B1558" s="2210"/>
      <c r="D1558" s="2197" t="s">
        <v>3303</v>
      </c>
      <c r="E1558" s="2211" t="s">
        <v>3146</v>
      </c>
      <c r="F1558" s="2212" t="s">
        <v>11453</v>
      </c>
      <c r="H1558" s="2213">
        <v>165.84</v>
      </c>
      <c r="L1558" s="2210"/>
      <c r="M1558" s="2214"/>
      <c r="T1558" s="2215"/>
      <c r="AT1558" s="2211" t="s">
        <v>3303</v>
      </c>
      <c r="AU1558" s="2211" t="s">
        <v>134</v>
      </c>
      <c r="AV1558" s="2209" t="s">
        <v>134</v>
      </c>
      <c r="AW1558" s="2209" t="s">
        <v>3171</v>
      </c>
      <c r="AX1558" s="2209" t="s">
        <v>3213</v>
      </c>
      <c r="AY1558" s="2211" t="s">
        <v>3285</v>
      </c>
    </row>
    <row r="1559" spans="2:65" s="2202" customFormat="1">
      <c r="B1559" s="2203"/>
      <c r="D1559" s="2197" t="s">
        <v>3303</v>
      </c>
      <c r="E1559" s="2204" t="s">
        <v>3146</v>
      </c>
      <c r="F1559" s="2205" t="s">
        <v>3305</v>
      </c>
      <c r="H1559" s="2206">
        <v>165.84</v>
      </c>
      <c r="L1559" s="2203"/>
      <c r="M1559" s="2207"/>
      <c r="T1559" s="2208"/>
      <c r="AT1559" s="2204" t="s">
        <v>3303</v>
      </c>
      <c r="AU1559" s="2204" t="s">
        <v>134</v>
      </c>
      <c r="AV1559" s="2202" t="s">
        <v>854</v>
      </c>
      <c r="AW1559" s="2202" t="s">
        <v>3171</v>
      </c>
      <c r="AX1559" s="2202" t="s">
        <v>3213</v>
      </c>
      <c r="AY1559" s="2204" t="s">
        <v>3285</v>
      </c>
    </row>
    <row r="1560" spans="2:65" s="2216" customFormat="1">
      <c r="B1560" s="2217"/>
      <c r="D1560" s="2197" t="s">
        <v>3303</v>
      </c>
      <c r="E1560" s="2218" t="s">
        <v>3146</v>
      </c>
      <c r="F1560" s="2219" t="s">
        <v>3306</v>
      </c>
      <c r="H1560" s="2220">
        <v>726.57500000000005</v>
      </c>
      <c r="L1560" s="2217"/>
      <c r="M1560" s="2221"/>
      <c r="T1560" s="2222"/>
      <c r="AT1560" s="2218" t="s">
        <v>3303</v>
      </c>
      <c r="AU1560" s="2218" t="s">
        <v>134</v>
      </c>
      <c r="AV1560" s="2216" t="s">
        <v>856</v>
      </c>
      <c r="AW1560" s="2216" t="s">
        <v>3171</v>
      </c>
      <c r="AX1560" s="2216" t="s">
        <v>133</v>
      </c>
      <c r="AY1560" s="2218" t="s">
        <v>3285</v>
      </c>
    </row>
    <row r="1561" spans="2:65" s="2070" customFormat="1" ht="24.2" customHeight="1">
      <c r="B1561" s="2164"/>
      <c r="C1561" s="4614" t="s">
        <v>11454</v>
      </c>
      <c r="D1561" s="4614" t="s">
        <v>135</v>
      </c>
      <c r="E1561" s="4615" t="s">
        <v>11455</v>
      </c>
      <c r="F1561" s="4616" t="s">
        <v>11456</v>
      </c>
      <c r="G1561" s="4617" t="s">
        <v>302</v>
      </c>
      <c r="H1561" s="4618">
        <v>0.60599999999999998</v>
      </c>
      <c r="I1561" s="4619"/>
      <c r="J1561" s="4619">
        <f>ROUND(I1561*H1561,2)</f>
        <v>0</v>
      </c>
      <c r="K1561" s="4616" t="s">
        <v>3146</v>
      </c>
      <c r="L1561" s="2223"/>
      <c r="M1561" s="2224" t="s">
        <v>3146</v>
      </c>
      <c r="N1561" s="2225" t="s">
        <v>3181</v>
      </c>
      <c r="O1561" s="2191">
        <v>0</v>
      </c>
      <c r="P1561" s="2191">
        <f>O1561*H1561</f>
        <v>0</v>
      </c>
      <c r="Q1561" s="2191">
        <v>1</v>
      </c>
      <c r="R1561" s="2191">
        <f>Q1561*H1561</f>
        <v>0.60599999999999998</v>
      </c>
      <c r="S1561" s="2191">
        <v>0</v>
      </c>
      <c r="T1561" s="2192">
        <f>S1561*H1561</f>
        <v>0</v>
      </c>
      <c r="AR1561" s="2193" t="s">
        <v>3389</v>
      </c>
      <c r="AT1561" s="2193" t="s">
        <v>135</v>
      </c>
      <c r="AU1561" s="2193" t="s">
        <v>134</v>
      </c>
      <c r="AY1561" s="2056" t="s">
        <v>3285</v>
      </c>
      <c r="BE1561" s="2194">
        <f>IF(N1561="základní",J1561,0)</f>
        <v>0</v>
      </c>
      <c r="BF1561" s="2194">
        <f>IF(N1561="snížená",J1561,0)</f>
        <v>0</v>
      </c>
      <c r="BG1561" s="2194">
        <f>IF(N1561="zákl. přenesená",J1561,0)</f>
        <v>0</v>
      </c>
      <c r="BH1561" s="2194">
        <f>IF(N1561="sníž. přenesená",J1561,0)</f>
        <v>0</v>
      </c>
      <c r="BI1561" s="2194">
        <f>IF(N1561="nulová",J1561,0)</f>
        <v>0</v>
      </c>
      <c r="BJ1561" s="2056" t="s">
        <v>134</v>
      </c>
      <c r="BK1561" s="2194">
        <f>ROUND(I1561*H1561,2)</f>
        <v>0</v>
      </c>
      <c r="BL1561" s="2056" t="s">
        <v>2894</v>
      </c>
      <c r="BM1561" s="2193" t="s">
        <v>11457</v>
      </c>
    </row>
    <row r="1562" spans="2:65" s="2195" customFormat="1">
      <c r="B1562" s="2196"/>
      <c r="D1562" s="2197" t="s">
        <v>3303</v>
      </c>
      <c r="E1562" s="2198" t="s">
        <v>3146</v>
      </c>
      <c r="F1562" s="2199" t="s">
        <v>5678</v>
      </c>
      <c r="H1562" s="2198" t="s">
        <v>3146</v>
      </c>
      <c r="L1562" s="2196"/>
      <c r="M1562" s="2200"/>
      <c r="T1562" s="2201"/>
      <c r="AT1562" s="2198" t="s">
        <v>3303</v>
      </c>
      <c r="AU1562" s="2198" t="s">
        <v>134</v>
      </c>
      <c r="AV1562" s="2195" t="s">
        <v>133</v>
      </c>
      <c r="AW1562" s="2195" t="s">
        <v>3171</v>
      </c>
      <c r="AX1562" s="2195" t="s">
        <v>3213</v>
      </c>
      <c r="AY1562" s="2198" t="s">
        <v>3285</v>
      </c>
    </row>
    <row r="1563" spans="2:65" s="2195" customFormat="1">
      <c r="B1563" s="2196"/>
      <c r="D1563" s="2197" t="s">
        <v>3303</v>
      </c>
      <c r="E1563" s="2198" t="s">
        <v>3146</v>
      </c>
      <c r="F1563" s="2199" t="s">
        <v>5679</v>
      </c>
      <c r="H1563" s="2198" t="s">
        <v>3146</v>
      </c>
      <c r="L1563" s="2196"/>
      <c r="M1563" s="2200"/>
      <c r="T1563" s="2201"/>
      <c r="AT1563" s="2198" t="s">
        <v>3303</v>
      </c>
      <c r="AU1563" s="2198" t="s">
        <v>134</v>
      </c>
      <c r="AV1563" s="2195" t="s">
        <v>133</v>
      </c>
      <c r="AW1563" s="2195" t="s">
        <v>3171</v>
      </c>
      <c r="AX1563" s="2195" t="s">
        <v>3213</v>
      </c>
      <c r="AY1563" s="2198" t="s">
        <v>3285</v>
      </c>
    </row>
    <row r="1564" spans="2:65" s="2195" customFormat="1">
      <c r="B1564" s="2196"/>
      <c r="D1564" s="2197" t="s">
        <v>3303</v>
      </c>
      <c r="E1564" s="2198" t="s">
        <v>3146</v>
      </c>
      <c r="F1564" s="2199" t="s">
        <v>11441</v>
      </c>
      <c r="H1564" s="2198" t="s">
        <v>3146</v>
      </c>
      <c r="L1564" s="2196"/>
      <c r="M1564" s="2200"/>
      <c r="T1564" s="2201"/>
      <c r="AT1564" s="2198" t="s">
        <v>3303</v>
      </c>
      <c r="AU1564" s="2198" t="s">
        <v>134</v>
      </c>
      <c r="AV1564" s="2195" t="s">
        <v>133</v>
      </c>
      <c r="AW1564" s="2195" t="s">
        <v>3171</v>
      </c>
      <c r="AX1564" s="2195" t="s">
        <v>3213</v>
      </c>
      <c r="AY1564" s="2198" t="s">
        <v>3285</v>
      </c>
    </row>
    <row r="1565" spans="2:65" s="2209" customFormat="1">
      <c r="B1565" s="2210"/>
      <c r="D1565" s="2197" t="s">
        <v>3303</v>
      </c>
      <c r="E1565" s="2211" t="s">
        <v>3146</v>
      </c>
      <c r="F1565" s="2212" t="s">
        <v>11458</v>
      </c>
      <c r="H1565" s="2213">
        <v>0.191</v>
      </c>
      <c r="L1565" s="2210"/>
      <c r="M1565" s="2214"/>
      <c r="T1565" s="2215"/>
      <c r="AT1565" s="2211" t="s">
        <v>3303</v>
      </c>
      <c r="AU1565" s="2211" t="s">
        <v>134</v>
      </c>
      <c r="AV1565" s="2209" t="s">
        <v>134</v>
      </c>
      <c r="AW1565" s="2209" t="s">
        <v>3171</v>
      </c>
      <c r="AX1565" s="2209" t="s">
        <v>3213</v>
      </c>
      <c r="AY1565" s="2211" t="s">
        <v>3285</v>
      </c>
    </row>
    <row r="1566" spans="2:65" s="2195" customFormat="1">
      <c r="B1566" s="2196"/>
      <c r="D1566" s="2197" t="s">
        <v>3303</v>
      </c>
      <c r="E1566" s="2198" t="s">
        <v>3146</v>
      </c>
      <c r="F1566" s="2199" t="s">
        <v>11443</v>
      </c>
      <c r="H1566" s="2198" t="s">
        <v>3146</v>
      </c>
      <c r="L1566" s="2196"/>
      <c r="M1566" s="2200"/>
      <c r="T1566" s="2201"/>
      <c r="AT1566" s="2198" t="s">
        <v>3303</v>
      </c>
      <c r="AU1566" s="2198" t="s">
        <v>134</v>
      </c>
      <c r="AV1566" s="2195" t="s">
        <v>133</v>
      </c>
      <c r="AW1566" s="2195" t="s">
        <v>3171</v>
      </c>
      <c r="AX1566" s="2195" t="s">
        <v>3213</v>
      </c>
      <c r="AY1566" s="2198" t="s">
        <v>3285</v>
      </c>
    </row>
    <row r="1567" spans="2:65" s="2209" customFormat="1">
      <c r="B1567" s="2210"/>
      <c r="D1567" s="2197" t="s">
        <v>3303</v>
      </c>
      <c r="E1567" s="2211" t="s">
        <v>3146</v>
      </c>
      <c r="F1567" s="2212" t="s">
        <v>11459</v>
      </c>
      <c r="H1567" s="2213">
        <v>7.5999999999999998E-2</v>
      </c>
      <c r="L1567" s="2210"/>
      <c r="M1567" s="2214"/>
      <c r="T1567" s="2215"/>
      <c r="AT1567" s="2211" t="s">
        <v>3303</v>
      </c>
      <c r="AU1567" s="2211" t="s">
        <v>134</v>
      </c>
      <c r="AV1567" s="2209" t="s">
        <v>134</v>
      </c>
      <c r="AW1567" s="2209" t="s">
        <v>3171</v>
      </c>
      <c r="AX1567" s="2209" t="s">
        <v>3213</v>
      </c>
      <c r="AY1567" s="2211" t="s">
        <v>3285</v>
      </c>
    </row>
    <row r="1568" spans="2:65" s="2195" customFormat="1">
      <c r="B1568" s="2196"/>
      <c r="D1568" s="2197" t="s">
        <v>3303</v>
      </c>
      <c r="E1568" s="2198" t="s">
        <v>3146</v>
      </c>
      <c r="F1568" s="2199" t="s">
        <v>11445</v>
      </c>
      <c r="H1568" s="2198" t="s">
        <v>3146</v>
      </c>
      <c r="L1568" s="2196"/>
      <c r="M1568" s="2200"/>
      <c r="T1568" s="2201"/>
      <c r="AT1568" s="2198" t="s">
        <v>3303</v>
      </c>
      <c r="AU1568" s="2198" t="s">
        <v>134</v>
      </c>
      <c r="AV1568" s="2195" t="s">
        <v>133</v>
      </c>
      <c r="AW1568" s="2195" t="s">
        <v>3171</v>
      </c>
      <c r="AX1568" s="2195" t="s">
        <v>3213</v>
      </c>
      <c r="AY1568" s="2198" t="s">
        <v>3285</v>
      </c>
    </row>
    <row r="1569" spans="2:65" s="2209" customFormat="1">
      <c r="B1569" s="2210"/>
      <c r="D1569" s="2197" t="s">
        <v>3303</v>
      </c>
      <c r="E1569" s="2211" t="s">
        <v>3146</v>
      </c>
      <c r="F1569" s="2212" t="s">
        <v>11460</v>
      </c>
      <c r="H1569" s="2213">
        <v>0.16900000000000001</v>
      </c>
      <c r="L1569" s="2210"/>
      <c r="M1569" s="2214"/>
      <c r="T1569" s="2215"/>
      <c r="AT1569" s="2211" t="s">
        <v>3303</v>
      </c>
      <c r="AU1569" s="2211" t="s">
        <v>134</v>
      </c>
      <c r="AV1569" s="2209" t="s">
        <v>134</v>
      </c>
      <c r="AW1569" s="2209" t="s">
        <v>3171</v>
      </c>
      <c r="AX1569" s="2209" t="s">
        <v>3213</v>
      </c>
      <c r="AY1569" s="2211" t="s">
        <v>3285</v>
      </c>
    </row>
    <row r="1570" spans="2:65" s="2195" customFormat="1">
      <c r="B1570" s="2196"/>
      <c r="D1570" s="2197" t="s">
        <v>3303</v>
      </c>
      <c r="E1570" s="2198" t="s">
        <v>3146</v>
      </c>
      <c r="F1570" s="2199" t="s">
        <v>11447</v>
      </c>
      <c r="H1570" s="2198" t="s">
        <v>3146</v>
      </c>
      <c r="L1570" s="2196"/>
      <c r="M1570" s="2200"/>
      <c r="T1570" s="2201"/>
      <c r="AT1570" s="2198" t="s">
        <v>3303</v>
      </c>
      <c r="AU1570" s="2198" t="s">
        <v>134</v>
      </c>
      <c r="AV1570" s="2195" t="s">
        <v>133</v>
      </c>
      <c r="AW1570" s="2195" t="s">
        <v>3171</v>
      </c>
      <c r="AX1570" s="2195" t="s">
        <v>3213</v>
      </c>
      <c r="AY1570" s="2198" t="s">
        <v>3285</v>
      </c>
    </row>
    <row r="1571" spans="2:65" s="2209" customFormat="1">
      <c r="B1571" s="2210"/>
      <c r="D1571" s="2197" t="s">
        <v>3303</v>
      </c>
      <c r="E1571" s="2211" t="s">
        <v>3146</v>
      </c>
      <c r="F1571" s="2212" t="s">
        <v>11461</v>
      </c>
      <c r="H1571" s="2213">
        <v>9.6000000000000002E-2</v>
      </c>
      <c r="L1571" s="2210"/>
      <c r="M1571" s="2214"/>
      <c r="T1571" s="2215"/>
      <c r="AT1571" s="2211" t="s">
        <v>3303</v>
      </c>
      <c r="AU1571" s="2211" t="s">
        <v>134</v>
      </c>
      <c r="AV1571" s="2209" t="s">
        <v>134</v>
      </c>
      <c r="AW1571" s="2209" t="s">
        <v>3171</v>
      </c>
      <c r="AX1571" s="2209" t="s">
        <v>3213</v>
      </c>
      <c r="AY1571" s="2211" t="s">
        <v>3285</v>
      </c>
    </row>
    <row r="1572" spans="2:65" s="2195" customFormat="1">
      <c r="B1572" s="2196"/>
      <c r="D1572" s="2197" t="s">
        <v>3303</v>
      </c>
      <c r="E1572" s="2198" t="s">
        <v>3146</v>
      </c>
      <c r="F1572" s="2199" t="s">
        <v>11449</v>
      </c>
      <c r="H1572" s="2198" t="s">
        <v>3146</v>
      </c>
      <c r="L1572" s="2196"/>
      <c r="M1572" s="2200"/>
      <c r="T1572" s="2201"/>
      <c r="AT1572" s="2198" t="s">
        <v>3303</v>
      </c>
      <c r="AU1572" s="2198" t="s">
        <v>134</v>
      </c>
      <c r="AV1572" s="2195" t="s">
        <v>133</v>
      </c>
      <c r="AW1572" s="2195" t="s">
        <v>3171</v>
      </c>
      <c r="AX1572" s="2195" t="s">
        <v>3213</v>
      </c>
      <c r="AY1572" s="2198" t="s">
        <v>3285</v>
      </c>
    </row>
    <row r="1573" spans="2:65" s="2209" customFormat="1">
      <c r="B1573" s="2210"/>
      <c r="D1573" s="2197" t="s">
        <v>3303</v>
      </c>
      <c r="E1573" s="2211" t="s">
        <v>3146</v>
      </c>
      <c r="F1573" s="2212" t="s">
        <v>11462</v>
      </c>
      <c r="H1573" s="2213">
        <v>2.9000000000000001E-2</v>
      </c>
      <c r="L1573" s="2210"/>
      <c r="M1573" s="2214"/>
      <c r="T1573" s="2215"/>
      <c r="AT1573" s="2211" t="s">
        <v>3303</v>
      </c>
      <c r="AU1573" s="2211" t="s">
        <v>134</v>
      </c>
      <c r="AV1573" s="2209" t="s">
        <v>134</v>
      </c>
      <c r="AW1573" s="2209" t="s">
        <v>3171</v>
      </c>
      <c r="AX1573" s="2209" t="s">
        <v>3213</v>
      </c>
      <c r="AY1573" s="2211" t="s">
        <v>3285</v>
      </c>
    </row>
    <row r="1574" spans="2:65" s="2216" customFormat="1">
      <c r="B1574" s="2217"/>
      <c r="D1574" s="2197" t="s">
        <v>3303</v>
      </c>
      <c r="E1574" s="2218" t="s">
        <v>3146</v>
      </c>
      <c r="F1574" s="2219" t="s">
        <v>3306</v>
      </c>
      <c r="H1574" s="2220">
        <v>0.56100000000000005</v>
      </c>
      <c r="L1574" s="2217"/>
      <c r="M1574" s="2221"/>
      <c r="T1574" s="2222"/>
      <c r="AT1574" s="2218" t="s">
        <v>3303</v>
      </c>
      <c r="AU1574" s="2218" t="s">
        <v>134</v>
      </c>
      <c r="AV1574" s="2216" t="s">
        <v>856</v>
      </c>
      <c r="AW1574" s="2216" t="s">
        <v>3171</v>
      </c>
      <c r="AX1574" s="2216" t="s">
        <v>133</v>
      </c>
      <c r="AY1574" s="2218" t="s">
        <v>3285</v>
      </c>
    </row>
    <row r="1575" spans="2:65" s="2209" customFormat="1">
      <c r="B1575" s="2210"/>
      <c r="D1575" s="2197" t="s">
        <v>3303</v>
      </c>
      <c r="F1575" s="2212" t="s">
        <v>11463</v>
      </c>
      <c r="H1575" s="2213">
        <v>0.60599999999999998</v>
      </c>
      <c r="L1575" s="2210"/>
      <c r="M1575" s="2214"/>
      <c r="T1575" s="2215"/>
      <c r="AT1575" s="2211" t="s">
        <v>3303</v>
      </c>
      <c r="AU1575" s="2211" t="s">
        <v>134</v>
      </c>
      <c r="AV1575" s="2209" t="s">
        <v>134</v>
      </c>
      <c r="AW1575" s="2209" t="s">
        <v>3148</v>
      </c>
      <c r="AX1575" s="2209" t="s">
        <v>133</v>
      </c>
      <c r="AY1575" s="2211" t="s">
        <v>3285</v>
      </c>
    </row>
    <row r="1576" spans="2:65" s="2070" customFormat="1" ht="21.75" customHeight="1">
      <c r="B1576" s="2164"/>
      <c r="C1576" s="4614" t="s">
        <v>11464</v>
      </c>
      <c r="D1576" s="4614" t="s">
        <v>135</v>
      </c>
      <c r="E1576" s="4615" t="s">
        <v>11465</v>
      </c>
      <c r="F1576" s="4616" t="s">
        <v>11466</v>
      </c>
      <c r="G1576" s="4617" t="s">
        <v>302</v>
      </c>
      <c r="H1576" s="4618">
        <v>0.17899999999999999</v>
      </c>
      <c r="I1576" s="4619"/>
      <c r="J1576" s="4619">
        <f>ROUND(I1576*H1576,2)</f>
        <v>0</v>
      </c>
      <c r="K1576" s="4616" t="s">
        <v>142</v>
      </c>
      <c r="L1576" s="2223"/>
      <c r="M1576" s="2224" t="s">
        <v>3146</v>
      </c>
      <c r="N1576" s="2225" t="s">
        <v>3181</v>
      </c>
      <c r="O1576" s="2191">
        <v>0</v>
      </c>
      <c r="P1576" s="2191">
        <f>O1576*H1576</f>
        <v>0</v>
      </c>
      <c r="Q1576" s="2191">
        <v>1</v>
      </c>
      <c r="R1576" s="2191">
        <f>Q1576*H1576</f>
        <v>0.17899999999999999</v>
      </c>
      <c r="S1576" s="2191">
        <v>0</v>
      </c>
      <c r="T1576" s="2192">
        <f>S1576*H1576</f>
        <v>0</v>
      </c>
      <c r="AR1576" s="2193" t="s">
        <v>3389</v>
      </c>
      <c r="AT1576" s="2193" t="s">
        <v>135</v>
      </c>
      <c r="AU1576" s="2193" t="s">
        <v>134</v>
      </c>
      <c r="AY1576" s="2056" t="s">
        <v>3285</v>
      </c>
      <c r="BE1576" s="2194">
        <f>IF(N1576="základní",J1576,0)</f>
        <v>0</v>
      </c>
      <c r="BF1576" s="2194">
        <f>IF(N1576="snížená",J1576,0)</f>
        <v>0</v>
      </c>
      <c r="BG1576" s="2194">
        <f>IF(N1576="zákl. přenesená",J1576,0)</f>
        <v>0</v>
      </c>
      <c r="BH1576" s="2194">
        <f>IF(N1576="sníž. přenesená",J1576,0)</f>
        <v>0</v>
      </c>
      <c r="BI1576" s="2194">
        <f>IF(N1576="nulová",J1576,0)</f>
        <v>0</v>
      </c>
      <c r="BJ1576" s="2056" t="s">
        <v>134</v>
      </c>
      <c r="BK1576" s="2194">
        <f>ROUND(I1576*H1576,2)</f>
        <v>0</v>
      </c>
      <c r="BL1576" s="2056" t="s">
        <v>2894</v>
      </c>
      <c r="BM1576" s="2193" t="s">
        <v>11467</v>
      </c>
    </row>
    <row r="1577" spans="2:65" s="2195" customFormat="1">
      <c r="B1577" s="2196"/>
      <c r="D1577" s="2197" t="s">
        <v>3303</v>
      </c>
      <c r="E1577" s="2198" t="s">
        <v>3146</v>
      </c>
      <c r="F1577" s="2199" t="s">
        <v>11451</v>
      </c>
      <c r="H1577" s="2198" t="s">
        <v>3146</v>
      </c>
      <c r="L1577" s="2196"/>
      <c r="M1577" s="2200"/>
      <c r="T1577" s="2201"/>
      <c r="AT1577" s="2198" t="s">
        <v>3303</v>
      </c>
      <c r="AU1577" s="2198" t="s">
        <v>134</v>
      </c>
      <c r="AV1577" s="2195" t="s">
        <v>133</v>
      </c>
      <c r="AW1577" s="2195" t="s">
        <v>3171</v>
      </c>
      <c r="AX1577" s="2195" t="s">
        <v>3213</v>
      </c>
      <c r="AY1577" s="2198" t="s">
        <v>3285</v>
      </c>
    </row>
    <row r="1578" spans="2:65" s="2209" customFormat="1" ht="22.5">
      <c r="B1578" s="2210"/>
      <c r="D1578" s="2197" t="s">
        <v>3303</v>
      </c>
      <c r="E1578" s="2211" t="s">
        <v>3146</v>
      </c>
      <c r="F1578" s="2212" t="s">
        <v>11468</v>
      </c>
      <c r="H1578" s="2213">
        <v>0.16600000000000001</v>
      </c>
      <c r="L1578" s="2210"/>
      <c r="M1578" s="2214"/>
      <c r="T1578" s="2215"/>
      <c r="AT1578" s="2211" t="s">
        <v>3303</v>
      </c>
      <c r="AU1578" s="2211" t="s">
        <v>134</v>
      </c>
      <c r="AV1578" s="2209" t="s">
        <v>134</v>
      </c>
      <c r="AW1578" s="2209" t="s">
        <v>3171</v>
      </c>
      <c r="AX1578" s="2209" t="s">
        <v>133</v>
      </c>
      <c r="AY1578" s="2211" t="s">
        <v>3285</v>
      </c>
    </row>
    <row r="1579" spans="2:65" s="2209" customFormat="1">
      <c r="B1579" s="2210"/>
      <c r="D1579" s="2197" t="s">
        <v>3303</v>
      </c>
      <c r="F1579" s="2212" t="s">
        <v>11469</v>
      </c>
      <c r="H1579" s="2213">
        <v>0.17899999999999999</v>
      </c>
      <c r="L1579" s="2210"/>
      <c r="M1579" s="2214"/>
      <c r="T1579" s="2215"/>
      <c r="AT1579" s="2211" t="s">
        <v>3303</v>
      </c>
      <c r="AU1579" s="2211" t="s">
        <v>134</v>
      </c>
      <c r="AV1579" s="2209" t="s">
        <v>134</v>
      </c>
      <c r="AW1579" s="2209" t="s">
        <v>3148</v>
      </c>
      <c r="AX1579" s="2209" t="s">
        <v>133</v>
      </c>
      <c r="AY1579" s="2211" t="s">
        <v>3285</v>
      </c>
    </row>
    <row r="1580" spans="2:65" s="2070" customFormat="1" ht="33" customHeight="1">
      <c r="B1580" s="2164"/>
      <c r="C1580" s="4608" t="s">
        <v>11470</v>
      </c>
      <c r="D1580" s="4608" t="s">
        <v>3286</v>
      </c>
      <c r="E1580" s="4609" t="s">
        <v>11471</v>
      </c>
      <c r="F1580" s="4610" t="s">
        <v>11472</v>
      </c>
      <c r="G1580" s="4611" t="s">
        <v>155</v>
      </c>
      <c r="H1580" s="4612">
        <v>1</v>
      </c>
      <c r="I1580" s="4613"/>
      <c r="J1580" s="4613">
        <f>ROUND(I1580*H1580,2)</f>
        <v>0</v>
      </c>
      <c r="K1580" s="4610" t="s">
        <v>3146</v>
      </c>
      <c r="L1580" s="2071"/>
      <c r="M1580" s="2190" t="s">
        <v>3146</v>
      </c>
      <c r="N1580" s="2163" t="s">
        <v>3181</v>
      </c>
      <c r="O1580" s="2191">
        <v>0.16200000000000001</v>
      </c>
      <c r="P1580" s="2191">
        <f>O1580*H1580</f>
        <v>0.16200000000000001</v>
      </c>
      <c r="Q1580" s="2191">
        <v>1.1E-4</v>
      </c>
      <c r="R1580" s="2191">
        <f>Q1580*H1580</f>
        <v>1.1E-4</v>
      </c>
      <c r="S1580" s="2191">
        <v>0</v>
      </c>
      <c r="T1580" s="2192">
        <f>S1580*H1580</f>
        <v>0</v>
      </c>
      <c r="AR1580" s="2193" t="s">
        <v>2894</v>
      </c>
      <c r="AT1580" s="2193" t="s">
        <v>3286</v>
      </c>
      <c r="AU1580" s="2193" t="s">
        <v>134</v>
      </c>
      <c r="AY1580" s="2056" t="s">
        <v>3285</v>
      </c>
      <c r="BE1580" s="2194">
        <f>IF(N1580="základní",J1580,0)</f>
        <v>0</v>
      </c>
      <c r="BF1580" s="2194">
        <f>IF(N1580="snížená",J1580,0)</f>
        <v>0</v>
      </c>
      <c r="BG1580" s="2194">
        <f>IF(N1580="zákl. přenesená",J1580,0)</f>
        <v>0</v>
      </c>
      <c r="BH1580" s="2194">
        <f>IF(N1580="sníž. přenesená",J1580,0)</f>
        <v>0</v>
      </c>
      <c r="BI1580" s="2194">
        <f>IF(N1580="nulová",J1580,0)</f>
        <v>0</v>
      </c>
      <c r="BJ1580" s="2056" t="s">
        <v>134</v>
      </c>
      <c r="BK1580" s="2194">
        <f>ROUND(I1580*H1580,2)</f>
        <v>0</v>
      </c>
      <c r="BL1580" s="2056" t="s">
        <v>2894</v>
      </c>
      <c r="BM1580" s="2193" t="s">
        <v>11473</v>
      </c>
    </row>
    <row r="1581" spans="2:65" s="2070" customFormat="1" ht="24.2" customHeight="1">
      <c r="B1581" s="2164"/>
      <c r="C1581" s="4608" t="s">
        <v>11474</v>
      </c>
      <c r="D1581" s="4608" t="s">
        <v>3286</v>
      </c>
      <c r="E1581" s="4609" t="s">
        <v>11475</v>
      </c>
      <c r="F1581" s="4610" t="s">
        <v>11476</v>
      </c>
      <c r="G1581" s="4611" t="s">
        <v>155</v>
      </c>
      <c r="H1581" s="4612">
        <v>5</v>
      </c>
      <c r="I1581" s="4613"/>
      <c r="J1581" s="4613">
        <f>ROUND(I1581*H1581,2)</f>
        <v>0</v>
      </c>
      <c r="K1581" s="4610" t="s">
        <v>142</v>
      </c>
      <c r="L1581" s="2071"/>
      <c r="M1581" s="2190" t="s">
        <v>3146</v>
      </c>
      <c r="N1581" s="2163" t="s">
        <v>3181</v>
      </c>
      <c r="O1581" s="2191">
        <v>2.39</v>
      </c>
      <c r="P1581" s="2191">
        <f>O1581*H1581</f>
        <v>11.950000000000001</v>
      </c>
      <c r="Q1581" s="2191">
        <v>1.7000000000000001E-4</v>
      </c>
      <c r="R1581" s="2191">
        <f>Q1581*H1581</f>
        <v>8.5000000000000006E-4</v>
      </c>
      <c r="S1581" s="2191">
        <v>0</v>
      </c>
      <c r="T1581" s="2192">
        <f>S1581*H1581</f>
        <v>0</v>
      </c>
      <c r="AR1581" s="2193" t="s">
        <v>2894</v>
      </c>
      <c r="AT1581" s="2193" t="s">
        <v>3286</v>
      </c>
      <c r="AU1581" s="2193" t="s">
        <v>134</v>
      </c>
      <c r="AY1581" s="2056" t="s">
        <v>3285</v>
      </c>
      <c r="BE1581" s="2194">
        <f>IF(N1581="základní",J1581,0)</f>
        <v>0</v>
      </c>
      <c r="BF1581" s="2194">
        <f>IF(N1581="snížená",J1581,0)</f>
        <v>0</v>
      </c>
      <c r="BG1581" s="2194">
        <f>IF(N1581="zákl. přenesená",J1581,0)</f>
        <v>0</v>
      </c>
      <c r="BH1581" s="2194">
        <f>IF(N1581="sníž. přenesená",J1581,0)</f>
        <v>0</v>
      </c>
      <c r="BI1581" s="2194">
        <f>IF(N1581="nulová",J1581,0)</f>
        <v>0</v>
      </c>
      <c r="BJ1581" s="2056" t="s">
        <v>134</v>
      </c>
      <c r="BK1581" s="2194">
        <f>ROUND(I1581*H1581,2)</f>
        <v>0</v>
      </c>
      <c r="BL1581" s="2056" t="s">
        <v>2894</v>
      </c>
      <c r="BM1581" s="2193" t="s">
        <v>11477</v>
      </c>
    </row>
    <row r="1582" spans="2:65" s="2070" customFormat="1" ht="24.2" customHeight="1">
      <c r="B1582" s="2164"/>
      <c r="C1582" s="4614" t="s">
        <v>11478</v>
      </c>
      <c r="D1582" s="4614" t="s">
        <v>135</v>
      </c>
      <c r="E1582" s="4615" t="s">
        <v>11479</v>
      </c>
      <c r="F1582" s="4616" t="s">
        <v>11480</v>
      </c>
      <c r="G1582" s="4617" t="s">
        <v>155</v>
      </c>
      <c r="H1582" s="4618">
        <v>5</v>
      </c>
      <c r="I1582" s="4619"/>
      <c r="J1582" s="4619">
        <f>ROUND(I1582*H1582,2)</f>
        <v>0</v>
      </c>
      <c r="K1582" s="4616" t="s">
        <v>142</v>
      </c>
      <c r="L1582" s="2223"/>
      <c r="M1582" s="2224" t="s">
        <v>3146</v>
      </c>
      <c r="N1582" s="2225" t="s">
        <v>3181</v>
      </c>
      <c r="O1582" s="2191">
        <v>0</v>
      </c>
      <c r="P1582" s="2191">
        <f>O1582*H1582</f>
        <v>0</v>
      </c>
      <c r="Q1582" s="2191">
        <v>2.6900000000000001E-3</v>
      </c>
      <c r="R1582" s="2191">
        <f>Q1582*H1582</f>
        <v>1.345E-2</v>
      </c>
      <c r="S1582" s="2191">
        <v>0</v>
      </c>
      <c r="T1582" s="2192">
        <f>S1582*H1582</f>
        <v>0</v>
      </c>
      <c r="AR1582" s="2193" t="s">
        <v>3389</v>
      </c>
      <c r="AT1582" s="2193" t="s">
        <v>135</v>
      </c>
      <c r="AU1582" s="2193" t="s">
        <v>134</v>
      </c>
      <c r="AY1582" s="2056" t="s">
        <v>3285</v>
      </c>
      <c r="BE1582" s="2194">
        <f>IF(N1582="základní",J1582,0)</f>
        <v>0</v>
      </c>
      <c r="BF1582" s="2194">
        <f>IF(N1582="snížená",J1582,0)</f>
        <v>0</v>
      </c>
      <c r="BG1582" s="2194">
        <f>IF(N1582="zákl. přenesená",J1582,0)</f>
        <v>0</v>
      </c>
      <c r="BH1582" s="2194">
        <f>IF(N1582="sníž. přenesená",J1582,0)</f>
        <v>0</v>
      </c>
      <c r="BI1582" s="2194">
        <f>IF(N1582="nulová",J1582,0)</f>
        <v>0</v>
      </c>
      <c r="BJ1582" s="2056" t="s">
        <v>134</v>
      </c>
      <c r="BK1582" s="2194">
        <f>ROUND(I1582*H1582,2)</f>
        <v>0</v>
      </c>
      <c r="BL1582" s="2056" t="s">
        <v>2894</v>
      </c>
      <c r="BM1582" s="2193" t="s">
        <v>11481</v>
      </c>
    </row>
    <row r="1583" spans="2:65" s="2070" customFormat="1" ht="24.2" customHeight="1">
      <c r="B1583" s="2164"/>
      <c r="C1583" s="4608" t="s">
        <v>11482</v>
      </c>
      <c r="D1583" s="4608" t="s">
        <v>3286</v>
      </c>
      <c r="E1583" s="4609" t="s">
        <v>11483</v>
      </c>
      <c r="F1583" s="4610" t="s">
        <v>11484</v>
      </c>
      <c r="G1583" s="4611" t="s">
        <v>155</v>
      </c>
      <c r="H1583" s="4612">
        <v>1</v>
      </c>
      <c r="I1583" s="4613"/>
      <c r="J1583" s="4613">
        <f>ROUND(I1583*H1583,2)</f>
        <v>0</v>
      </c>
      <c r="K1583" s="4610" t="s">
        <v>142</v>
      </c>
      <c r="L1583" s="2071"/>
      <c r="M1583" s="2190" t="s">
        <v>3146</v>
      </c>
      <c r="N1583" s="2163" t="s">
        <v>3181</v>
      </c>
      <c r="O1583" s="2191">
        <v>5.76</v>
      </c>
      <c r="P1583" s="2191">
        <f>O1583*H1583</f>
        <v>5.76</v>
      </c>
      <c r="Q1583" s="2191">
        <v>0</v>
      </c>
      <c r="R1583" s="2191">
        <f>Q1583*H1583</f>
        <v>0</v>
      </c>
      <c r="S1583" s="2191">
        <v>0</v>
      </c>
      <c r="T1583" s="2192">
        <f>S1583*H1583</f>
        <v>0</v>
      </c>
      <c r="AR1583" s="2193" t="s">
        <v>2894</v>
      </c>
      <c r="AT1583" s="2193" t="s">
        <v>3286</v>
      </c>
      <c r="AU1583" s="2193" t="s">
        <v>134</v>
      </c>
      <c r="AY1583" s="2056" t="s">
        <v>3285</v>
      </c>
      <c r="BE1583" s="2194">
        <f>IF(N1583="základní",J1583,0)</f>
        <v>0</v>
      </c>
      <c r="BF1583" s="2194">
        <f>IF(N1583="snížená",J1583,0)</f>
        <v>0</v>
      </c>
      <c r="BG1583" s="2194">
        <f>IF(N1583="zákl. přenesená",J1583,0)</f>
        <v>0</v>
      </c>
      <c r="BH1583" s="2194">
        <f>IF(N1583="sníž. přenesená",J1583,0)</f>
        <v>0</v>
      </c>
      <c r="BI1583" s="2194">
        <f>IF(N1583="nulová",J1583,0)</f>
        <v>0</v>
      </c>
      <c r="BJ1583" s="2056" t="s">
        <v>134</v>
      </c>
      <c r="BK1583" s="2194">
        <f>ROUND(I1583*H1583,2)</f>
        <v>0</v>
      </c>
      <c r="BL1583" s="2056" t="s">
        <v>2894</v>
      </c>
      <c r="BM1583" s="2193" t="s">
        <v>11485</v>
      </c>
    </row>
    <row r="1584" spans="2:65" s="2070" customFormat="1" ht="33" customHeight="1">
      <c r="B1584" s="2164"/>
      <c r="C1584" s="4614" t="s">
        <v>11486</v>
      </c>
      <c r="D1584" s="4614" t="s">
        <v>135</v>
      </c>
      <c r="E1584" s="4615" t="s">
        <v>11487</v>
      </c>
      <c r="F1584" s="4616" t="s">
        <v>11488</v>
      </c>
      <c r="G1584" s="4617" t="s">
        <v>141</v>
      </c>
      <c r="H1584" s="4618">
        <v>30.24</v>
      </c>
      <c r="I1584" s="4619"/>
      <c r="J1584" s="4619">
        <f>ROUND(I1584*H1584,2)</f>
        <v>0</v>
      </c>
      <c r="K1584" s="4616" t="s">
        <v>142</v>
      </c>
      <c r="L1584" s="2223"/>
      <c r="M1584" s="2224" t="s">
        <v>3146</v>
      </c>
      <c r="N1584" s="2225" t="s">
        <v>3181</v>
      </c>
      <c r="O1584" s="2191">
        <v>0</v>
      </c>
      <c r="P1584" s="2191">
        <f>O1584*H1584</f>
        <v>0</v>
      </c>
      <c r="Q1584" s="2191">
        <v>2.4000000000000001E-4</v>
      </c>
      <c r="R1584" s="2191">
        <f>Q1584*H1584</f>
        <v>7.2575999999999995E-3</v>
      </c>
      <c r="S1584" s="2191">
        <v>0</v>
      </c>
      <c r="T1584" s="2192">
        <f>S1584*H1584</f>
        <v>0</v>
      </c>
      <c r="AR1584" s="2193" t="s">
        <v>3389</v>
      </c>
      <c r="AT1584" s="2193" t="s">
        <v>135</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f>ROUND(I1584*H1584,2)</f>
        <v>0</v>
      </c>
      <c r="BL1584" s="2056" t="s">
        <v>2894</v>
      </c>
      <c r="BM1584" s="2193" t="s">
        <v>11489</v>
      </c>
    </row>
    <row r="1585" spans="2:65" s="2209" customFormat="1">
      <c r="B1585" s="2210"/>
      <c r="D1585" s="2197" t="s">
        <v>3303</v>
      </c>
      <c r="F1585" s="2212" t="s">
        <v>11490</v>
      </c>
      <c r="H1585" s="2213">
        <v>30.24</v>
      </c>
      <c r="L1585" s="2210"/>
      <c r="M1585" s="2214"/>
      <c r="T1585" s="2215"/>
      <c r="AT1585" s="2211" t="s">
        <v>3303</v>
      </c>
      <c r="AU1585" s="2211" t="s">
        <v>134</v>
      </c>
      <c r="AV1585" s="2209" t="s">
        <v>134</v>
      </c>
      <c r="AW1585" s="2209" t="s">
        <v>3148</v>
      </c>
      <c r="AX1585" s="2209" t="s">
        <v>133</v>
      </c>
      <c r="AY1585" s="2211" t="s">
        <v>3285</v>
      </c>
    </row>
    <row r="1586" spans="2:65" s="2070" customFormat="1" ht="16.5" customHeight="1">
      <c r="B1586" s="2164"/>
      <c r="C1586" s="4608" t="s">
        <v>11491</v>
      </c>
      <c r="D1586" s="4608" t="s">
        <v>3286</v>
      </c>
      <c r="E1586" s="4609" t="s">
        <v>11492</v>
      </c>
      <c r="F1586" s="4610" t="s">
        <v>11493</v>
      </c>
      <c r="G1586" s="4611" t="s">
        <v>155</v>
      </c>
      <c r="H1586" s="4612">
        <v>1</v>
      </c>
      <c r="I1586" s="4613"/>
      <c r="J1586" s="4613">
        <f>ROUND(I1586*H1586,2)</f>
        <v>0</v>
      </c>
      <c r="K1586" s="4610" t="s">
        <v>3146</v>
      </c>
      <c r="L1586" s="2071"/>
      <c r="M1586" s="2190" t="s">
        <v>3146</v>
      </c>
      <c r="N1586" s="2163" t="s">
        <v>3181</v>
      </c>
      <c r="O1586" s="2191">
        <v>5.76</v>
      </c>
      <c r="P1586" s="2191">
        <f>O1586*H1586</f>
        <v>5.76</v>
      </c>
      <c r="Q1586" s="2191">
        <v>0</v>
      </c>
      <c r="R1586" s="2191">
        <f>Q1586*H1586</f>
        <v>0</v>
      </c>
      <c r="S1586" s="2191">
        <v>0</v>
      </c>
      <c r="T1586" s="2192">
        <f>S1586*H1586</f>
        <v>0</v>
      </c>
      <c r="AR1586" s="2193" t="s">
        <v>2894</v>
      </c>
      <c r="AT1586" s="2193" t="s">
        <v>3286</v>
      </c>
      <c r="AU1586" s="2193" t="s">
        <v>134</v>
      </c>
      <c r="AY1586" s="2056" t="s">
        <v>3285</v>
      </c>
      <c r="BE1586" s="2194">
        <f>IF(N1586="základní",J1586,0)</f>
        <v>0</v>
      </c>
      <c r="BF1586" s="2194">
        <f>IF(N1586="snížená",J1586,0)</f>
        <v>0</v>
      </c>
      <c r="BG1586" s="2194">
        <f>IF(N1586="zákl. přenesená",J1586,0)</f>
        <v>0</v>
      </c>
      <c r="BH1586" s="2194">
        <f>IF(N1586="sníž. přenesená",J1586,0)</f>
        <v>0</v>
      </c>
      <c r="BI1586" s="2194">
        <f>IF(N1586="nulová",J1586,0)</f>
        <v>0</v>
      </c>
      <c r="BJ1586" s="2056" t="s">
        <v>134</v>
      </c>
      <c r="BK1586" s="2194">
        <f>ROUND(I1586*H1586,2)</f>
        <v>0</v>
      </c>
      <c r="BL1586" s="2056" t="s">
        <v>2894</v>
      </c>
      <c r="BM1586" s="2193" t="s">
        <v>11494</v>
      </c>
    </row>
    <row r="1587" spans="2:65" s="2070" customFormat="1" ht="21.75" customHeight="1">
      <c r="B1587" s="2164"/>
      <c r="C1587" s="4608" t="s">
        <v>11495</v>
      </c>
      <c r="D1587" s="4608" t="s">
        <v>3286</v>
      </c>
      <c r="E1587" s="4609" t="s">
        <v>5681</v>
      </c>
      <c r="F1587" s="4610" t="s">
        <v>5682</v>
      </c>
      <c r="G1587" s="4611" t="s">
        <v>149</v>
      </c>
      <c r="H1587" s="4612">
        <v>127.19499999999999</v>
      </c>
      <c r="I1587" s="4613"/>
      <c r="J1587" s="4613">
        <f>ROUND(I1587*H1587,2)</f>
        <v>0</v>
      </c>
      <c r="K1587" s="4610" t="s">
        <v>142</v>
      </c>
      <c r="L1587" s="2071"/>
      <c r="M1587" s="2190" t="s">
        <v>3146</v>
      </c>
      <c r="N1587" s="2163" t="s">
        <v>3181</v>
      </c>
      <c r="O1587" s="2191">
        <v>0.26600000000000001</v>
      </c>
      <c r="P1587" s="2191">
        <f>O1587*H1587</f>
        <v>33.833869999999997</v>
      </c>
      <c r="Q1587" s="2191">
        <v>6.9999999999999994E-5</v>
      </c>
      <c r="R1587" s="2191">
        <f>Q1587*H1587</f>
        <v>8.9036499999999991E-3</v>
      </c>
      <c r="S1587" s="2191">
        <v>0</v>
      </c>
      <c r="T1587" s="2192">
        <f>S1587*H1587</f>
        <v>0</v>
      </c>
      <c r="AR1587" s="2193" t="s">
        <v>2894</v>
      </c>
      <c r="AT1587" s="2193" t="s">
        <v>3286</v>
      </c>
      <c r="AU1587" s="2193" t="s">
        <v>134</v>
      </c>
      <c r="AY1587" s="2056" t="s">
        <v>3285</v>
      </c>
      <c r="BE1587" s="2194">
        <f>IF(N1587="základní",J1587,0)</f>
        <v>0</v>
      </c>
      <c r="BF1587" s="2194">
        <f>IF(N1587="snížená",J1587,0)</f>
        <v>0</v>
      </c>
      <c r="BG1587" s="2194">
        <f>IF(N1587="zákl. přenesená",J1587,0)</f>
        <v>0</v>
      </c>
      <c r="BH1587" s="2194">
        <f>IF(N1587="sníž. přenesená",J1587,0)</f>
        <v>0</v>
      </c>
      <c r="BI1587" s="2194">
        <f>IF(N1587="nulová",J1587,0)</f>
        <v>0</v>
      </c>
      <c r="BJ1587" s="2056" t="s">
        <v>134</v>
      </c>
      <c r="BK1587" s="2194">
        <f>ROUND(I1587*H1587,2)</f>
        <v>0</v>
      </c>
      <c r="BL1587" s="2056" t="s">
        <v>2894</v>
      </c>
      <c r="BM1587" s="2193" t="s">
        <v>5683</v>
      </c>
    </row>
    <row r="1588" spans="2:65" s="2195" customFormat="1">
      <c r="B1588" s="2196"/>
      <c r="D1588" s="2197" t="s">
        <v>3303</v>
      </c>
      <c r="E1588" s="2198" t="s">
        <v>3146</v>
      </c>
      <c r="F1588" s="2199" t="s">
        <v>5684</v>
      </c>
      <c r="H1588" s="2198" t="s">
        <v>3146</v>
      </c>
      <c r="L1588" s="2196"/>
      <c r="M1588" s="2200"/>
      <c r="T1588" s="2201"/>
      <c r="AT1588" s="2198" t="s">
        <v>3303</v>
      </c>
      <c r="AU1588" s="2198" t="s">
        <v>134</v>
      </c>
      <c r="AV1588" s="2195" t="s">
        <v>133</v>
      </c>
      <c r="AW1588" s="2195" t="s">
        <v>3171</v>
      </c>
      <c r="AX1588" s="2195" t="s">
        <v>3213</v>
      </c>
      <c r="AY1588" s="2198" t="s">
        <v>3285</v>
      </c>
    </row>
    <row r="1589" spans="2:65" s="2209" customFormat="1">
      <c r="B1589" s="2210"/>
      <c r="D1589" s="2197" t="s">
        <v>3303</v>
      </c>
      <c r="E1589" s="2211" t="s">
        <v>3146</v>
      </c>
      <c r="F1589" s="2212" t="s">
        <v>5685</v>
      </c>
      <c r="H1589" s="2213">
        <v>127.19499999999999</v>
      </c>
      <c r="L1589" s="2210"/>
      <c r="M1589" s="2214"/>
      <c r="T1589" s="2215"/>
      <c r="AT1589" s="2211" t="s">
        <v>3303</v>
      </c>
      <c r="AU1589" s="2211" t="s">
        <v>134</v>
      </c>
      <c r="AV1589" s="2209" t="s">
        <v>134</v>
      </c>
      <c r="AW1589" s="2209" t="s">
        <v>3171</v>
      </c>
      <c r="AX1589" s="2209" t="s">
        <v>3213</v>
      </c>
      <c r="AY1589" s="2211" t="s">
        <v>3285</v>
      </c>
    </row>
    <row r="1590" spans="2:65" s="2216" customFormat="1">
      <c r="B1590" s="2217"/>
      <c r="D1590" s="2197" t="s">
        <v>3303</v>
      </c>
      <c r="E1590" s="2218" t="s">
        <v>3146</v>
      </c>
      <c r="F1590" s="2219" t="s">
        <v>3306</v>
      </c>
      <c r="H1590" s="2220">
        <v>127.19499999999999</v>
      </c>
      <c r="L1590" s="2217"/>
      <c r="M1590" s="2221"/>
      <c r="T1590" s="2222"/>
      <c r="AT1590" s="2218" t="s">
        <v>3303</v>
      </c>
      <c r="AU1590" s="2218" t="s">
        <v>134</v>
      </c>
      <c r="AV1590" s="2216" t="s">
        <v>856</v>
      </c>
      <c r="AW1590" s="2216" t="s">
        <v>3171</v>
      </c>
      <c r="AX1590" s="2216" t="s">
        <v>133</v>
      </c>
      <c r="AY1590" s="2218" t="s">
        <v>3285</v>
      </c>
    </row>
    <row r="1591" spans="2:65" s="2070" customFormat="1" ht="24.2" customHeight="1">
      <c r="B1591" s="2164"/>
      <c r="C1591" s="4614" t="s">
        <v>11496</v>
      </c>
      <c r="D1591" s="4614" t="s">
        <v>135</v>
      </c>
      <c r="E1591" s="4615" t="s">
        <v>5686</v>
      </c>
      <c r="F1591" s="4616" t="s">
        <v>5687</v>
      </c>
      <c r="G1591" s="4617" t="s">
        <v>302</v>
      </c>
      <c r="H1591" s="4618">
        <v>0.13800000000000001</v>
      </c>
      <c r="I1591" s="4619"/>
      <c r="J1591" s="4619">
        <f>ROUND(I1591*H1591,2)</f>
        <v>0</v>
      </c>
      <c r="K1591" s="4616" t="s">
        <v>142</v>
      </c>
      <c r="L1591" s="2223"/>
      <c r="M1591" s="2224" t="s">
        <v>3146</v>
      </c>
      <c r="N1591" s="2225" t="s">
        <v>3181</v>
      </c>
      <c r="O1591" s="2191">
        <v>0</v>
      </c>
      <c r="P1591" s="2191">
        <f>O1591*H1591</f>
        <v>0</v>
      </c>
      <c r="Q1591" s="2191">
        <v>1</v>
      </c>
      <c r="R1591" s="2191">
        <f>Q1591*H1591</f>
        <v>0.13800000000000001</v>
      </c>
      <c r="S1591" s="2191">
        <v>0</v>
      </c>
      <c r="T1591" s="2192">
        <f>S1591*H1591</f>
        <v>0</v>
      </c>
      <c r="AR1591" s="2193" t="s">
        <v>3389</v>
      </c>
      <c r="AT1591" s="2193" t="s">
        <v>135</v>
      </c>
      <c r="AU1591" s="2193" t="s">
        <v>134</v>
      </c>
      <c r="AY1591" s="2056" t="s">
        <v>3285</v>
      </c>
      <c r="BE1591" s="2194">
        <f>IF(N1591="základní",J1591,0)</f>
        <v>0</v>
      </c>
      <c r="BF1591" s="2194">
        <f>IF(N1591="snížená",J1591,0)</f>
        <v>0</v>
      </c>
      <c r="BG1591" s="2194">
        <f>IF(N1591="zákl. přenesená",J1591,0)</f>
        <v>0</v>
      </c>
      <c r="BH1591" s="2194">
        <f>IF(N1591="sníž. přenesená",J1591,0)</f>
        <v>0</v>
      </c>
      <c r="BI1591" s="2194">
        <f>IF(N1591="nulová",J1591,0)</f>
        <v>0</v>
      </c>
      <c r="BJ1591" s="2056" t="s">
        <v>134</v>
      </c>
      <c r="BK1591" s="2194">
        <f>ROUND(I1591*H1591,2)</f>
        <v>0</v>
      </c>
      <c r="BL1591" s="2056" t="s">
        <v>2894</v>
      </c>
      <c r="BM1591" s="2193" t="s">
        <v>5688</v>
      </c>
    </row>
    <row r="1592" spans="2:65" s="2195" customFormat="1">
      <c r="B1592" s="2196"/>
      <c r="D1592" s="2197" t="s">
        <v>3303</v>
      </c>
      <c r="E1592" s="2198" t="s">
        <v>3146</v>
      </c>
      <c r="F1592" s="2199" t="s">
        <v>5684</v>
      </c>
      <c r="H1592" s="2198" t="s">
        <v>3146</v>
      </c>
      <c r="L1592" s="2196"/>
      <c r="M1592" s="2200"/>
      <c r="T1592" s="2201"/>
      <c r="AT1592" s="2198" t="s">
        <v>3303</v>
      </c>
      <c r="AU1592" s="2198" t="s">
        <v>134</v>
      </c>
      <c r="AV1592" s="2195" t="s">
        <v>133</v>
      </c>
      <c r="AW1592" s="2195" t="s">
        <v>3171</v>
      </c>
      <c r="AX1592" s="2195" t="s">
        <v>3213</v>
      </c>
      <c r="AY1592" s="2198" t="s">
        <v>3285</v>
      </c>
    </row>
    <row r="1593" spans="2:65" s="2209" customFormat="1">
      <c r="B1593" s="2210"/>
      <c r="D1593" s="2197" t="s">
        <v>3303</v>
      </c>
      <c r="E1593" s="2211" t="s">
        <v>3146</v>
      </c>
      <c r="F1593" s="2212" t="s">
        <v>5689</v>
      </c>
      <c r="H1593" s="2213">
        <v>0.13800000000000001</v>
      </c>
      <c r="L1593" s="2210"/>
      <c r="M1593" s="2214"/>
      <c r="T1593" s="2215"/>
      <c r="AT1593" s="2211" t="s">
        <v>3303</v>
      </c>
      <c r="AU1593" s="2211" t="s">
        <v>134</v>
      </c>
      <c r="AV1593" s="2209" t="s">
        <v>134</v>
      </c>
      <c r="AW1593" s="2209" t="s">
        <v>3171</v>
      </c>
      <c r="AX1593" s="2209" t="s">
        <v>3213</v>
      </c>
      <c r="AY1593" s="2211" t="s">
        <v>3285</v>
      </c>
    </row>
    <row r="1594" spans="2:65" s="2216" customFormat="1">
      <c r="B1594" s="2217"/>
      <c r="D1594" s="2197" t="s">
        <v>3303</v>
      </c>
      <c r="E1594" s="2218" t="s">
        <v>3146</v>
      </c>
      <c r="F1594" s="2219" t="s">
        <v>3306</v>
      </c>
      <c r="H1594" s="2220">
        <v>0.13800000000000001</v>
      </c>
      <c r="L1594" s="2217"/>
      <c r="M1594" s="2221"/>
      <c r="T1594" s="2222"/>
      <c r="AT1594" s="2218" t="s">
        <v>3303</v>
      </c>
      <c r="AU1594" s="2218" t="s">
        <v>134</v>
      </c>
      <c r="AV1594" s="2216" t="s">
        <v>856</v>
      </c>
      <c r="AW1594" s="2216" t="s">
        <v>3171</v>
      </c>
      <c r="AX1594" s="2216" t="s">
        <v>133</v>
      </c>
      <c r="AY1594" s="2218" t="s">
        <v>3285</v>
      </c>
    </row>
    <row r="1595" spans="2:65" s="2070" customFormat="1" ht="24.2" customHeight="1">
      <c r="B1595" s="2164"/>
      <c r="C1595" s="4608" t="s">
        <v>11497</v>
      </c>
      <c r="D1595" s="4608" t="s">
        <v>3286</v>
      </c>
      <c r="E1595" s="4609" t="s">
        <v>11498</v>
      </c>
      <c r="F1595" s="4610" t="s">
        <v>11499</v>
      </c>
      <c r="G1595" s="4611" t="s">
        <v>149</v>
      </c>
      <c r="H1595" s="4612">
        <v>321.89999999999998</v>
      </c>
      <c r="I1595" s="4613"/>
      <c r="J1595" s="4613">
        <f>ROUND(I1595*H1595,2)</f>
        <v>0</v>
      </c>
      <c r="K1595" s="4610" t="s">
        <v>142</v>
      </c>
      <c r="L1595" s="2071"/>
      <c r="M1595" s="2190" t="s">
        <v>3146</v>
      </c>
      <c r="N1595" s="2163" t="s">
        <v>3181</v>
      </c>
      <c r="O1595" s="2191">
        <v>7.4999999999999997E-2</v>
      </c>
      <c r="P1595" s="2191">
        <f>O1595*H1595</f>
        <v>24.142499999999998</v>
      </c>
      <c r="Q1595" s="2191">
        <v>5.0000000000000002E-5</v>
      </c>
      <c r="R1595" s="2191">
        <f>Q1595*H1595</f>
        <v>1.6094999999999998E-2</v>
      </c>
      <c r="S1595" s="2191">
        <v>0</v>
      </c>
      <c r="T1595" s="2192">
        <f>S1595*H1595</f>
        <v>0</v>
      </c>
      <c r="AR1595" s="2193" t="s">
        <v>2894</v>
      </c>
      <c r="AT1595" s="2193" t="s">
        <v>3286</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11500</v>
      </c>
    </row>
    <row r="1596" spans="2:65" s="2195" customFormat="1">
      <c r="B1596" s="2196"/>
      <c r="D1596" s="2197" t="s">
        <v>3303</v>
      </c>
      <c r="E1596" s="2198" t="s">
        <v>3146</v>
      </c>
      <c r="F1596" s="2199" t="s">
        <v>11072</v>
      </c>
      <c r="H1596" s="2198" t="s">
        <v>3146</v>
      </c>
      <c r="L1596" s="2196"/>
      <c r="M1596" s="2200"/>
      <c r="T1596" s="2201"/>
      <c r="AT1596" s="2198" t="s">
        <v>3303</v>
      </c>
      <c r="AU1596" s="2198" t="s">
        <v>134</v>
      </c>
      <c r="AV1596" s="2195" t="s">
        <v>133</v>
      </c>
      <c r="AW1596" s="2195" t="s">
        <v>3171</v>
      </c>
      <c r="AX1596" s="2195" t="s">
        <v>3213</v>
      </c>
      <c r="AY1596" s="2198" t="s">
        <v>3285</v>
      </c>
    </row>
    <row r="1597" spans="2:65" s="2209" customFormat="1">
      <c r="B1597" s="2210"/>
      <c r="D1597" s="2197" t="s">
        <v>3303</v>
      </c>
      <c r="E1597" s="2211" t="s">
        <v>3146</v>
      </c>
      <c r="F1597" s="2212" t="s">
        <v>11501</v>
      </c>
      <c r="H1597" s="2213">
        <v>321.89999999999998</v>
      </c>
      <c r="L1597" s="2210"/>
      <c r="M1597" s="2214"/>
      <c r="T1597" s="2215"/>
      <c r="AT1597" s="2211" t="s">
        <v>3303</v>
      </c>
      <c r="AU1597" s="2211" t="s">
        <v>134</v>
      </c>
      <c r="AV1597" s="2209" t="s">
        <v>134</v>
      </c>
      <c r="AW1597" s="2209" t="s">
        <v>3171</v>
      </c>
      <c r="AX1597" s="2209" t="s">
        <v>3213</v>
      </c>
      <c r="AY1597" s="2211" t="s">
        <v>3285</v>
      </c>
    </row>
    <row r="1598" spans="2:65" s="2216" customFormat="1">
      <c r="B1598" s="2217"/>
      <c r="D1598" s="2197" t="s">
        <v>3303</v>
      </c>
      <c r="E1598" s="2218" t="s">
        <v>3146</v>
      </c>
      <c r="F1598" s="2219" t="s">
        <v>3306</v>
      </c>
      <c r="H1598" s="2220">
        <v>321.89999999999998</v>
      </c>
      <c r="L1598" s="2217"/>
      <c r="M1598" s="2221"/>
      <c r="T1598" s="2222"/>
      <c r="AT1598" s="2218" t="s">
        <v>3303</v>
      </c>
      <c r="AU1598" s="2218" t="s">
        <v>134</v>
      </c>
      <c r="AV1598" s="2216" t="s">
        <v>856</v>
      </c>
      <c r="AW1598" s="2216" t="s">
        <v>3171</v>
      </c>
      <c r="AX1598" s="2216" t="s">
        <v>133</v>
      </c>
      <c r="AY1598" s="2218" t="s">
        <v>3285</v>
      </c>
    </row>
    <row r="1599" spans="2:65" s="2070" customFormat="1" ht="21.75" customHeight="1">
      <c r="B1599" s="2164"/>
      <c r="C1599" s="4614" t="s">
        <v>11502</v>
      </c>
      <c r="D1599" s="4614" t="s">
        <v>135</v>
      </c>
      <c r="E1599" s="4615" t="s">
        <v>11503</v>
      </c>
      <c r="F1599" s="4616" t="s">
        <v>11504</v>
      </c>
      <c r="G1599" s="4617" t="s">
        <v>302</v>
      </c>
      <c r="H1599" s="4618">
        <v>0.35399999999999998</v>
      </c>
      <c r="I1599" s="4619"/>
      <c r="J1599" s="4619">
        <f>ROUND(I1599*H1599,2)</f>
        <v>0</v>
      </c>
      <c r="K1599" s="4616" t="s">
        <v>142</v>
      </c>
      <c r="L1599" s="2223"/>
      <c r="M1599" s="2224" t="s">
        <v>3146</v>
      </c>
      <c r="N1599" s="2225" t="s">
        <v>3181</v>
      </c>
      <c r="O1599" s="2191">
        <v>0</v>
      </c>
      <c r="P1599" s="2191">
        <f>O1599*H1599</f>
        <v>0</v>
      </c>
      <c r="Q1599" s="2191">
        <v>1</v>
      </c>
      <c r="R1599" s="2191">
        <f>Q1599*H1599</f>
        <v>0.35399999999999998</v>
      </c>
      <c r="S1599" s="2191">
        <v>0</v>
      </c>
      <c r="T1599" s="2192">
        <f>S1599*H1599</f>
        <v>0</v>
      </c>
      <c r="AR1599" s="2193" t="s">
        <v>3389</v>
      </c>
      <c r="AT1599" s="2193" t="s">
        <v>135</v>
      </c>
      <c r="AU1599" s="2193" t="s">
        <v>134</v>
      </c>
      <c r="AY1599" s="2056" t="s">
        <v>3285</v>
      </c>
      <c r="BE1599" s="2194">
        <f>IF(N1599="základní",J1599,0)</f>
        <v>0</v>
      </c>
      <c r="BF1599" s="2194">
        <f>IF(N1599="snížená",J1599,0)</f>
        <v>0</v>
      </c>
      <c r="BG1599" s="2194">
        <f>IF(N1599="zákl. přenesená",J1599,0)</f>
        <v>0</v>
      </c>
      <c r="BH1599" s="2194">
        <f>IF(N1599="sníž. přenesená",J1599,0)</f>
        <v>0</v>
      </c>
      <c r="BI1599" s="2194">
        <f>IF(N1599="nulová",J1599,0)</f>
        <v>0</v>
      </c>
      <c r="BJ1599" s="2056" t="s">
        <v>134</v>
      </c>
      <c r="BK1599" s="2194">
        <f>ROUND(I1599*H1599,2)</f>
        <v>0</v>
      </c>
      <c r="BL1599" s="2056" t="s">
        <v>2894</v>
      </c>
      <c r="BM1599" s="2193" t="s">
        <v>11505</v>
      </c>
    </row>
    <row r="1600" spans="2:65" s="2195" customFormat="1">
      <c r="B1600" s="2196"/>
      <c r="D1600" s="2197" t="s">
        <v>3303</v>
      </c>
      <c r="E1600" s="2198" t="s">
        <v>3146</v>
      </c>
      <c r="F1600" s="2199" t="s">
        <v>11072</v>
      </c>
      <c r="H1600" s="2198" t="s">
        <v>3146</v>
      </c>
      <c r="L1600" s="2196"/>
      <c r="M1600" s="2200"/>
      <c r="T1600" s="2201"/>
      <c r="AT1600" s="2198" t="s">
        <v>3303</v>
      </c>
      <c r="AU1600" s="2198" t="s">
        <v>134</v>
      </c>
      <c r="AV1600" s="2195" t="s">
        <v>133</v>
      </c>
      <c r="AW1600" s="2195" t="s">
        <v>3171</v>
      </c>
      <c r="AX1600" s="2195" t="s">
        <v>3213</v>
      </c>
      <c r="AY1600" s="2198" t="s">
        <v>3285</v>
      </c>
    </row>
    <row r="1601" spans="2:65" s="2209" customFormat="1">
      <c r="B1601" s="2210"/>
      <c r="D1601" s="2197" t="s">
        <v>3303</v>
      </c>
      <c r="E1601" s="2211" t="s">
        <v>3146</v>
      </c>
      <c r="F1601" s="2212" t="s">
        <v>11506</v>
      </c>
      <c r="H1601" s="2213">
        <v>0.35399999999999998</v>
      </c>
      <c r="L1601" s="2210"/>
      <c r="M1601" s="2214"/>
      <c r="T1601" s="2215"/>
      <c r="AT1601" s="2211" t="s">
        <v>3303</v>
      </c>
      <c r="AU1601" s="2211" t="s">
        <v>134</v>
      </c>
      <c r="AV1601" s="2209" t="s">
        <v>134</v>
      </c>
      <c r="AW1601" s="2209" t="s">
        <v>3171</v>
      </c>
      <c r="AX1601" s="2209" t="s">
        <v>3213</v>
      </c>
      <c r="AY1601" s="2211" t="s">
        <v>3285</v>
      </c>
    </row>
    <row r="1602" spans="2:65" s="2216" customFormat="1">
      <c r="B1602" s="2217"/>
      <c r="D1602" s="2197" t="s">
        <v>3303</v>
      </c>
      <c r="E1602" s="2218" t="s">
        <v>3146</v>
      </c>
      <c r="F1602" s="2219" t="s">
        <v>3306</v>
      </c>
      <c r="H1602" s="2220">
        <v>0.35399999999999998</v>
      </c>
      <c r="L1602" s="2217"/>
      <c r="M1602" s="2221"/>
      <c r="T1602" s="2222"/>
      <c r="AT1602" s="2218" t="s">
        <v>3303</v>
      </c>
      <c r="AU1602" s="2218" t="s">
        <v>134</v>
      </c>
      <c r="AV1602" s="2216" t="s">
        <v>856</v>
      </c>
      <c r="AW1602" s="2216" t="s">
        <v>3171</v>
      </c>
      <c r="AX1602" s="2216" t="s">
        <v>133</v>
      </c>
      <c r="AY1602" s="2218" t="s">
        <v>3285</v>
      </c>
    </row>
    <row r="1603" spans="2:65" s="2070" customFormat="1" ht="24.2" customHeight="1">
      <c r="B1603" s="2164"/>
      <c r="C1603" s="4608" t="s">
        <v>11507</v>
      </c>
      <c r="D1603" s="4608" t="s">
        <v>3286</v>
      </c>
      <c r="E1603" s="4609" t="s">
        <v>5690</v>
      </c>
      <c r="F1603" s="4610" t="s">
        <v>5691</v>
      </c>
      <c r="G1603" s="4611" t="s">
        <v>302</v>
      </c>
      <c r="H1603" s="4612">
        <v>29.103999999999999</v>
      </c>
      <c r="I1603" s="4613"/>
      <c r="J1603" s="4613">
        <f>ROUND(I1603*H1603,2)</f>
        <v>0</v>
      </c>
      <c r="K1603" s="4610" t="s">
        <v>142</v>
      </c>
      <c r="L1603" s="2071"/>
      <c r="M1603" s="2190" t="s">
        <v>3146</v>
      </c>
      <c r="N1603" s="2163" t="s">
        <v>3181</v>
      </c>
      <c r="O1603" s="2191">
        <v>3.016</v>
      </c>
      <c r="P1603" s="2191">
        <f>O1603*H1603</f>
        <v>87.777664000000001</v>
      </c>
      <c r="Q1603" s="2191">
        <v>0</v>
      </c>
      <c r="R1603" s="2191">
        <f>Q1603*H1603</f>
        <v>0</v>
      </c>
      <c r="S1603" s="2191">
        <v>0</v>
      </c>
      <c r="T1603" s="2192">
        <f>S1603*H1603</f>
        <v>0</v>
      </c>
      <c r="AR1603" s="2193" t="s">
        <v>2894</v>
      </c>
      <c r="AT1603" s="2193" t="s">
        <v>3286</v>
      </c>
      <c r="AU1603" s="2193" t="s">
        <v>134</v>
      </c>
      <c r="AY1603" s="2056" t="s">
        <v>3285</v>
      </c>
      <c r="BE1603" s="2194">
        <f>IF(N1603="základní",J1603,0)</f>
        <v>0</v>
      </c>
      <c r="BF1603" s="2194">
        <f>IF(N1603="snížená",J1603,0)</f>
        <v>0</v>
      </c>
      <c r="BG1603" s="2194">
        <f>IF(N1603="zákl. přenesená",J1603,0)</f>
        <v>0</v>
      </c>
      <c r="BH1603" s="2194">
        <f>IF(N1603="sníž. přenesená",J1603,0)</f>
        <v>0</v>
      </c>
      <c r="BI1603" s="2194">
        <f>IF(N1603="nulová",J1603,0)</f>
        <v>0</v>
      </c>
      <c r="BJ1603" s="2056" t="s">
        <v>134</v>
      </c>
      <c r="BK1603" s="2194">
        <f>ROUND(I1603*H1603,2)</f>
        <v>0</v>
      </c>
      <c r="BL1603" s="2056" t="s">
        <v>2894</v>
      </c>
      <c r="BM1603" s="2193" t="s">
        <v>5692</v>
      </c>
    </row>
    <row r="1604" spans="2:65" s="2070" customFormat="1" ht="24.2" customHeight="1">
      <c r="B1604" s="2164"/>
      <c r="C1604" s="4608" t="s">
        <v>11508</v>
      </c>
      <c r="D1604" s="4608" t="s">
        <v>3286</v>
      </c>
      <c r="E1604" s="4609" t="s">
        <v>5693</v>
      </c>
      <c r="F1604" s="4610" t="s">
        <v>5694</v>
      </c>
      <c r="G1604" s="4611" t="s">
        <v>302</v>
      </c>
      <c r="H1604" s="4612">
        <v>29.103999999999999</v>
      </c>
      <c r="I1604" s="4613"/>
      <c r="J1604" s="4613">
        <f>ROUND(I1604*H1604,2)</f>
        <v>0</v>
      </c>
      <c r="K1604" s="4610" t="s">
        <v>142</v>
      </c>
      <c r="L1604" s="2071"/>
      <c r="M1604" s="2190" t="s">
        <v>3146</v>
      </c>
      <c r="N1604" s="2163" t="s">
        <v>3181</v>
      </c>
      <c r="O1604" s="2191">
        <v>1.39</v>
      </c>
      <c r="P1604" s="2191">
        <f>O1604*H1604</f>
        <v>40.454559999999994</v>
      </c>
      <c r="Q1604" s="2191">
        <v>0</v>
      </c>
      <c r="R1604" s="2191">
        <f>Q1604*H1604</f>
        <v>0</v>
      </c>
      <c r="S1604" s="2191">
        <v>0</v>
      </c>
      <c r="T1604" s="2192">
        <f>S1604*H1604</f>
        <v>0</v>
      </c>
      <c r="AR1604" s="2193" t="s">
        <v>2894</v>
      </c>
      <c r="AT1604" s="2193" t="s">
        <v>3286</v>
      </c>
      <c r="AU1604" s="2193" t="s">
        <v>134</v>
      </c>
      <c r="AY1604" s="2056" t="s">
        <v>3285</v>
      </c>
      <c r="BE1604" s="2194">
        <f>IF(N1604="základní",J1604,0)</f>
        <v>0</v>
      </c>
      <c r="BF1604" s="2194">
        <f>IF(N1604="snížená",J1604,0)</f>
        <v>0</v>
      </c>
      <c r="BG1604" s="2194">
        <f>IF(N1604="zákl. přenesená",J1604,0)</f>
        <v>0</v>
      </c>
      <c r="BH1604" s="2194">
        <f>IF(N1604="sníž. přenesená",J1604,0)</f>
        <v>0</v>
      </c>
      <c r="BI1604" s="2194">
        <f>IF(N1604="nulová",J1604,0)</f>
        <v>0</v>
      </c>
      <c r="BJ1604" s="2056" t="s">
        <v>134</v>
      </c>
      <c r="BK1604" s="2194">
        <f>ROUND(I1604*H1604,2)</f>
        <v>0</v>
      </c>
      <c r="BL1604" s="2056" t="s">
        <v>2894</v>
      </c>
      <c r="BM1604" s="2193" t="s">
        <v>5695</v>
      </c>
    </row>
    <row r="1605" spans="2:65" s="2178" customFormat="1" ht="22.9" customHeight="1">
      <c r="B1605" s="2179"/>
      <c r="D1605" s="2180" t="s">
        <v>3212</v>
      </c>
      <c r="E1605" s="2188" t="s">
        <v>5696</v>
      </c>
      <c r="F1605" s="2188" t="s">
        <v>5697</v>
      </c>
      <c r="J1605" s="2189">
        <f>BK1605</f>
        <v>0</v>
      </c>
      <c r="L1605" s="2179"/>
      <c r="M1605" s="2183"/>
      <c r="P1605" s="2184">
        <f>SUM(P1606:P1617)</f>
        <v>39.2151</v>
      </c>
      <c r="R1605" s="2184">
        <f>SUM(R1606:R1617)</f>
        <v>0.20864000000000002</v>
      </c>
      <c r="T1605" s="2185">
        <f>SUM(T1606:T1617)</f>
        <v>0</v>
      </c>
      <c r="AR1605" s="2180" t="s">
        <v>134</v>
      </c>
      <c r="AT1605" s="2186" t="s">
        <v>3212</v>
      </c>
      <c r="AU1605" s="2186" t="s">
        <v>133</v>
      </c>
      <c r="AY1605" s="2180" t="s">
        <v>3285</v>
      </c>
      <c r="BK1605" s="2187">
        <f>SUM(BK1606:BK1617)</f>
        <v>0</v>
      </c>
    </row>
    <row r="1606" spans="2:65" s="2070" customFormat="1" ht="16.5" customHeight="1">
      <c r="B1606" s="2164"/>
      <c r="C1606" s="4608" t="s">
        <v>11509</v>
      </c>
      <c r="D1606" s="4608" t="s">
        <v>3286</v>
      </c>
      <c r="E1606" s="4609" t="s">
        <v>5698</v>
      </c>
      <c r="F1606" s="4610" t="s">
        <v>5699</v>
      </c>
      <c r="G1606" s="4611" t="s">
        <v>141</v>
      </c>
      <c r="H1606" s="4612">
        <v>320</v>
      </c>
      <c r="I1606" s="4613"/>
      <c r="J1606" s="4613">
        <f>ROUND(I1606*H1606,2)</f>
        <v>0</v>
      </c>
      <c r="K1606" s="4610" t="s">
        <v>142</v>
      </c>
      <c r="L1606" s="2071"/>
      <c r="M1606" s="2190" t="s">
        <v>3146</v>
      </c>
      <c r="N1606" s="2163" t="s">
        <v>3181</v>
      </c>
      <c r="O1606" s="2191">
        <v>0.12</v>
      </c>
      <c r="P1606" s="2191">
        <f>O1606*H1606</f>
        <v>38.4</v>
      </c>
      <c r="Q1606" s="2191">
        <v>6.0000000000000002E-5</v>
      </c>
      <c r="R1606" s="2191">
        <f>Q1606*H1606</f>
        <v>1.9200000000000002E-2</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5700</v>
      </c>
    </row>
    <row r="1607" spans="2:65" s="2195" customFormat="1">
      <c r="B1607" s="2196"/>
      <c r="D1607" s="2197" t="s">
        <v>3303</v>
      </c>
      <c r="E1607" s="2198" t="s">
        <v>3146</v>
      </c>
      <c r="F1607" s="2199" t="s">
        <v>5701</v>
      </c>
      <c r="H1607" s="2198" t="s">
        <v>3146</v>
      </c>
      <c r="L1607" s="2196"/>
      <c r="M1607" s="2200"/>
      <c r="T1607" s="2201"/>
      <c r="AT1607" s="2198" t="s">
        <v>3303</v>
      </c>
      <c r="AU1607" s="2198" t="s">
        <v>134</v>
      </c>
      <c r="AV1607" s="2195" t="s">
        <v>133</v>
      </c>
      <c r="AW1607" s="2195" t="s">
        <v>3171</v>
      </c>
      <c r="AX1607" s="2195" t="s">
        <v>3213</v>
      </c>
      <c r="AY1607" s="2198" t="s">
        <v>3285</v>
      </c>
    </row>
    <row r="1608" spans="2:65" s="2209" customFormat="1">
      <c r="B1608" s="2210"/>
      <c r="D1608" s="2197" t="s">
        <v>3303</v>
      </c>
      <c r="E1608" s="2211" t="s">
        <v>3146</v>
      </c>
      <c r="F1608" s="2212" t="s">
        <v>5702</v>
      </c>
      <c r="H1608" s="2213">
        <v>160</v>
      </c>
      <c r="L1608" s="2210"/>
      <c r="M1608" s="2214"/>
      <c r="T1608" s="2215"/>
      <c r="AT1608" s="2211" t="s">
        <v>3303</v>
      </c>
      <c r="AU1608" s="2211" t="s">
        <v>134</v>
      </c>
      <c r="AV1608" s="2209" t="s">
        <v>134</v>
      </c>
      <c r="AW1608" s="2209" t="s">
        <v>3171</v>
      </c>
      <c r="AX1608" s="2209" t="s">
        <v>3213</v>
      </c>
      <c r="AY1608" s="2211" t="s">
        <v>3285</v>
      </c>
    </row>
    <row r="1609" spans="2:65" s="2195" customFormat="1">
      <c r="B1609" s="2196"/>
      <c r="D1609" s="2197" t="s">
        <v>3303</v>
      </c>
      <c r="E1609" s="2198" t="s">
        <v>3146</v>
      </c>
      <c r="F1609" s="2199" t="s">
        <v>5703</v>
      </c>
      <c r="H1609" s="2198" t="s">
        <v>3146</v>
      </c>
      <c r="L1609" s="2196"/>
      <c r="M1609" s="2200"/>
      <c r="T1609" s="2201"/>
      <c r="AT1609" s="2198" t="s">
        <v>3303</v>
      </c>
      <c r="AU1609" s="2198" t="s">
        <v>134</v>
      </c>
      <c r="AV1609" s="2195" t="s">
        <v>133</v>
      </c>
      <c r="AW1609" s="2195" t="s">
        <v>3171</v>
      </c>
      <c r="AX1609" s="2195" t="s">
        <v>3213</v>
      </c>
      <c r="AY1609" s="2198" t="s">
        <v>3285</v>
      </c>
    </row>
    <row r="1610" spans="2:65" s="2209" customFormat="1">
      <c r="B1610" s="2210"/>
      <c r="D1610" s="2197" t="s">
        <v>3303</v>
      </c>
      <c r="E1610" s="2211" t="s">
        <v>3146</v>
      </c>
      <c r="F1610" s="2212" t="s">
        <v>5702</v>
      </c>
      <c r="H1610" s="2213">
        <v>160</v>
      </c>
      <c r="L1610" s="2210"/>
      <c r="M1610" s="2214"/>
      <c r="T1610" s="2215"/>
      <c r="AT1610" s="2211" t="s">
        <v>3303</v>
      </c>
      <c r="AU1610" s="2211" t="s">
        <v>134</v>
      </c>
      <c r="AV1610" s="2209" t="s">
        <v>134</v>
      </c>
      <c r="AW1610" s="2209" t="s">
        <v>3171</v>
      </c>
      <c r="AX1610" s="2209" t="s">
        <v>3213</v>
      </c>
      <c r="AY1610" s="2211" t="s">
        <v>3285</v>
      </c>
    </row>
    <row r="1611" spans="2:65" s="2216" customFormat="1">
      <c r="B1611" s="2217"/>
      <c r="D1611" s="2197" t="s">
        <v>3303</v>
      </c>
      <c r="E1611" s="2218" t="s">
        <v>3146</v>
      </c>
      <c r="F1611" s="2219" t="s">
        <v>3306</v>
      </c>
      <c r="H1611" s="2220">
        <v>320</v>
      </c>
      <c r="L1611" s="2217"/>
      <c r="M1611" s="2221"/>
      <c r="T1611" s="2222"/>
      <c r="AT1611" s="2218" t="s">
        <v>3303</v>
      </c>
      <c r="AU1611" s="2218" t="s">
        <v>134</v>
      </c>
      <c r="AV1611" s="2216" t="s">
        <v>856</v>
      </c>
      <c r="AW1611" s="2216" t="s">
        <v>3171</v>
      </c>
      <c r="AX1611" s="2216" t="s">
        <v>133</v>
      </c>
      <c r="AY1611" s="2218" t="s">
        <v>3285</v>
      </c>
    </row>
    <row r="1612" spans="2:65" s="2070" customFormat="1" ht="21.75" customHeight="1">
      <c r="B1612" s="2164"/>
      <c r="C1612" s="4614" t="s">
        <v>11510</v>
      </c>
      <c r="D1612" s="4614" t="s">
        <v>135</v>
      </c>
      <c r="E1612" s="4615" t="s">
        <v>5704</v>
      </c>
      <c r="F1612" s="4616" t="s">
        <v>5705</v>
      </c>
      <c r="G1612" s="4617" t="s">
        <v>141</v>
      </c>
      <c r="H1612" s="4618">
        <v>345.6</v>
      </c>
      <c r="I1612" s="4619"/>
      <c r="J1612" s="4619">
        <f>ROUND(I1612*H1612,2)</f>
        <v>0</v>
      </c>
      <c r="K1612" s="4616" t="s">
        <v>142</v>
      </c>
      <c r="L1612" s="2223"/>
      <c r="M1612" s="2224" t="s">
        <v>3146</v>
      </c>
      <c r="N1612" s="2225" t="s">
        <v>3181</v>
      </c>
      <c r="O1612" s="2191">
        <v>0</v>
      </c>
      <c r="P1612" s="2191">
        <f>O1612*H1612</f>
        <v>0</v>
      </c>
      <c r="Q1612" s="2191">
        <v>4.0000000000000002E-4</v>
      </c>
      <c r="R1612" s="2191">
        <f>Q1612*H1612</f>
        <v>0.13824000000000003</v>
      </c>
      <c r="S1612" s="2191">
        <v>0</v>
      </c>
      <c r="T1612" s="2192">
        <f>S1612*H1612</f>
        <v>0</v>
      </c>
      <c r="AR1612" s="2193" t="s">
        <v>3389</v>
      </c>
      <c r="AT1612" s="2193" t="s">
        <v>135</v>
      </c>
      <c r="AU1612" s="2193" t="s">
        <v>134</v>
      </c>
      <c r="AY1612" s="2056" t="s">
        <v>3285</v>
      </c>
      <c r="BE1612" s="2194">
        <f>IF(N1612="základní",J1612,0)</f>
        <v>0</v>
      </c>
      <c r="BF1612" s="2194">
        <f>IF(N1612="snížená",J1612,0)</f>
        <v>0</v>
      </c>
      <c r="BG1612" s="2194">
        <f>IF(N1612="zákl. přenesená",J1612,0)</f>
        <v>0</v>
      </c>
      <c r="BH1612" s="2194">
        <f>IF(N1612="sníž. přenesená",J1612,0)</f>
        <v>0</v>
      </c>
      <c r="BI1612" s="2194">
        <f>IF(N1612="nulová",J1612,0)</f>
        <v>0</v>
      </c>
      <c r="BJ1612" s="2056" t="s">
        <v>134</v>
      </c>
      <c r="BK1612" s="2194">
        <f>ROUND(I1612*H1612,2)</f>
        <v>0</v>
      </c>
      <c r="BL1612" s="2056" t="s">
        <v>2894</v>
      </c>
      <c r="BM1612" s="2193" t="s">
        <v>5706</v>
      </c>
    </row>
    <row r="1613" spans="2:65" s="2209" customFormat="1">
      <c r="B1613" s="2210"/>
      <c r="D1613" s="2197" t="s">
        <v>3303</v>
      </c>
      <c r="F1613" s="2212" t="s">
        <v>5707</v>
      </c>
      <c r="H1613" s="2213">
        <v>345.6</v>
      </c>
      <c r="L1613" s="2210"/>
      <c r="M1613" s="2214"/>
      <c r="T1613" s="2215"/>
      <c r="AT1613" s="2211" t="s">
        <v>3303</v>
      </c>
      <c r="AU1613" s="2211" t="s">
        <v>134</v>
      </c>
      <c r="AV1613" s="2209" t="s">
        <v>134</v>
      </c>
      <c r="AW1613" s="2209" t="s">
        <v>3148</v>
      </c>
      <c r="AX1613" s="2209" t="s">
        <v>133</v>
      </c>
      <c r="AY1613" s="2211" t="s">
        <v>3285</v>
      </c>
    </row>
    <row r="1614" spans="2:65" s="2070" customFormat="1" ht="16.5" customHeight="1">
      <c r="B1614" s="2164"/>
      <c r="C1614" s="4614" t="s">
        <v>11511</v>
      </c>
      <c r="D1614" s="4614" t="s">
        <v>135</v>
      </c>
      <c r="E1614" s="4615" t="s">
        <v>5708</v>
      </c>
      <c r="F1614" s="4616" t="s">
        <v>5709</v>
      </c>
      <c r="G1614" s="4617" t="s">
        <v>141</v>
      </c>
      <c r="H1614" s="4618">
        <v>160</v>
      </c>
      <c r="I1614" s="4619"/>
      <c r="J1614" s="4619">
        <f>ROUND(I1614*H1614,2)</f>
        <v>0</v>
      </c>
      <c r="K1614" s="4616" t="s">
        <v>142</v>
      </c>
      <c r="L1614" s="2223"/>
      <c r="M1614" s="2224" t="s">
        <v>3146</v>
      </c>
      <c r="N1614" s="2225" t="s">
        <v>3181</v>
      </c>
      <c r="O1614" s="2191">
        <v>0</v>
      </c>
      <c r="P1614" s="2191">
        <f>O1614*H1614</f>
        <v>0</v>
      </c>
      <c r="Q1614" s="2191">
        <v>3.2000000000000003E-4</v>
      </c>
      <c r="R1614" s="2191">
        <f>Q1614*H1614</f>
        <v>5.1200000000000002E-2</v>
      </c>
      <c r="S1614" s="2191">
        <v>0</v>
      </c>
      <c r="T1614" s="2192">
        <f>S1614*H1614</f>
        <v>0</v>
      </c>
      <c r="AR1614" s="2193" t="s">
        <v>3389</v>
      </c>
      <c r="AT1614" s="2193" t="s">
        <v>135</v>
      </c>
      <c r="AU1614" s="2193" t="s">
        <v>134</v>
      </c>
      <c r="AY1614" s="2056" t="s">
        <v>3285</v>
      </c>
      <c r="BE1614" s="2194">
        <f>IF(N1614="základní",J1614,0)</f>
        <v>0</v>
      </c>
      <c r="BF1614" s="2194">
        <f>IF(N1614="snížená",J1614,0)</f>
        <v>0</v>
      </c>
      <c r="BG1614" s="2194">
        <f>IF(N1614="zákl. přenesená",J1614,0)</f>
        <v>0</v>
      </c>
      <c r="BH1614" s="2194">
        <f>IF(N1614="sníž. přenesená",J1614,0)</f>
        <v>0</v>
      </c>
      <c r="BI1614" s="2194">
        <f>IF(N1614="nulová",J1614,0)</f>
        <v>0</v>
      </c>
      <c r="BJ1614" s="2056" t="s">
        <v>134</v>
      </c>
      <c r="BK1614" s="2194">
        <f>ROUND(I1614*H1614,2)</f>
        <v>0</v>
      </c>
      <c r="BL1614" s="2056" t="s">
        <v>2894</v>
      </c>
      <c r="BM1614" s="2193" t="s">
        <v>5710</v>
      </c>
    </row>
    <row r="1615" spans="2:65" s="2209" customFormat="1">
      <c r="B1615" s="2210"/>
      <c r="D1615" s="2197" t="s">
        <v>3303</v>
      </c>
      <c r="E1615" s="2211" t="s">
        <v>3146</v>
      </c>
      <c r="F1615" s="2212" t="s">
        <v>5702</v>
      </c>
      <c r="H1615" s="2213">
        <v>160</v>
      </c>
      <c r="L1615" s="2210"/>
      <c r="M1615" s="2214"/>
      <c r="T1615" s="2215"/>
      <c r="AT1615" s="2211" t="s">
        <v>3303</v>
      </c>
      <c r="AU1615" s="2211" t="s">
        <v>134</v>
      </c>
      <c r="AV1615" s="2209" t="s">
        <v>134</v>
      </c>
      <c r="AW1615" s="2209" t="s">
        <v>3171</v>
      </c>
      <c r="AX1615" s="2209" t="s">
        <v>133</v>
      </c>
      <c r="AY1615" s="2211" t="s">
        <v>3285</v>
      </c>
    </row>
    <row r="1616" spans="2:65" s="2070" customFormat="1" ht="24.2" customHeight="1">
      <c r="B1616" s="2164"/>
      <c r="C1616" s="4608" t="s">
        <v>11512</v>
      </c>
      <c r="D1616" s="4608" t="s">
        <v>3286</v>
      </c>
      <c r="E1616" s="4609" t="s">
        <v>11513</v>
      </c>
      <c r="F1616" s="4610" t="s">
        <v>11514</v>
      </c>
      <c r="G1616" s="4611" t="s">
        <v>302</v>
      </c>
      <c r="H1616" s="4612">
        <v>0.20899999999999999</v>
      </c>
      <c r="I1616" s="4613"/>
      <c r="J1616" s="4613">
        <f>ROUND(I1616*H1616,2)</f>
        <v>0</v>
      </c>
      <c r="K1616" s="4610" t="s">
        <v>142</v>
      </c>
      <c r="L1616" s="2071"/>
      <c r="M1616" s="2190" t="s">
        <v>3146</v>
      </c>
      <c r="N1616" s="2163" t="s">
        <v>3181</v>
      </c>
      <c r="O1616" s="2191">
        <v>2.44</v>
      </c>
      <c r="P1616" s="2191">
        <f>O1616*H1616</f>
        <v>0.50995999999999997</v>
      </c>
      <c r="Q1616" s="2191">
        <v>0</v>
      </c>
      <c r="R1616" s="2191">
        <f>Q1616*H1616</f>
        <v>0</v>
      </c>
      <c r="S1616" s="2191">
        <v>0</v>
      </c>
      <c r="T1616" s="2192">
        <f>S1616*H1616</f>
        <v>0</v>
      </c>
      <c r="AR1616" s="2193" t="s">
        <v>2894</v>
      </c>
      <c r="AT1616" s="2193" t="s">
        <v>3286</v>
      </c>
      <c r="AU1616" s="2193" t="s">
        <v>134</v>
      </c>
      <c r="AY1616" s="2056" t="s">
        <v>3285</v>
      </c>
      <c r="BE1616" s="2194">
        <f>IF(N1616="základní",J1616,0)</f>
        <v>0</v>
      </c>
      <c r="BF1616" s="2194">
        <f>IF(N1616="snížená",J1616,0)</f>
        <v>0</v>
      </c>
      <c r="BG1616" s="2194">
        <f>IF(N1616="zákl. přenesená",J1616,0)</f>
        <v>0</v>
      </c>
      <c r="BH1616" s="2194">
        <f>IF(N1616="sníž. přenesená",J1616,0)</f>
        <v>0</v>
      </c>
      <c r="BI1616" s="2194">
        <f>IF(N1616="nulová",J1616,0)</f>
        <v>0</v>
      </c>
      <c r="BJ1616" s="2056" t="s">
        <v>134</v>
      </c>
      <c r="BK1616" s="2194">
        <f>ROUND(I1616*H1616,2)</f>
        <v>0</v>
      </c>
      <c r="BL1616" s="2056" t="s">
        <v>2894</v>
      </c>
      <c r="BM1616" s="2193" t="s">
        <v>11515</v>
      </c>
    </row>
    <row r="1617" spans="2:65" s="2070" customFormat="1" ht="24.2" customHeight="1">
      <c r="B1617" s="2164"/>
      <c r="C1617" s="4608" t="s">
        <v>11516</v>
      </c>
      <c r="D1617" s="4608" t="s">
        <v>3286</v>
      </c>
      <c r="E1617" s="4609" t="s">
        <v>11517</v>
      </c>
      <c r="F1617" s="4610" t="s">
        <v>11518</v>
      </c>
      <c r="G1617" s="4611" t="s">
        <v>302</v>
      </c>
      <c r="H1617" s="4612">
        <v>0.20899999999999999</v>
      </c>
      <c r="I1617" s="4613"/>
      <c r="J1617" s="4613">
        <f>ROUND(I1617*H1617,2)</f>
        <v>0</v>
      </c>
      <c r="K1617" s="4610" t="s">
        <v>142</v>
      </c>
      <c r="L1617" s="2071"/>
      <c r="M1617" s="2190" t="s">
        <v>3146</v>
      </c>
      <c r="N1617" s="2163" t="s">
        <v>3181</v>
      </c>
      <c r="O1617" s="2191">
        <v>1.46</v>
      </c>
      <c r="P1617" s="2191">
        <f>O1617*H1617</f>
        <v>0.30513999999999997</v>
      </c>
      <c r="Q1617" s="2191">
        <v>0</v>
      </c>
      <c r="R1617" s="2191">
        <f>Q1617*H1617</f>
        <v>0</v>
      </c>
      <c r="S1617" s="2191">
        <v>0</v>
      </c>
      <c r="T1617" s="2192">
        <f>S1617*H1617</f>
        <v>0</v>
      </c>
      <c r="AR1617" s="2193" t="s">
        <v>2894</v>
      </c>
      <c r="AT1617" s="2193" t="s">
        <v>3286</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11519</v>
      </c>
    </row>
    <row r="1618" spans="2:65" s="2178" customFormat="1" ht="22.9" customHeight="1">
      <c r="B1618" s="2179"/>
      <c r="D1618" s="2180" t="s">
        <v>3212</v>
      </c>
      <c r="E1618" s="2188" t="s">
        <v>4133</v>
      </c>
      <c r="F1618" s="2188" t="s">
        <v>4134</v>
      </c>
      <c r="J1618" s="2189">
        <f>BK1618</f>
        <v>0</v>
      </c>
      <c r="L1618" s="2179"/>
      <c r="M1618" s="2183"/>
      <c r="P1618" s="2184">
        <f>SUM(P1619:P1631)</f>
        <v>4.2047999999999996</v>
      </c>
      <c r="R1618" s="2184">
        <f>SUM(R1619:R1631)</f>
        <v>7.2036000000000003E-2</v>
      </c>
      <c r="T1618" s="2185">
        <f>SUM(T1619:T1631)</f>
        <v>0</v>
      </c>
      <c r="AR1618" s="2180" t="s">
        <v>134</v>
      </c>
      <c r="AT1618" s="2186" t="s">
        <v>3212</v>
      </c>
      <c r="AU1618" s="2186" t="s">
        <v>133</v>
      </c>
      <c r="AY1618" s="2180" t="s">
        <v>3285</v>
      </c>
      <c r="BK1618" s="2187">
        <f>SUM(BK1619:BK1631)</f>
        <v>0</v>
      </c>
    </row>
    <row r="1619" spans="2:65" s="2070" customFormat="1" ht="24.2" customHeight="1">
      <c r="B1619" s="2164"/>
      <c r="C1619" s="4608" t="s">
        <v>11520</v>
      </c>
      <c r="D1619" s="4608" t="s">
        <v>3286</v>
      </c>
      <c r="E1619" s="4609" t="s">
        <v>5711</v>
      </c>
      <c r="F1619" s="4610" t="s">
        <v>5712</v>
      </c>
      <c r="G1619" s="4611" t="s">
        <v>611</v>
      </c>
      <c r="H1619" s="4612">
        <v>7.2</v>
      </c>
      <c r="I1619" s="4613"/>
      <c r="J1619" s="4613">
        <f>ROUND(I1619*H1619,2)</f>
        <v>0</v>
      </c>
      <c r="K1619" s="4610" t="s">
        <v>142</v>
      </c>
      <c r="L1619" s="2071"/>
      <c r="M1619" s="2190" t="s">
        <v>3146</v>
      </c>
      <c r="N1619" s="2163" t="s">
        <v>3181</v>
      </c>
      <c r="O1619" s="2191">
        <v>0.58399999999999996</v>
      </c>
      <c r="P1619" s="2191">
        <f>O1619*H1619</f>
        <v>4.2047999999999996</v>
      </c>
      <c r="Q1619" s="2191">
        <v>6.3000000000000003E-4</v>
      </c>
      <c r="R1619" s="2191">
        <f>Q1619*H1619</f>
        <v>4.5360000000000001E-3</v>
      </c>
      <c r="S1619" s="2191">
        <v>0</v>
      </c>
      <c r="T1619" s="2192">
        <f>S1619*H1619</f>
        <v>0</v>
      </c>
      <c r="AR1619" s="2193" t="s">
        <v>2894</v>
      </c>
      <c r="AT1619" s="2193" t="s">
        <v>3286</v>
      </c>
      <c r="AU1619" s="2193" t="s">
        <v>134</v>
      </c>
      <c r="AY1619" s="2056" t="s">
        <v>3285</v>
      </c>
      <c r="BE1619" s="2194">
        <f>IF(N1619="základní",J1619,0)</f>
        <v>0</v>
      </c>
      <c r="BF1619" s="2194">
        <f>IF(N1619="snížená",J1619,0)</f>
        <v>0</v>
      </c>
      <c r="BG1619" s="2194">
        <f>IF(N1619="zákl. přenesená",J1619,0)</f>
        <v>0</v>
      </c>
      <c r="BH1619" s="2194">
        <f>IF(N1619="sníž. přenesená",J1619,0)</f>
        <v>0</v>
      </c>
      <c r="BI1619" s="2194">
        <f>IF(N1619="nulová",J1619,0)</f>
        <v>0</v>
      </c>
      <c r="BJ1619" s="2056" t="s">
        <v>134</v>
      </c>
      <c r="BK1619" s="2194">
        <f>ROUND(I1619*H1619,2)</f>
        <v>0</v>
      </c>
      <c r="BL1619" s="2056" t="s">
        <v>2894</v>
      </c>
      <c r="BM1619" s="2193" t="s">
        <v>5713</v>
      </c>
    </row>
    <row r="1620" spans="2:65" s="2195" customFormat="1">
      <c r="B1620" s="2196"/>
      <c r="D1620" s="2197" t="s">
        <v>3303</v>
      </c>
      <c r="E1620" s="2198" t="s">
        <v>3146</v>
      </c>
      <c r="F1620" s="2199" t="s">
        <v>5714</v>
      </c>
      <c r="H1620" s="2198" t="s">
        <v>3146</v>
      </c>
      <c r="L1620" s="2196"/>
      <c r="M1620" s="2200"/>
      <c r="T1620" s="2201"/>
      <c r="AT1620" s="2198" t="s">
        <v>3303</v>
      </c>
      <c r="AU1620" s="2198" t="s">
        <v>134</v>
      </c>
      <c r="AV1620" s="2195" t="s">
        <v>133</v>
      </c>
      <c r="AW1620" s="2195" t="s">
        <v>3171</v>
      </c>
      <c r="AX1620" s="2195" t="s">
        <v>3213</v>
      </c>
      <c r="AY1620" s="2198" t="s">
        <v>3285</v>
      </c>
    </row>
    <row r="1621" spans="2:65" s="2209" customFormat="1">
      <c r="B1621" s="2210"/>
      <c r="D1621" s="2197" t="s">
        <v>3303</v>
      </c>
      <c r="E1621" s="2211" t="s">
        <v>3146</v>
      </c>
      <c r="F1621" s="2212" t="s">
        <v>5715</v>
      </c>
      <c r="H1621" s="2213">
        <v>7.2</v>
      </c>
      <c r="L1621" s="2210"/>
      <c r="M1621" s="2214"/>
      <c r="T1621" s="2215"/>
      <c r="AT1621" s="2211" t="s">
        <v>3303</v>
      </c>
      <c r="AU1621" s="2211" t="s">
        <v>134</v>
      </c>
      <c r="AV1621" s="2209" t="s">
        <v>134</v>
      </c>
      <c r="AW1621" s="2209" t="s">
        <v>3171</v>
      </c>
      <c r="AX1621" s="2209" t="s">
        <v>3213</v>
      </c>
      <c r="AY1621" s="2211" t="s">
        <v>3285</v>
      </c>
    </row>
    <row r="1622" spans="2:65" s="2216" customFormat="1">
      <c r="B1622" s="2217"/>
      <c r="D1622" s="2197" t="s">
        <v>3303</v>
      </c>
      <c r="E1622" s="2218" t="s">
        <v>3146</v>
      </c>
      <c r="F1622" s="2219" t="s">
        <v>3306</v>
      </c>
      <c r="H1622" s="2220">
        <v>7.2</v>
      </c>
      <c r="L1622" s="2217"/>
      <c r="M1622" s="2221"/>
      <c r="T1622" s="2222"/>
      <c r="AT1622" s="2218" t="s">
        <v>3303</v>
      </c>
      <c r="AU1622" s="2218" t="s">
        <v>134</v>
      </c>
      <c r="AV1622" s="2216" t="s">
        <v>856</v>
      </c>
      <c r="AW1622" s="2216" t="s">
        <v>3171</v>
      </c>
      <c r="AX1622" s="2216" t="s">
        <v>133</v>
      </c>
      <c r="AY1622" s="2218" t="s">
        <v>3285</v>
      </c>
    </row>
    <row r="1623" spans="2:65" s="2070" customFormat="1" ht="24.2" customHeight="1">
      <c r="B1623" s="2164"/>
      <c r="C1623" s="4614" t="s">
        <v>11521</v>
      </c>
      <c r="D1623" s="4614" t="s">
        <v>135</v>
      </c>
      <c r="E1623" s="4615" t="s">
        <v>5716</v>
      </c>
      <c r="F1623" s="4616" t="s">
        <v>5717</v>
      </c>
      <c r="G1623" s="4617" t="s">
        <v>611</v>
      </c>
      <c r="H1623" s="4618">
        <v>9</v>
      </c>
      <c r="I1623" s="4619"/>
      <c r="J1623" s="4619">
        <f>ROUND(I1623*H1623,2)</f>
        <v>0</v>
      </c>
      <c r="K1623" s="4616" t="s">
        <v>142</v>
      </c>
      <c r="L1623" s="2223"/>
      <c r="M1623" s="2224" t="s">
        <v>3146</v>
      </c>
      <c r="N1623" s="2225" t="s">
        <v>3181</v>
      </c>
      <c r="O1623" s="2191">
        <v>0</v>
      </c>
      <c r="P1623" s="2191">
        <f>O1623*H1623</f>
        <v>0</v>
      </c>
      <c r="Q1623" s="2191">
        <v>7.4999999999999997E-3</v>
      </c>
      <c r="R1623" s="2191">
        <f>Q1623*H1623</f>
        <v>6.7500000000000004E-2</v>
      </c>
      <c r="S1623" s="2191">
        <v>0</v>
      </c>
      <c r="T1623" s="2192">
        <f>S1623*H1623</f>
        <v>0</v>
      </c>
      <c r="AR1623" s="2193" t="s">
        <v>3389</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5718</v>
      </c>
    </row>
    <row r="1624" spans="2:65" s="2195" customFormat="1">
      <c r="B1624" s="2196"/>
      <c r="D1624" s="2197" t="s">
        <v>3303</v>
      </c>
      <c r="E1624" s="2198" t="s">
        <v>3146</v>
      </c>
      <c r="F1624" s="2199" t="s">
        <v>5714</v>
      </c>
      <c r="H1624" s="2198" t="s">
        <v>3146</v>
      </c>
      <c r="L1624" s="2196"/>
      <c r="M1624" s="2200"/>
      <c r="T1624" s="2201"/>
      <c r="AT1624" s="2198" t="s">
        <v>3303</v>
      </c>
      <c r="AU1624" s="2198" t="s">
        <v>134</v>
      </c>
      <c r="AV1624" s="2195" t="s">
        <v>133</v>
      </c>
      <c r="AW1624" s="2195" t="s">
        <v>3171</v>
      </c>
      <c r="AX1624" s="2195" t="s">
        <v>3213</v>
      </c>
      <c r="AY1624" s="2198" t="s">
        <v>3285</v>
      </c>
    </row>
    <row r="1625" spans="2:65" s="2209" customFormat="1">
      <c r="B1625" s="2210"/>
      <c r="D1625" s="2197" t="s">
        <v>3303</v>
      </c>
      <c r="E1625" s="2211" t="s">
        <v>3146</v>
      </c>
      <c r="F1625" s="2212" t="s">
        <v>5715</v>
      </c>
      <c r="H1625" s="2213">
        <v>7.2</v>
      </c>
      <c r="L1625" s="2210"/>
      <c r="M1625" s="2214"/>
      <c r="T1625" s="2215"/>
      <c r="AT1625" s="2211" t="s">
        <v>3303</v>
      </c>
      <c r="AU1625" s="2211" t="s">
        <v>134</v>
      </c>
      <c r="AV1625" s="2209" t="s">
        <v>134</v>
      </c>
      <c r="AW1625" s="2209" t="s">
        <v>3171</v>
      </c>
      <c r="AX1625" s="2209" t="s">
        <v>3213</v>
      </c>
      <c r="AY1625" s="2211" t="s">
        <v>3285</v>
      </c>
    </row>
    <row r="1626" spans="2:65" s="2216" customFormat="1">
      <c r="B1626" s="2217"/>
      <c r="D1626" s="2197" t="s">
        <v>3303</v>
      </c>
      <c r="E1626" s="2218" t="s">
        <v>3146</v>
      </c>
      <c r="F1626" s="2219" t="s">
        <v>3306</v>
      </c>
      <c r="H1626" s="2220">
        <v>7.2</v>
      </c>
      <c r="L1626" s="2217"/>
      <c r="M1626" s="2221"/>
      <c r="T1626" s="2222"/>
      <c r="AT1626" s="2218" t="s">
        <v>3303</v>
      </c>
      <c r="AU1626" s="2218" t="s">
        <v>134</v>
      </c>
      <c r="AV1626" s="2216" t="s">
        <v>856</v>
      </c>
      <c r="AW1626" s="2216" t="s">
        <v>3171</v>
      </c>
      <c r="AX1626" s="2216" t="s">
        <v>133</v>
      </c>
      <c r="AY1626" s="2218" t="s">
        <v>3285</v>
      </c>
    </row>
    <row r="1627" spans="2:65" s="2209" customFormat="1">
      <c r="B1627" s="2210"/>
      <c r="D1627" s="2197" t="s">
        <v>3303</v>
      </c>
      <c r="F1627" s="2212" t="s">
        <v>5719</v>
      </c>
      <c r="H1627" s="2213">
        <v>9</v>
      </c>
      <c r="L1627" s="2210"/>
      <c r="M1627" s="2214"/>
      <c r="T1627" s="2215"/>
      <c r="AT1627" s="2211" t="s">
        <v>3303</v>
      </c>
      <c r="AU1627" s="2211" t="s">
        <v>134</v>
      </c>
      <c r="AV1627" s="2209" t="s">
        <v>134</v>
      </c>
      <c r="AW1627" s="2209" t="s">
        <v>3148</v>
      </c>
      <c r="AX1627" s="2209" t="s">
        <v>133</v>
      </c>
      <c r="AY1627" s="2211" t="s">
        <v>3285</v>
      </c>
    </row>
    <row r="1628" spans="2:65" s="2070" customFormat="1" ht="16.5" customHeight="1">
      <c r="B1628" s="2164"/>
      <c r="C1628" s="4608" t="s">
        <v>11522</v>
      </c>
      <c r="D1628" s="4608" t="s">
        <v>3286</v>
      </c>
      <c r="E1628" s="4609" t="s">
        <v>5720</v>
      </c>
      <c r="F1628" s="4610" t="s">
        <v>5721</v>
      </c>
      <c r="G1628" s="4611" t="s">
        <v>155</v>
      </c>
      <c r="H1628" s="4612">
        <v>40</v>
      </c>
      <c r="I1628" s="4613"/>
      <c r="J1628" s="4613">
        <f>ROUND(I1628*H1628,2)</f>
        <v>0</v>
      </c>
      <c r="K1628" s="4610" t="s">
        <v>3146</v>
      </c>
      <c r="L1628" s="2071"/>
      <c r="M1628" s="2190" t="s">
        <v>3146</v>
      </c>
      <c r="N1628" s="2163" t="s">
        <v>3181</v>
      </c>
      <c r="O1628" s="2191">
        <v>0</v>
      </c>
      <c r="P1628" s="2191">
        <f>O1628*H1628</f>
        <v>0</v>
      </c>
      <c r="Q1628" s="2191">
        <v>0</v>
      </c>
      <c r="R1628" s="2191">
        <f>Q1628*H1628</f>
        <v>0</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5722</v>
      </c>
    </row>
    <row r="1629" spans="2:65" s="2195" customFormat="1">
      <c r="B1629" s="2196"/>
      <c r="D1629" s="2197" t="s">
        <v>3303</v>
      </c>
      <c r="E1629" s="2198" t="s">
        <v>3146</v>
      </c>
      <c r="F1629" s="2199" t="s">
        <v>5723</v>
      </c>
      <c r="H1629" s="2198" t="s">
        <v>3146</v>
      </c>
      <c r="L1629" s="2196"/>
      <c r="M1629" s="2200"/>
      <c r="T1629" s="2201"/>
      <c r="AT1629" s="2198" t="s">
        <v>3303</v>
      </c>
      <c r="AU1629" s="2198" t="s">
        <v>134</v>
      </c>
      <c r="AV1629" s="2195" t="s">
        <v>133</v>
      </c>
      <c r="AW1629" s="2195" t="s">
        <v>3171</v>
      </c>
      <c r="AX1629" s="2195" t="s">
        <v>3213</v>
      </c>
      <c r="AY1629" s="2198" t="s">
        <v>3285</v>
      </c>
    </row>
    <row r="1630" spans="2:65" s="2209" customFormat="1">
      <c r="B1630" s="2210"/>
      <c r="D1630" s="2197" t="s">
        <v>3303</v>
      </c>
      <c r="E1630" s="2211" t="s">
        <v>3146</v>
      </c>
      <c r="F1630" s="2212" t="s">
        <v>5724</v>
      </c>
      <c r="H1630" s="2213">
        <v>40</v>
      </c>
      <c r="L1630" s="2210"/>
      <c r="M1630" s="2214"/>
      <c r="T1630" s="2215"/>
      <c r="AT1630" s="2211" t="s">
        <v>3303</v>
      </c>
      <c r="AU1630" s="2211" t="s">
        <v>134</v>
      </c>
      <c r="AV1630" s="2209" t="s">
        <v>134</v>
      </c>
      <c r="AW1630" s="2209" t="s">
        <v>3171</v>
      </c>
      <c r="AX1630" s="2209" t="s">
        <v>3213</v>
      </c>
      <c r="AY1630" s="2211" t="s">
        <v>3285</v>
      </c>
    </row>
    <row r="1631" spans="2:65" s="2216" customFormat="1">
      <c r="B1631" s="2217"/>
      <c r="D1631" s="2197" t="s">
        <v>3303</v>
      </c>
      <c r="E1631" s="2218" t="s">
        <v>3146</v>
      </c>
      <c r="F1631" s="2219" t="s">
        <v>3306</v>
      </c>
      <c r="H1631" s="2220">
        <v>40</v>
      </c>
      <c r="L1631" s="2217"/>
      <c r="M1631" s="2221"/>
      <c r="T1631" s="2222"/>
      <c r="AT1631" s="2218" t="s">
        <v>3303</v>
      </c>
      <c r="AU1631" s="2218" t="s">
        <v>134</v>
      </c>
      <c r="AV1631" s="2216" t="s">
        <v>856</v>
      </c>
      <c r="AW1631" s="2216" t="s">
        <v>3171</v>
      </c>
      <c r="AX1631" s="2216" t="s">
        <v>133</v>
      </c>
      <c r="AY1631" s="2218" t="s">
        <v>3285</v>
      </c>
    </row>
    <row r="1632" spans="2:65" s="2178" customFormat="1" ht="22.9" customHeight="1">
      <c r="B1632" s="2179"/>
      <c r="D1632" s="2180" t="s">
        <v>3212</v>
      </c>
      <c r="E1632" s="2188" t="s">
        <v>4167</v>
      </c>
      <c r="F1632" s="2188" t="s">
        <v>4168</v>
      </c>
      <c r="J1632" s="2189">
        <f>BK1632</f>
        <v>0</v>
      </c>
      <c r="L1632" s="2179"/>
      <c r="M1632" s="2183"/>
      <c r="P1632" s="2184">
        <f>SUM(P1633:P1692)</f>
        <v>11.326356000000001</v>
      </c>
      <c r="R1632" s="2184">
        <f>SUM(R1633:R1692)</f>
        <v>9.1131599999999986E-3</v>
      </c>
      <c r="T1632" s="2185">
        <f>SUM(T1633:T1692)</f>
        <v>0</v>
      </c>
      <c r="AR1632" s="2180" t="s">
        <v>134</v>
      </c>
      <c r="AT1632" s="2186" t="s">
        <v>3212</v>
      </c>
      <c r="AU1632" s="2186" t="s">
        <v>133</v>
      </c>
      <c r="AY1632" s="2180" t="s">
        <v>3285</v>
      </c>
      <c r="BK1632" s="2187">
        <f>SUM(BK1633:BK1692)</f>
        <v>0</v>
      </c>
    </row>
    <row r="1633" spans="2:65" s="2070" customFormat="1" ht="24.2" customHeight="1">
      <c r="B1633" s="2164"/>
      <c r="C1633" s="4608" t="s">
        <v>11523</v>
      </c>
      <c r="D1633" s="4608" t="s">
        <v>3286</v>
      </c>
      <c r="E1633" s="4609" t="s">
        <v>11524</v>
      </c>
      <c r="F1633" s="4610" t="s">
        <v>11525</v>
      </c>
      <c r="G1633" s="4611" t="s">
        <v>611</v>
      </c>
      <c r="H1633" s="4612">
        <v>21.698</v>
      </c>
      <c r="I1633" s="4613"/>
      <c r="J1633" s="4613">
        <f>ROUND(I1633*H1633,2)</f>
        <v>0</v>
      </c>
      <c r="K1633" s="4610" t="s">
        <v>142</v>
      </c>
      <c r="L1633" s="2071"/>
      <c r="M1633" s="2190" t="s">
        <v>3146</v>
      </c>
      <c r="N1633" s="2163" t="s">
        <v>3181</v>
      </c>
      <c r="O1633" s="2191">
        <v>0.184</v>
      </c>
      <c r="P1633" s="2191">
        <f>O1633*H1633</f>
        <v>3.992432</v>
      </c>
      <c r="Q1633" s="2191">
        <v>1.3999999999999999E-4</v>
      </c>
      <c r="R1633" s="2191">
        <f>Q1633*H1633</f>
        <v>3.0377199999999998E-3</v>
      </c>
      <c r="S1633" s="2191">
        <v>0</v>
      </c>
      <c r="T1633" s="2192">
        <f>S1633*H1633</f>
        <v>0</v>
      </c>
      <c r="AR1633" s="2193" t="s">
        <v>2894</v>
      </c>
      <c r="AT1633" s="2193" t="s">
        <v>3286</v>
      </c>
      <c r="AU1633" s="2193" t="s">
        <v>134</v>
      </c>
      <c r="AY1633" s="2056" t="s">
        <v>3285</v>
      </c>
      <c r="BE1633" s="2194">
        <f>IF(N1633="základní",J1633,0)</f>
        <v>0</v>
      </c>
      <c r="BF1633" s="2194">
        <f>IF(N1633="snížená",J1633,0)</f>
        <v>0</v>
      </c>
      <c r="BG1633" s="2194">
        <f>IF(N1633="zákl. přenesená",J1633,0)</f>
        <v>0</v>
      </c>
      <c r="BH1633" s="2194">
        <f>IF(N1633="sníž. přenesená",J1633,0)</f>
        <v>0</v>
      </c>
      <c r="BI1633" s="2194">
        <f>IF(N1633="nulová",J1633,0)</f>
        <v>0</v>
      </c>
      <c r="BJ1633" s="2056" t="s">
        <v>134</v>
      </c>
      <c r="BK1633" s="2194">
        <f>ROUND(I1633*H1633,2)</f>
        <v>0</v>
      </c>
      <c r="BL1633" s="2056" t="s">
        <v>2894</v>
      </c>
      <c r="BM1633" s="2193" t="s">
        <v>11526</v>
      </c>
    </row>
    <row r="1634" spans="2:65" s="2195" customFormat="1">
      <c r="B1634" s="2196"/>
      <c r="D1634" s="2197" t="s">
        <v>3303</v>
      </c>
      <c r="E1634" s="2198" t="s">
        <v>3146</v>
      </c>
      <c r="F1634" s="2199" t="s">
        <v>5678</v>
      </c>
      <c r="H1634" s="2198" t="s">
        <v>3146</v>
      </c>
      <c r="L1634" s="2196"/>
      <c r="M1634" s="2200"/>
      <c r="T1634" s="2201"/>
      <c r="AT1634" s="2198" t="s">
        <v>3303</v>
      </c>
      <c r="AU1634" s="2198" t="s">
        <v>134</v>
      </c>
      <c r="AV1634" s="2195" t="s">
        <v>133</v>
      </c>
      <c r="AW1634" s="2195" t="s">
        <v>3171</v>
      </c>
      <c r="AX1634" s="2195" t="s">
        <v>3213</v>
      </c>
      <c r="AY1634" s="2198" t="s">
        <v>3285</v>
      </c>
    </row>
    <row r="1635" spans="2:65" s="2195" customFormat="1">
      <c r="B1635" s="2196"/>
      <c r="D1635" s="2197" t="s">
        <v>3303</v>
      </c>
      <c r="E1635" s="2198" t="s">
        <v>3146</v>
      </c>
      <c r="F1635" s="2199" t="s">
        <v>5679</v>
      </c>
      <c r="H1635" s="2198" t="s">
        <v>3146</v>
      </c>
      <c r="L1635" s="2196"/>
      <c r="M1635" s="2200"/>
      <c r="T1635" s="2201"/>
      <c r="AT1635" s="2198" t="s">
        <v>3303</v>
      </c>
      <c r="AU1635" s="2198" t="s">
        <v>134</v>
      </c>
      <c r="AV1635" s="2195" t="s">
        <v>133</v>
      </c>
      <c r="AW1635" s="2195" t="s">
        <v>3171</v>
      </c>
      <c r="AX1635" s="2195" t="s">
        <v>3213</v>
      </c>
      <c r="AY1635" s="2198" t="s">
        <v>3285</v>
      </c>
    </row>
    <row r="1636" spans="2:65" s="2195" customFormat="1">
      <c r="B1636" s="2196"/>
      <c r="D1636" s="2197" t="s">
        <v>3303</v>
      </c>
      <c r="E1636" s="2198" t="s">
        <v>3146</v>
      </c>
      <c r="F1636" s="2199" t="s">
        <v>11440</v>
      </c>
      <c r="H1636" s="2198" t="s">
        <v>3146</v>
      </c>
      <c r="L1636" s="2196"/>
      <c r="M1636" s="2200"/>
      <c r="T1636" s="2201"/>
      <c r="AT1636" s="2198" t="s">
        <v>3303</v>
      </c>
      <c r="AU1636" s="2198" t="s">
        <v>134</v>
      </c>
      <c r="AV1636" s="2195" t="s">
        <v>133</v>
      </c>
      <c r="AW1636" s="2195" t="s">
        <v>3171</v>
      </c>
      <c r="AX1636" s="2195" t="s">
        <v>3213</v>
      </c>
      <c r="AY1636" s="2198" t="s">
        <v>3285</v>
      </c>
    </row>
    <row r="1637" spans="2:65" s="2195" customFormat="1">
      <c r="B1637" s="2196"/>
      <c r="D1637" s="2197" t="s">
        <v>3303</v>
      </c>
      <c r="E1637" s="2198" t="s">
        <v>3146</v>
      </c>
      <c r="F1637" s="2199" t="s">
        <v>11441</v>
      </c>
      <c r="H1637" s="2198" t="s">
        <v>3146</v>
      </c>
      <c r="L1637" s="2196"/>
      <c r="M1637" s="2200"/>
      <c r="T1637" s="2201"/>
      <c r="AT1637" s="2198" t="s">
        <v>3303</v>
      </c>
      <c r="AU1637" s="2198" t="s">
        <v>134</v>
      </c>
      <c r="AV1637" s="2195" t="s">
        <v>133</v>
      </c>
      <c r="AW1637" s="2195" t="s">
        <v>3171</v>
      </c>
      <c r="AX1637" s="2195" t="s">
        <v>3213</v>
      </c>
      <c r="AY1637" s="2198" t="s">
        <v>3285</v>
      </c>
    </row>
    <row r="1638" spans="2:65" s="2209" customFormat="1">
      <c r="B1638" s="2210"/>
      <c r="D1638" s="2197" t="s">
        <v>3303</v>
      </c>
      <c r="E1638" s="2211" t="s">
        <v>3146</v>
      </c>
      <c r="F1638" s="2212" t="s">
        <v>11527</v>
      </c>
      <c r="H1638" s="2213">
        <v>7.2</v>
      </c>
      <c r="L1638" s="2210"/>
      <c r="M1638" s="2214"/>
      <c r="T1638" s="2215"/>
      <c r="AT1638" s="2211" t="s">
        <v>3303</v>
      </c>
      <c r="AU1638" s="2211" t="s">
        <v>134</v>
      </c>
      <c r="AV1638" s="2209" t="s">
        <v>134</v>
      </c>
      <c r="AW1638" s="2209" t="s">
        <v>3171</v>
      </c>
      <c r="AX1638" s="2209" t="s">
        <v>3213</v>
      </c>
      <c r="AY1638" s="2211" t="s">
        <v>3285</v>
      </c>
    </row>
    <row r="1639" spans="2:65" s="2195" customFormat="1">
      <c r="B1639" s="2196"/>
      <c r="D1639" s="2197" t="s">
        <v>3303</v>
      </c>
      <c r="E1639" s="2198" t="s">
        <v>3146</v>
      </c>
      <c r="F1639" s="2199" t="s">
        <v>11443</v>
      </c>
      <c r="H1639" s="2198" t="s">
        <v>3146</v>
      </c>
      <c r="L1639" s="2196"/>
      <c r="M1639" s="2200"/>
      <c r="T1639" s="2201"/>
      <c r="AT1639" s="2198" t="s">
        <v>3303</v>
      </c>
      <c r="AU1639" s="2198" t="s">
        <v>134</v>
      </c>
      <c r="AV1639" s="2195" t="s">
        <v>133</v>
      </c>
      <c r="AW1639" s="2195" t="s">
        <v>3171</v>
      </c>
      <c r="AX1639" s="2195" t="s">
        <v>3213</v>
      </c>
      <c r="AY1639" s="2198" t="s">
        <v>3285</v>
      </c>
    </row>
    <row r="1640" spans="2:65" s="2209" customFormat="1">
      <c r="B1640" s="2210"/>
      <c r="D1640" s="2197" t="s">
        <v>3303</v>
      </c>
      <c r="E1640" s="2211" t="s">
        <v>3146</v>
      </c>
      <c r="F1640" s="2212" t="s">
        <v>11528</v>
      </c>
      <c r="H1640" s="2213">
        <v>2.87</v>
      </c>
      <c r="L1640" s="2210"/>
      <c r="M1640" s="2214"/>
      <c r="T1640" s="2215"/>
      <c r="AT1640" s="2211" t="s">
        <v>3303</v>
      </c>
      <c r="AU1640" s="2211" t="s">
        <v>134</v>
      </c>
      <c r="AV1640" s="2209" t="s">
        <v>134</v>
      </c>
      <c r="AW1640" s="2209" t="s">
        <v>3171</v>
      </c>
      <c r="AX1640" s="2209" t="s">
        <v>3213</v>
      </c>
      <c r="AY1640" s="2211" t="s">
        <v>3285</v>
      </c>
    </row>
    <row r="1641" spans="2:65" s="2195" customFormat="1">
      <c r="B1641" s="2196"/>
      <c r="D1641" s="2197" t="s">
        <v>3303</v>
      </c>
      <c r="E1641" s="2198" t="s">
        <v>3146</v>
      </c>
      <c r="F1641" s="2199" t="s">
        <v>11445</v>
      </c>
      <c r="H1641" s="2198" t="s">
        <v>3146</v>
      </c>
      <c r="L1641" s="2196"/>
      <c r="M1641" s="2200"/>
      <c r="T1641" s="2201"/>
      <c r="AT1641" s="2198" t="s">
        <v>3303</v>
      </c>
      <c r="AU1641" s="2198" t="s">
        <v>134</v>
      </c>
      <c r="AV1641" s="2195" t="s">
        <v>133</v>
      </c>
      <c r="AW1641" s="2195" t="s">
        <v>3171</v>
      </c>
      <c r="AX1641" s="2195" t="s">
        <v>3213</v>
      </c>
      <c r="AY1641" s="2198" t="s">
        <v>3285</v>
      </c>
    </row>
    <row r="1642" spans="2:65" s="2209" customFormat="1">
      <c r="B1642" s="2210"/>
      <c r="D1642" s="2197" t="s">
        <v>3303</v>
      </c>
      <c r="E1642" s="2211" t="s">
        <v>3146</v>
      </c>
      <c r="F1642" s="2212" t="s">
        <v>11529</v>
      </c>
      <c r="H1642" s="2213">
        <v>6.36</v>
      </c>
      <c r="L1642" s="2210"/>
      <c r="M1642" s="2214"/>
      <c r="T1642" s="2215"/>
      <c r="AT1642" s="2211" t="s">
        <v>3303</v>
      </c>
      <c r="AU1642" s="2211" t="s">
        <v>134</v>
      </c>
      <c r="AV1642" s="2209" t="s">
        <v>134</v>
      </c>
      <c r="AW1642" s="2209" t="s">
        <v>3171</v>
      </c>
      <c r="AX1642" s="2209" t="s">
        <v>3213</v>
      </c>
      <c r="AY1642" s="2211" t="s">
        <v>3285</v>
      </c>
    </row>
    <row r="1643" spans="2:65" s="2195" customFormat="1">
      <c r="B1643" s="2196"/>
      <c r="D1643" s="2197" t="s">
        <v>3303</v>
      </c>
      <c r="E1643" s="2198" t="s">
        <v>3146</v>
      </c>
      <c r="F1643" s="2199" t="s">
        <v>11447</v>
      </c>
      <c r="H1643" s="2198" t="s">
        <v>3146</v>
      </c>
      <c r="L1643" s="2196"/>
      <c r="M1643" s="2200"/>
      <c r="T1643" s="2201"/>
      <c r="AT1643" s="2198" t="s">
        <v>3303</v>
      </c>
      <c r="AU1643" s="2198" t="s">
        <v>134</v>
      </c>
      <c r="AV1643" s="2195" t="s">
        <v>133</v>
      </c>
      <c r="AW1643" s="2195" t="s">
        <v>3171</v>
      </c>
      <c r="AX1643" s="2195" t="s">
        <v>3213</v>
      </c>
      <c r="AY1643" s="2198" t="s">
        <v>3285</v>
      </c>
    </row>
    <row r="1644" spans="2:65" s="2209" customFormat="1">
      <c r="B1644" s="2210"/>
      <c r="D1644" s="2197" t="s">
        <v>3303</v>
      </c>
      <c r="E1644" s="2211" t="s">
        <v>3146</v>
      </c>
      <c r="F1644" s="2212" t="s">
        <v>11530</v>
      </c>
      <c r="H1644" s="2213">
        <v>3.6</v>
      </c>
      <c r="L1644" s="2210"/>
      <c r="M1644" s="2214"/>
      <c r="T1644" s="2215"/>
      <c r="AT1644" s="2211" t="s">
        <v>3303</v>
      </c>
      <c r="AU1644" s="2211" t="s">
        <v>134</v>
      </c>
      <c r="AV1644" s="2209" t="s">
        <v>134</v>
      </c>
      <c r="AW1644" s="2209" t="s">
        <v>3171</v>
      </c>
      <c r="AX1644" s="2209" t="s">
        <v>3213</v>
      </c>
      <c r="AY1644" s="2211" t="s">
        <v>3285</v>
      </c>
    </row>
    <row r="1645" spans="2:65" s="2195" customFormat="1">
      <c r="B1645" s="2196"/>
      <c r="D1645" s="2197" t="s">
        <v>3303</v>
      </c>
      <c r="E1645" s="2198" t="s">
        <v>3146</v>
      </c>
      <c r="F1645" s="2199" t="s">
        <v>11449</v>
      </c>
      <c r="H1645" s="2198" t="s">
        <v>3146</v>
      </c>
      <c r="L1645" s="2196"/>
      <c r="M1645" s="2200"/>
      <c r="T1645" s="2201"/>
      <c r="AT1645" s="2198" t="s">
        <v>3303</v>
      </c>
      <c r="AU1645" s="2198" t="s">
        <v>134</v>
      </c>
      <c r="AV1645" s="2195" t="s">
        <v>133</v>
      </c>
      <c r="AW1645" s="2195" t="s">
        <v>3171</v>
      </c>
      <c r="AX1645" s="2195" t="s">
        <v>3213</v>
      </c>
      <c r="AY1645" s="2198" t="s">
        <v>3285</v>
      </c>
    </row>
    <row r="1646" spans="2:65" s="2209" customFormat="1">
      <c r="B1646" s="2210"/>
      <c r="D1646" s="2197" t="s">
        <v>3303</v>
      </c>
      <c r="E1646" s="2211" t="s">
        <v>3146</v>
      </c>
      <c r="F1646" s="2212" t="s">
        <v>11531</v>
      </c>
      <c r="H1646" s="2213">
        <v>0.9</v>
      </c>
      <c r="L1646" s="2210"/>
      <c r="M1646" s="2214"/>
      <c r="T1646" s="2215"/>
      <c r="AT1646" s="2211" t="s">
        <v>3303</v>
      </c>
      <c r="AU1646" s="2211" t="s">
        <v>134</v>
      </c>
      <c r="AV1646" s="2209" t="s">
        <v>134</v>
      </c>
      <c r="AW1646" s="2209" t="s">
        <v>3171</v>
      </c>
      <c r="AX1646" s="2209" t="s">
        <v>3213</v>
      </c>
      <c r="AY1646" s="2211" t="s">
        <v>3285</v>
      </c>
    </row>
    <row r="1647" spans="2:65" s="2202" customFormat="1">
      <c r="B1647" s="2203"/>
      <c r="D1647" s="2197" t="s">
        <v>3303</v>
      </c>
      <c r="E1647" s="2204" t="s">
        <v>3146</v>
      </c>
      <c r="F1647" s="2205" t="s">
        <v>3305</v>
      </c>
      <c r="H1647" s="2206">
        <v>20.93</v>
      </c>
      <c r="L1647" s="2203"/>
      <c r="M1647" s="2207"/>
      <c r="T1647" s="2208"/>
      <c r="AT1647" s="2204" t="s">
        <v>3303</v>
      </c>
      <c r="AU1647" s="2204" t="s">
        <v>134</v>
      </c>
      <c r="AV1647" s="2202" t="s">
        <v>854</v>
      </c>
      <c r="AW1647" s="2202" t="s">
        <v>3171</v>
      </c>
      <c r="AX1647" s="2202" t="s">
        <v>3213</v>
      </c>
      <c r="AY1647" s="2204" t="s">
        <v>3285</v>
      </c>
    </row>
    <row r="1648" spans="2:65" s="2195" customFormat="1">
      <c r="B1648" s="2196"/>
      <c r="D1648" s="2197" t="s">
        <v>3303</v>
      </c>
      <c r="E1648" s="2198" t="s">
        <v>3146</v>
      </c>
      <c r="F1648" s="2199" t="s">
        <v>11451</v>
      </c>
      <c r="H1648" s="2198" t="s">
        <v>3146</v>
      </c>
      <c r="L1648" s="2196"/>
      <c r="M1648" s="2200"/>
      <c r="T1648" s="2201"/>
      <c r="AT1648" s="2198" t="s">
        <v>3303</v>
      </c>
      <c r="AU1648" s="2198" t="s">
        <v>134</v>
      </c>
      <c r="AV1648" s="2195" t="s">
        <v>133</v>
      </c>
      <c r="AW1648" s="2195" t="s">
        <v>3171</v>
      </c>
      <c r="AX1648" s="2195" t="s">
        <v>3213</v>
      </c>
      <c r="AY1648" s="2198" t="s">
        <v>3285</v>
      </c>
    </row>
    <row r="1649" spans="2:65" s="2195" customFormat="1">
      <c r="B1649" s="2196"/>
      <c r="D1649" s="2197" t="s">
        <v>3303</v>
      </c>
      <c r="E1649" s="2198" t="s">
        <v>3146</v>
      </c>
      <c r="F1649" s="2199" t="s">
        <v>11452</v>
      </c>
      <c r="H1649" s="2198" t="s">
        <v>3146</v>
      </c>
      <c r="L1649" s="2196"/>
      <c r="M1649" s="2200"/>
      <c r="T1649" s="2201"/>
      <c r="AT1649" s="2198" t="s">
        <v>3303</v>
      </c>
      <c r="AU1649" s="2198" t="s">
        <v>134</v>
      </c>
      <c r="AV1649" s="2195" t="s">
        <v>133</v>
      </c>
      <c r="AW1649" s="2195" t="s">
        <v>3171</v>
      </c>
      <c r="AX1649" s="2195" t="s">
        <v>3213</v>
      </c>
      <c r="AY1649" s="2198" t="s">
        <v>3285</v>
      </c>
    </row>
    <row r="1650" spans="2:65" s="2209" customFormat="1">
      <c r="B1650" s="2210"/>
      <c r="D1650" s="2197" t="s">
        <v>3303</v>
      </c>
      <c r="E1650" s="2211" t="s">
        <v>3146</v>
      </c>
      <c r="F1650" s="2212" t="s">
        <v>11532</v>
      </c>
      <c r="H1650" s="2213">
        <v>0.76800000000000002</v>
      </c>
      <c r="L1650" s="2210"/>
      <c r="M1650" s="2214"/>
      <c r="T1650" s="2215"/>
      <c r="AT1650" s="2211" t="s">
        <v>3303</v>
      </c>
      <c r="AU1650" s="2211" t="s">
        <v>134</v>
      </c>
      <c r="AV1650" s="2209" t="s">
        <v>134</v>
      </c>
      <c r="AW1650" s="2209" t="s">
        <v>3171</v>
      </c>
      <c r="AX1650" s="2209" t="s">
        <v>3213</v>
      </c>
      <c r="AY1650" s="2211" t="s">
        <v>3285</v>
      </c>
    </row>
    <row r="1651" spans="2:65" s="2202" customFormat="1">
      <c r="B1651" s="2203"/>
      <c r="D1651" s="2197" t="s">
        <v>3303</v>
      </c>
      <c r="E1651" s="2204" t="s">
        <v>3146</v>
      </c>
      <c r="F1651" s="2205" t="s">
        <v>3305</v>
      </c>
      <c r="H1651" s="2206">
        <v>0.76800000000000002</v>
      </c>
      <c r="L1651" s="2203"/>
      <c r="M1651" s="2207"/>
      <c r="T1651" s="2208"/>
      <c r="AT1651" s="2204" t="s">
        <v>3303</v>
      </c>
      <c r="AU1651" s="2204" t="s">
        <v>134</v>
      </c>
      <c r="AV1651" s="2202" t="s">
        <v>854</v>
      </c>
      <c r="AW1651" s="2202" t="s">
        <v>3171</v>
      </c>
      <c r="AX1651" s="2202" t="s">
        <v>3213</v>
      </c>
      <c r="AY1651" s="2204" t="s">
        <v>3285</v>
      </c>
    </row>
    <row r="1652" spans="2:65" s="2216" customFormat="1">
      <c r="B1652" s="2217"/>
      <c r="D1652" s="2197" t="s">
        <v>3303</v>
      </c>
      <c r="E1652" s="2218" t="s">
        <v>3146</v>
      </c>
      <c r="F1652" s="2219" t="s">
        <v>3306</v>
      </c>
      <c r="H1652" s="2220">
        <v>21.698</v>
      </c>
      <c r="L1652" s="2217"/>
      <c r="M1652" s="2221"/>
      <c r="T1652" s="2222"/>
      <c r="AT1652" s="2218" t="s">
        <v>3303</v>
      </c>
      <c r="AU1652" s="2218" t="s">
        <v>134</v>
      </c>
      <c r="AV1652" s="2216" t="s">
        <v>856</v>
      </c>
      <c r="AW1652" s="2216" t="s">
        <v>3171</v>
      </c>
      <c r="AX1652" s="2216" t="s">
        <v>133</v>
      </c>
      <c r="AY1652" s="2218" t="s">
        <v>3285</v>
      </c>
    </row>
    <row r="1653" spans="2:65" s="2070" customFormat="1" ht="24.2" customHeight="1">
      <c r="B1653" s="2164"/>
      <c r="C1653" s="4608" t="s">
        <v>11533</v>
      </c>
      <c r="D1653" s="4608" t="s">
        <v>3286</v>
      </c>
      <c r="E1653" s="4609" t="s">
        <v>11534</v>
      </c>
      <c r="F1653" s="4610" t="s">
        <v>11535</v>
      </c>
      <c r="G1653" s="4611" t="s">
        <v>611</v>
      </c>
      <c r="H1653" s="4612">
        <v>21.698</v>
      </c>
      <c r="I1653" s="4613"/>
      <c r="J1653" s="4613">
        <f>ROUND(I1653*H1653,2)</f>
        <v>0</v>
      </c>
      <c r="K1653" s="4610" t="s">
        <v>142</v>
      </c>
      <c r="L1653" s="2071"/>
      <c r="M1653" s="2190" t="s">
        <v>3146</v>
      </c>
      <c r="N1653" s="2163" t="s">
        <v>3181</v>
      </c>
      <c r="O1653" s="2191">
        <v>0.16600000000000001</v>
      </c>
      <c r="P1653" s="2191">
        <f>O1653*H1653</f>
        <v>3.6018680000000001</v>
      </c>
      <c r="Q1653" s="2191">
        <v>1.3999999999999999E-4</v>
      </c>
      <c r="R1653" s="2191">
        <f>Q1653*H1653</f>
        <v>3.0377199999999998E-3</v>
      </c>
      <c r="S1653" s="2191">
        <v>0</v>
      </c>
      <c r="T1653" s="2192">
        <f>S1653*H1653</f>
        <v>0</v>
      </c>
      <c r="AR1653" s="2193" t="s">
        <v>2894</v>
      </c>
      <c r="AT1653" s="2193" t="s">
        <v>3286</v>
      </c>
      <c r="AU1653" s="2193" t="s">
        <v>134</v>
      </c>
      <c r="AY1653" s="2056" t="s">
        <v>3285</v>
      </c>
      <c r="BE1653" s="2194">
        <f>IF(N1653="základní",J1653,0)</f>
        <v>0</v>
      </c>
      <c r="BF1653" s="2194">
        <f>IF(N1653="snížená",J1653,0)</f>
        <v>0</v>
      </c>
      <c r="BG1653" s="2194">
        <f>IF(N1653="zákl. přenesená",J1653,0)</f>
        <v>0</v>
      </c>
      <c r="BH1653" s="2194">
        <f>IF(N1653="sníž. přenesená",J1653,0)</f>
        <v>0</v>
      </c>
      <c r="BI1653" s="2194">
        <f>IF(N1653="nulová",J1653,0)</f>
        <v>0</v>
      </c>
      <c r="BJ1653" s="2056" t="s">
        <v>134</v>
      </c>
      <c r="BK1653" s="2194">
        <f>ROUND(I1653*H1653,2)</f>
        <v>0</v>
      </c>
      <c r="BL1653" s="2056" t="s">
        <v>2894</v>
      </c>
      <c r="BM1653" s="2193" t="s">
        <v>11536</v>
      </c>
    </row>
    <row r="1654" spans="2:65" s="2195" customFormat="1">
      <c r="B1654" s="2196"/>
      <c r="D1654" s="2197" t="s">
        <v>3303</v>
      </c>
      <c r="E1654" s="2198" t="s">
        <v>3146</v>
      </c>
      <c r="F1654" s="2199" t="s">
        <v>5678</v>
      </c>
      <c r="H1654" s="2198" t="s">
        <v>3146</v>
      </c>
      <c r="L1654" s="2196"/>
      <c r="M1654" s="2200"/>
      <c r="T1654" s="2201"/>
      <c r="AT1654" s="2198" t="s">
        <v>3303</v>
      </c>
      <c r="AU1654" s="2198" t="s">
        <v>134</v>
      </c>
      <c r="AV1654" s="2195" t="s">
        <v>133</v>
      </c>
      <c r="AW1654" s="2195" t="s">
        <v>3171</v>
      </c>
      <c r="AX1654" s="2195" t="s">
        <v>3213</v>
      </c>
      <c r="AY1654" s="2198" t="s">
        <v>3285</v>
      </c>
    </row>
    <row r="1655" spans="2:65" s="2195" customFormat="1">
      <c r="B1655" s="2196"/>
      <c r="D1655" s="2197" t="s">
        <v>3303</v>
      </c>
      <c r="E1655" s="2198" t="s">
        <v>3146</v>
      </c>
      <c r="F1655" s="2199" t="s">
        <v>5679</v>
      </c>
      <c r="H1655" s="2198" t="s">
        <v>3146</v>
      </c>
      <c r="L1655" s="2196"/>
      <c r="M1655" s="2200"/>
      <c r="T1655" s="2201"/>
      <c r="AT1655" s="2198" t="s">
        <v>3303</v>
      </c>
      <c r="AU1655" s="2198" t="s">
        <v>134</v>
      </c>
      <c r="AV1655" s="2195" t="s">
        <v>133</v>
      </c>
      <c r="AW1655" s="2195" t="s">
        <v>3171</v>
      </c>
      <c r="AX1655" s="2195" t="s">
        <v>3213</v>
      </c>
      <c r="AY1655" s="2198" t="s">
        <v>3285</v>
      </c>
    </row>
    <row r="1656" spans="2:65" s="2195" customFormat="1">
      <c r="B1656" s="2196"/>
      <c r="D1656" s="2197" t="s">
        <v>3303</v>
      </c>
      <c r="E1656" s="2198" t="s">
        <v>3146</v>
      </c>
      <c r="F1656" s="2199" t="s">
        <v>11440</v>
      </c>
      <c r="H1656" s="2198" t="s">
        <v>3146</v>
      </c>
      <c r="L1656" s="2196"/>
      <c r="M1656" s="2200"/>
      <c r="T1656" s="2201"/>
      <c r="AT1656" s="2198" t="s">
        <v>3303</v>
      </c>
      <c r="AU1656" s="2198" t="s">
        <v>134</v>
      </c>
      <c r="AV1656" s="2195" t="s">
        <v>133</v>
      </c>
      <c r="AW1656" s="2195" t="s">
        <v>3171</v>
      </c>
      <c r="AX1656" s="2195" t="s">
        <v>3213</v>
      </c>
      <c r="AY1656" s="2198" t="s">
        <v>3285</v>
      </c>
    </row>
    <row r="1657" spans="2:65" s="2195" customFormat="1">
      <c r="B1657" s="2196"/>
      <c r="D1657" s="2197" t="s">
        <v>3303</v>
      </c>
      <c r="E1657" s="2198" t="s">
        <v>3146</v>
      </c>
      <c r="F1657" s="2199" t="s">
        <v>11441</v>
      </c>
      <c r="H1657" s="2198" t="s">
        <v>3146</v>
      </c>
      <c r="L1657" s="2196"/>
      <c r="M1657" s="2200"/>
      <c r="T1657" s="2201"/>
      <c r="AT1657" s="2198" t="s">
        <v>3303</v>
      </c>
      <c r="AU1657" s="2198" t="s">
        <v>134</v>
      </c>
      <c r="AV1657" s="2195" t="s">
        <v>133</v>
      </c>
      <c r="AW1657" s="2195" t="s">
        <v>3171</v>
      </c>
      <c r="AX1657" s="2195" t="s">
        <v>3213</v>
      </c>
      <c r="AY1657" s="2198" t="s">
        <v>3285</v>
      </c>
    </row>
    <row r="1658" spans="2:65" s="2209" customFormat="1">
      <c r="B1658" s="2210"/>
      <c r="D1658" s="2197" t="s">
        <v>3303</v>
      </c>
      <c r="E1658" s="2211" t="s">
        <v>3146</v>
      </c>
      <c r="F1658" s="2212" t="s">
        <v>11527</v>
      </c>
      <c r="H1658" s="2213">
        <v>7.2</v>
      </c>
      <c r="L1658" s="2210"/>
      <c r="M1658" s="2214"/>
      <c r="T1658" s="2215"/>
      <c r="AT1658" s="2211" t="s">
        <v>3303</v>
      </c>
      <c r="AU1658" s="2211" t="s">
        <v>134</v>
      </c>
      <c r="AV1658" s="2209" t="s">
        <v>134</v>
      </c>
      <c r="AW1658" s="2209" t="s">
        <v>3171</v>
      </c>
      <c r="AX1658" s="2209" t="s">
        <v>3213</v>
      </c>
      <c r="AY1658" s="2211" t="s">
        <v>3285</v>
      </c>
    </row>
    <row r="1659" spans="2:65" s="2195" customFormat="1">
      <c r="B1659" s="2196"/>
      <c r="D1659" s="2197" t="s">
        <v>3303</v>
      </c>
      <c r="E1659" s="2198" t="s">
        <v>3146</v>
      </c>
      <c r="F1659" s="2199" t="s">
        <v>11443</v>
      </c>
      <c r="H1659" s="2198" t="s">
        <v>3146</v>
      </c>
      <c r="L1659" s="2196"/>
      <c r="M1659" s="2200"/>
      <c r="T1659" s="2201"/>
      <c r="AT1659" s="2198" t="s">
        <v>3303</v>
      </c>
      <c r="AU1659" s="2198" t="s">
        <v>134</v>
      </c>
      <c r="AV1659" s="2195" t="s">
        <v>133</v>
      </c>
      <c r="AW1659" s="2195" t="s">
        <v>3171</v>
      </c>
      <c r="AX1659" s="2195" t="s">
        <v>3213</v>
      </c>
      <c r="AY1659" s="2198" t="s">
        <v>3285</v>
      </c>
    </row>
    <row r="1660" spans="2:65" s="2209" customFormat="1">
      <c r="B1660" s="2210"/>
      <c r="D1660" s="2197" t="s">
        <v>3303</v>
      </c>
      <c r="E1660" s="2211" t="s">
        <v>3146</v>
      </c>
      <c r="F1660" s="2212" t="s">
        <v>11528</v>
      </c>
      <c r="H1660" s="2213">
        <v>2.87</v>
      </c>
      <c r="L1660" s="2210"/>
      <c r="M1660" s="2214"/>
      <c r="T1660" s="2215"/>
      <c r="AT1660" s="2211" t="s">
        <v>3303</v>
      </c>
      <c r="AU1660" s="2211" t="s">
        <v>134</v>
      </c>
      <c r="AV1660" s="2209" t="s">
        <v>134</v>
      </c>
      <c r="AW1660" s="2209" t="s">
        <v>3171</v>
      </c>
      <c r="AX1660" s="2209" t="s">
        <v>3213</v>
      </c>
      <c r="AY1660" s="2211" t="s">
        <v>3285</v>
      </c>
    </row>
    <row r="1661" spans="2:65" s="2195" customFormat="1">
      <c r="B1661" s="2196"/>
      <c r="D1661" s="2197" t="s">
        <v>3303</v>
      </c>
      <c r="E1661" s="2198" t="s">
        <v>3146</v>
      </c>
      <c r="F1661" s="2199" t="s">
        <v>11445</v>
      </c>
      <c r="H1661" s="2198" t="s">
        <v>3146</v>
      </c>
      <c r="L1661" s="2196"/>
      <c r="M1661" s="2200"/>
      <c r="T1661" s="2201"/>
      <c r="AT1661" s="2198" t="s">
        <v>3303</v>
      </c>
      <c r="AU1661" s="2198" t="s">
        <v>134</v>
      </c>
      <c r="AV1661" s="2195" t="s">
        <v>133</v>
      </c>
      <c r="AW1661" s="2195" t="s">
        <v>3171</v>
      </c>
      <c r="AX1661" s="2195" t="s">
        <v>3213</v>
      </c>
      <c r="AY1661" s="2198" t="s">
        <v>3285</v>
      </c>
    </row>
    <row r="1662" spans="2:65" s="2209" customFormat="1">
      <c r="B1662" s="2210"/>
      <c r="D1662" s="2197" t="s">
        <v>3303</v>
      </c>
      <c r="E1662" s="2211" t="s">
        <v>3146</v>
      </c>
      <c r="F1662" s="2212" t="s">
        <v>11529</v>
      </c>
      <c r="H1662" s="2213">
        <v>6.36</v>
      </c>
      <c r="L1662" s="2210"/>
      <c r="M1662" s="2214"/>
      <c r="T1662" s="2215"/>
      <c r="AT1662" s="2211" t="s">
        <v>3303</v>
      </c>
      <c r="AU1662" s="2211" t="s">
        <v>134</v>
      </c>
      <c r="AV1662" s="2209" t="s">
        <v>134</v>
      </c>
      <c r="AW1662" s="2209" t="s">
        <v>3171</v>
      </c>
      <c r="AX1662" s="2209" t="s">
        <v>3213</v>
      </c>
      <c r="AY1662" s="2211" t="s">
        <v>3285</v>
      </c>
    </row>
    <row r="1663" spans="2:65" s="2195" customFormat="1">
      <c r="B1663" s="2196"/>
      <c r="D1663" s="2197" t="s">
        <v>3303</v>
      </c>
      <c r="E1663" s="2198" t="s">
        <v>3146</v>
      </c>
      <c r="F1663" s="2199" t="s">
        <v>11447</v>
      </c>
      <c r="H1663" s="2198" t="s">
        <v>3146</v>
      </c>
      <c r="L1663" s="2196"/>
      <c r="M1663" s="2200"/>
      <c r="T1663" s="2201"/>
      <c r="AT1663" s="2198" t="s">
        <v>3303</v>
      </c>
      <c r="AU1663" s="2198" t="s">
        <v>134</v>
      </c>
      <c r="AV1663" s="2195" t="s">
        <v>133</v>
      </c>
      <c r="AW1663" s="2195" t="s">
        <v>3171</v>
      </c>
      <c r="AX1663" s="2195" t="s">
        <v>3213</v>
      </c>
      <c r="AY1663" s="2198" t="s">
        <v>3285</v>
      </c>
    </row>
    <row r="1664" spans="2:65" s="2209" customFormat="1">
      <c r="B1664" s="2210"/>
      <c r="D1664" s="2197" t="s">
        <v>3303</v>
      </c>
      <c r="E1664" s="2211" t="s">
        <v>3146</v>
      </c>
      <c r="F1664" s="2212" t="s">
        <v>11530</v>
      </c>
      <c r="H1664" s="2213">
        <v>3.6</v>
      </c>
      <c r="L1664" s="2210"/>
      <c r="M1664" s="2214"/>
      <c r="T1664" s="2215"/>
      <c r="AT1664" s="2211" t="s">
        <v>3303</v>
      </c>
      <c r="AU1664" s="2211" t="s">
        <v>134</v>
      </c>
      <c r="AV1664" s="2209" t="s">
        <v>134</v>
      </c>
      <c r="AW1664" s="2209" t="s">
        <v>3171</v>
      </c>
      <c r="AX1664" s="2209" t="s">
        <v>3213</v>
      </c>
      <c r="AY1664" s="2211" t="s">
        <v>3285</v>
      </c>
    </row>
    <row r="1665" spans="2:65" s="2195" customFormat="1">
      <c r="B1665" s="2196"/>
      <c r="D1665" s="2197" t="s">
        <v>3303</v>
      </c>
      <c r="E1665" s="2198" t="s">
        <v>3146</v>
      </c>
      <c r="F1665" s="2199" t="s">
        <v>11449</v>
      </c>
      <c r="H1665" s="2198" t="s">
        <v>3146</v>
      </c>
      <c r="L1665" s="2196"/>
      <c r="M1665" s="2200"/>
      <c r="T1665" s="2201"/>
      <c r="AT1665" s="2198" t="s">
        <v>3303</v>
      </c>
      <c r="AU1665" s="2198" t="s">
        <v>134</v>
      </c>
      <c r="AV1665" s="2195" t="s">
        <v>133</v>
      </c>
      <c r="AW1665" s="2195" t="s">
        <v>3171</v>
      </c>
      <c r="AX1665" s="2195" t="s">
        <v>3213</v>
      </c>
      <c r="AY1665" s="2198" t="s">
        <v>3285</v>
      </c>
    </row>
    <row r="1666" spans="2:65" s="2209" customFormat="1">
      <c r="B1666" s="2210"/>
      <c r="D1666" s="2197" t="s">
        <v>3303</v>
      </c>
      <c r="E1666" s="2211" t="s">
        <v>3146</v>
      </c>
      <c r="F1666" s="2212" t="s">
        <v>11531</v>
      </c>
      <c r="H1666" s="2213">
        <v>0.9</v>
      </c>
      <c r="L1666" s="2210"/>
      <c r="M1666" s="2214"/>
      <c r="T1666" s="2215"/>
      <c r="AT1666" s="2211" t="s">
        <v>3303</v>
      </c>
      <c r="AU1666" s="2211" t="s">
        <v>134</v>
      </c>
      <c r="AV1666" s="2209" t="s">
        <v>134</v>
      </c>
      <c r="AW1666" s="2209" t="s">
        <v>3171</v>
      </c>
      <c r="AX1666" s="2209" t="s">
        <v>3213</v>
      </c>
      <c r="AY1666" s="2211" t="s">
        <v>3285</v>
      </c>
    </row>
    <row r="1667" spans="2:65" s="2202" customFormat="1">
      <c r="B1667" s="2203"/>
      <c r="D1667" s="2197" t="s">
        <v>3303</v>
      </c>
      <c r="E1667" s="2204" t="s">
        <v>3146</v>
      </c>
      <c r="F1667" s="2205" t="s">
        <v>3305</v>
      </c>
      <c r="H1667" s="2206">
        <v>20.93</v>
      </c>
      <c r="L1667" s="2203"/>
      <c r="M1667" s="2207"/>
      <c r="T1667" s="2208"/>
      <c r="AT1667" s="2204" t="s">
        <v>3303</v>
      </c>
      <c r="AU1667" s="2204" t="s">
        <v>134</v>
      </c>
      <c r="AV1667" s="2202" t="s">
        <v>854</v>
      </c>
      <c r="AW1667" s="2202" t="s">
        <v>3171</v>
      </c>
      <c r="AX1667" s="2202" t="s">
        <v>3213</v>
      </c>
      <c r="AY1667" s="2204" t="s">
        <v>3285</v>
      </c>
    </row>
    <row r="1668" spans="2:65" s="2195" customFormat="1">
      <c r="B1668" s="2196"/>
      <c r="D1668" s="2197" t="s">
        <v>3303</v>
      </c>
      <c r="E1668" s="2198" t="s">
        <v>3146</v>
      </c>
      <c r="F1668" s="2199" t="s">
        <v>11451</v>
      </c>
      <c r="H1668" s="2198" t="s">
        <v>3146</v>
      </c>
      <c r="L1668" s="2196"/>
      <c r="M1668" s="2200"/>
      <c r="T1668" s="2201"/>
      <c r="AT1668" s="2198" t="s">
        <v>3303</v>
      </c>
      <c r="AU1668" s="2198" t="s">
        <v>134</v>
      </c>
      <c r="AV1668" s="2195" t="s">
        <v>133</v>
      </c>
      <c r="AW1668" s="2195" t="s">
        <v>3171</v>
      </c>
      <c r="AX1668" s="2195" t="s">
        <v>3213</v>
      </c>
      <c r="AY1668" s="2198" t="s">
        <v>3285</v>
      </c>
    </row>
    <row r="1669" spans="2:65" s="2195" customFormat="1">
      <c r="B1669" s="2196"/>
      <c r="D1669" s="2197" t="s">
        <v>3303</v>
      </c>
      <c r="E1669" s="2198" t="s">
        <v>3146</v>
      </c>
      <c r="F1669" s="2199" t="s">
        <v>11452</v>
      </c>
      <c r="H1669" s="2198" t="s">
        <v>3146</v>
      </c>
      <c r="L1669" s="2196"/>
      <c r="M1669" s="2200"/>
      <c r="T1669" s="2201"/>
      <c r="AT1669" s="2198" t="s">
        <v>3303</v>
      </c>
      <c r="AU1669" s="2198" t="s">
        <v>134</v>
      </c>
      <c r="AV1669" s="2195" t="s">
        <v>133</v>
      </c>
      <c r="AW1669" s="2195" t="s">
        <v>3171</v>
      </c>
      <c r="AX1669" s="2195" t="s">
        <v>3213</v>
      </c>
      <c r="AY1669" s="2198" t="s">
        <v>3285</v>
      </c>
    </row>
    <row r="1670" spans="2:65" s="2209" customFormat="1">
      <c r="B1670" s="2210"/>
      <c r="D1670" s="2197" t="s">
        <v>3303</v>
      </c>
      <c r="E1670" s="2211" t="s">
        <v>3146</v>
      </c>
      <c r="F1670" s="2212" t="s">
        <v>11532</v>
      </c>
      <c r="H1670" s="2213">
        <v>0.76800000000000002</v>
      </c>
      <c r="L1670" s="2210"/>
      <c r="M1670" s="2214"/>
      <c r="T1670" s="2215"/>
      <c r="AT1670" s="2211" t="s">
        <v>3303</v>
      </c>
      <c r="AU1670" s="2211" t="s">
        <v>134</v>
      </c>
      <c r="AV1670" s="2209" t="s">
        <v>134</v>
      </c>
      <c r="AW1670" s="2209" t="s">
        <v>3171</v>
      </c>
      <c r="AX1670" s="2209" t="s">
        <v>3213</v>
      </c>
      <c r="AY1670" s="2211" t="s">
        <v>3285</v>
      </c>
    </row>
    <row r="1671" spans="2:65" s="2202" customFormat="1">
      <c r="B1671" s="2203"/>
      <c r="D1671" s="2197" t="s">
        <v>3303</v>
      </c>
      <c r="E1671" s="2204" t="s">
        <v>3146</v>
      </c>
      <c r="F1671" s="2205" t="s">
        <v>3305</v>
      </c>
      <c r="H1671" s="2206">
        <v>0.76800000000000002</v>
      </c>
      <c r="L1671" s="2203"/>
      <c r="M1671" s="2207"/>
      <c r="T1671" s="2208"/>
      <c r="AT1671" s="2204" t="s">
        <v>3303</v>
      </c>
      <c r="AU1671" s="2204" t="s">
        <v>134</v>
      </c>
      <c r="AV1671" s="2202" t="s">
        <v>854</v>
      </c>
      <c r="AW1671" s="2202" t="s">
        <v>3171</v>
      </c>
      <c r="AX1671" s="2202" t="s">
        <v>3213</v>
      </c>
      <c r="AY1671" s="2204" t="s">
        <v>3285</v>
      </c>
    </row>
    <row r="1672" spans="2:65" s="2216" customFormat="1">
      <c r="B1672" s="2217"/>
      <c r="D1672" s="2197" t="s">
        <v>3303</v>
      </c>
      <c r="E1672" s="2218" t="s">
        <v>3146</v>
      </c>
      <c r="F1672" s="2219" t="s">
        <v>3306</v>
      </c>
      <c r="H1672" s="2220">
        <v>21.698</v>
      </c>
      <c r="L1672" s="2217"/>
      <c r="M1672" s="2221"/>
      <c r="T1672" s="2222"/>
      <c r="AT1672" s="2218" t="s">
        <v>3303</v>
      </c>
      <c r="AU1672" s="2218" t="s">
        <v>134</v>
      </c>
      <c r="AV1672" s="2216" t="s">
        <v>856</v>
      </c>
      <c r="AW1672" s="2216" t="s">
        <v>3171</v>
      </c>
      <c r="AX1672" s="2216" t="s">
        <v>133</v>
      </c>
      <c r="AY1672" s="2218" t="s">
        <v>3285</v>
      </c>
    </row>
    <row r="1673" spans="2:65" s="2070" customFormat="1" ht="24.2" customHeight="1">
      <c r="B1673" s="2164"/>
      <c r="C1673" s="4608" t="s">
        <v>11537</v>
      </c>
      <c r="D1673" s="4608" t="s">
        <v>3286</v>
      </c>
      <c r="E1673" s="4609" t="s">
        <v>11538</v>
      </c>
      <c r="F1673" s="4610" t="s">
        <v>11539</v>
      </c>
      <c r="G1673" s="4611" t="s">
        <v>611</v>
      </c>
      <c r="H1673" s="4612">
        <v>21.698</v>
      </c>
      <c r="I1673" s="4613"/>
      <c r="J1673" s="4613">
        <f>ROUND(I1673*H1673,2)</f>
        <v>0</v>
      </c>
      <c r="K1673" s="4610" t="s">
        <v>142</v>
      </c>
      <c r="L1673" s="2071"/>
      <c r="M1673" s="2190" t="s">
        <v>3146</v>
      </c>
      <c r="N1673" s="2163" t="s">
        <v>3181</v>
      </c>
      <c r="O1673" s="2191">
        <v>0.17199999999999999</v>
      </c>
      <c r="P1673" s="2191">
        <f>O1673*H1673</f>
        <v>3.7320559999999996</v>
      </c>
      <c r="Q1673" s="2191">
        <v>1.3999999999999999E-4</v>
      </c>
      <c r="R1673" s="2191">
        <f>Q1673*H1673</f>
        <v>3.0377199999999998E-3</v>
      </c>
      <c r="S1673" s="2191">
        <v>0</v>
      </c>
      <c r="T1673" s="2192">
        <f>S1673*H1673</f>
        <v>0</v>
      </c>
      <c r="AR1673" s="2193" t="s">
        <v>2894</v>
      </c>
      <c r="AT1673" s="2193" t="s">
        <v>3286</v>
      </c>
      <c r="AU1673" s="2193" t="s">
        <v>134</v>
      </c>
      <c r="AY1673" s="2056" t="s">
        <v>3285</v>
      </c>
      <c r="BE1673" s="2194">
        <f>IF(N1673="základní",J1673,0)</f>
        <v>0</v>
      </c>
      <c r="BF1673" s="2194">
        <f>IF(N1673="snížená",J1673,0)</f>
        <v>0</v>
      </c>
      <c r="BG1673" s="2194">
        <f>IF(N1673="zákl. přenesená",J1673,0)</f>
        <v>0</v>
      </c>
      <c r="BH1673" s="2194">
        <f>IF(N1673="sníž. přenesená",J1673,0)</f>
        <v>0</v>
      </c>
      <c r="BI1673" s="2194">
        <f>IF(N1673="nulová",J1673,0)</f>
        <v>0</v>
      </c>
      <c r="BJ1673" s="2056" t="s">
        <v>134</v>
      </c>
      <c r="BK1673" s="2194">
        <f>ROUND(I1673*H1673,2)</f>
        <v>0</v>
      </c>
      <c r="BL1673" s="2056" t="s">
        <v>2894</v>
      </c>
      <c r="BM1673" s="2193" t="s">
        <v>11540</v>
      </c>
    </row>
    <row r="1674" spans="2:65" s="2195" customFormat="1">
      <c r="B1674" s="2196"/>
      <c r="D1674" s="2197" t="s">
        <v>3303</v>
      </c>
      <c r="E1674" s="2198" t="s">
        <v>3146</v>
      </c>
      <c r="F1674" s="2199" t="s">
        <v>5678</v>
      </c>
      <c r="H1674" s="2198" t="s">
        <v>3146</v>
      </c>
      <c r="L1674" s="2196"/>
      <c r="M1674" s="2200"/>
      <c r="T1674" s="2201"/>
      <c r="AT1674" s="2198" t="s">
        <v>3303</v>
      </c>
      <c r="AU1674" s="2198" t="s">
        <v>134</v>
      </c>
      <c r="AV1674" s="2195" t="s">
        <v>133</v>
      </c>
      <c r="AW1674" s="2195" t="s">
        <v>3171</v>
      </c>
      <c r="AX1674" s="2195" t="s">
        <v>3213</v>
      </c>
      <c r="AY1674" s="2198" t="s">
        <v>3285</v>
      </c>
    </row>
    <row r="1675" spans="2:65" s="2195" customFormat="1">
      <c r="B1675" s="2196"/>
      <c r="D1675" s="2197" t="s">
        <v>3303</v>
      </c>
      <c r="E1675" s="2198" t="s">
        <v>3146</v>
      </c>
      <c r="F1675" s="2199" t="s">
        <v>5679</v>
      </c>
      <c r="H1675" s="2198" t="s">
        <v>3146</v>
      </c>
      <c r="L1675" s="2196"/>
      <c r="M1675" s="2200"/>
      <c r="T1675" s="2201"/>
      <c r="AT1675" s="2198" t="s">
        <v>3303</v>
      </c>
      <c r="AU1675" s="2198" t="s">
        <v>134</v>
      </c>
      <c r="AV1675" s="2195" t="s">
        <v>133</v>
      </c>
      <c r="AW1675" s="2195" t="s">
        <v>3171</v>
      </c>
      <c r="AX1675" s="2195" t="s">
        <v>3213</v>
      </c>
      <c r="AY1675" s="2198" t="s">
        <v>3285</v>
      </c>
    </row>
    <row r="1676" spans="2:65" s="2195" customFormat="1">
      <c r="B1676" s="2196"/>
      <c r="D1676" s="2197" t="s">
        <v>3303</v>
      </c>
      <c r="E1676" s="2198" t="s">
        <v>3146</v>
      </c>
      <c r="F1676" s="2199" t="s">
        <v>11440</v>
      </c>
      <c r="H1676" s="2198" t="s">
        <v>3146</v>
      </c>
      <c r="L1676" s="2196"/>
      <c r="M1676" s="2200"/>
      <c r="T1676" s="2201"/>
      <c r="AT1676" s="2198" t="s">
        <v>3303</v>
      </c>
      <c r="AU1676" s="2198" t="s">
        <v>134</v>
      </c>
      <c r="AV1676" s="2195" t="s">
        <v>133</v>
      </c>
      <c r="AW1676" s="2195" t="s">
        <v>3171</v>
      </c>
      <c r="AX1676" s="2195" t="s">
        <v>3213</v>
      </c>
      <c r="AY1676" s="2198" t="s">
        <v>3285</v>
      </c>
    </row>
    <row r="1677" spans="2:65" s="2195" customFormat="1">
      <c r="B1677" s="2196"/>
      <c r="D1677" s="2197" t="s">
        <v>3303</v>
      </c>
      <c r="E1677" s="2198" t="s">
        <v>3146</v>
      </c>
      <c r="F1677" s="2199" t="s">
        <v>11441</v>
      </c>
      <c r="H1677" s="2198" t="s">
        <v>3146</v>
      </c>
      <c r="L1677" s="2196"/>
      <c r="M1677" s="2200"/>
      <c r="T1677" s="2201"/>
      <c r="AT1677" s="2198" t="s">
        <v>3303</v>
      </c>
      <c r="AU1677" s="2198" t="s">
        <v>134</v>
      </c>
      <c r="AV1677" s="2195" t="s">
        <v>133</v>
      </c>
      <c r="AW1677" s="2195" t="s">
        <v>3171</v>
      </c>
      <c r="AX1677" s="2195" t="s">
        <v>3213</v>
      </c>
      <c r="AY1677" s="2198" t="s">
        <v>3285</v>
      </c>
    </row>
    <row r="1678" spans="2:65" s="2209" customFormat="1">
      <c r="B1678" s="2210"/>
      <c r="D1678" s="2197" t="s">
        <v>3303</v>
      </c>
      <c r="E1678" s="2211" t="s">
        <v>3146</v>
      </c>
      <c r="F1678" s="2212" t="s">
        <v>11527</v>
      </c>
      <c r="H1678" s="2213">
        <v>7.2</v>
      </c>
      <c r="L1678" s="2210"/>
      <c r="M1678" s="2214"/>
      <c r="T1678" s="2215"/>
      <c r="AT1678" s="2211" t="s">
        <v>3303</v>
      </c>
      <c r="AU1678" s="2211" t="s">
        <v>134</v>
      </c>
      <c r="AV1678" s="2209" t="s">
        <v>134</v>
      </c>
      <c r="AW1678" s="2209" t="s">
        <v>3171</v>
      </c>
      <c r="AX1678" s="2209" t="s">
        <v>3213</v>
      </c>
      <c r="AY1678" s="2211" t="s">
        <v>3285</v>
      </c>
    </row>
    <row r="1679" spans="2:65" s="2195" customFormat="1">
      <c r="B1679" s="2196"/>
      <c r="D1679" s="2197" t="s">
        <v>3303</v>
      </c>
      <c r="E1679" s="2198" t="s">
        <v>3146</v>
      </c>
      <c r="F1679" s="2199" t="s">
        <v>11443</v>
      </c>
      <c r="H1679" s="2198" t="s">
        <v>3146</v>
      </c>
      <c r="L1679" s="2196"/>
      <c r="M1679" s="2200"/>
      <c r="T1679" s="2201"/>
      <c r="AT1679" s="2198" t="s">
        <v>3303</v>
      </c>
      <c r="AU1679" s="2198" t="s">
        <v>134</v>
      </c>
      <c r="AV1679" s="2195" t="s">
        <v>133</v>
      </c>
      <c r="AW1679" s="2195" t="s">
        <v>3171</v>
      </c>
      <c r="AX1679" s="2195" t="s">
        <v>3213</v>
      </c>
      <c r="AY1679" s="2198" t="s">
        <v>3285</v>
      </c>
    </row>
    <row r="1680" spans="2:65" s="2209" customFormat="1">
      <c r="B1680" s="2210"/>
      <c r="D1680" s="2197" t="s">
        <v>3303</v>
      </c>
      <c r="E1680" s="2211" t="s">
        <v>3146</v>
      </c>
      <c r="F1680" s="2212" t="s">
        <v>11528</v>
      </c>
      <c r="H1680" s="2213">
        <v>2.87</v>
      </c>
      <c r="L1680" s="2210"/>
      <c r="M1680" s="2214"/>
      <c r="T1680" s="2215"/>
      <c r="AT1680" s="2211" t="s">
        <v>3303</v>
      </c>
      <c r="AU1680" s="2211" t="s">
        <v>134</v>
      </c>
      <c r="AV1680" s="2209" t="s">
        <v>134</v>
      </c>
      <c r="AW1680" s="2209" t="s">
        <v>3171</v>
      </c>
      <c r="AX1680" s="2209" t="s">
        <v>3213</v>
      </c>
      <c r="AY1680" s="2211" t="s">
        <v>3285</v>
      </c>
    </row>
    <row r="1681" spans="2:65" s="2195" customFormat="1">
      <c r="B1681" s="2196"/>
      <c r="D1681" s="2197" t="s">
        <v>3303</v>
      </c>
      <c r="E1681" s="2198" t="s">
        <v>3146</v>
      </c>
      <c r="F1681" s="2199" t="s">
        <v>11445</v>
      </c>
      <c r="H1681" s="2198" t="s">
        <v>3146</v>
      </c>
      <c r="L1681" s="2196"/>
      <c r="M1681" s="2200"/>
      <c r="T1681" s="2201"/>
      <c r="AT1681" s="2198" t="s">
        <v>3303</v>
      </c>
      <c r="AU1681" s="2198" t="s">
        <v>134</v>
      </c>
      <c r="AV1681" s="2195" t="s">
        <v>133</v>
      </c>
      <c r="AW1681" s="2195" t="s">
        <v>3171</v>
      </c>
      <c r="AX1681" s="2195" t="s">
        <v>3213</v>
      </c>
      <c r="AY1681" s="2198" t="s">
        <v>3285</v>
      </c>
    </row>
    <row r="1682" spans="2:65" s="2209" customFormat="1">
      <c r="B1682" s="2210"/>
      <c r="D1682" s="2197" t="s">
        <v>3303</v>
      </c>
      <c r="E1682" s="2211" t="s">
        <v>3146</v>
      </c>
      <c r="F1682" s="2212" t="s">
        <v>11529</v>
      </c>
      <c r="H1682" s="2213">
        <v>6.36</v>
      </c>
      <c r="L1682" s="2210"/>
      <c r="M1682" s="2214"/>
      <c r="T1682" s="2215"/>
      <c r="AT1682" s="2211" t="s">
        <v>3303</v>
      </c>
      <c r="AU1682" s="2211" t="s">
        <v>134</v>
      </c>
      <c r="AV1682" s="2209" t="s">
        <v>134</v>
      </c>
      <c r="AW1682" s="2209" t="s">
        <v>3171</v>
      </c>
      <c r="AX1682" s="2209" t="s">
        <v>3213</v>
      </c>
      <c r="AY1682" s="2211" t="s">
        <v>3285</v>
      </c>
    </row>
    <row r="1683" spans="2:65" s="2195" customFormat="1">
      <c r="B1683" s="2196"/>
      <c r="D1683" s="2197" t="s">
        <v>3303</v>
      </c>
      <c r="E1683" s="2198" t="s">
        <v>3146</v>
      </c>
      <c r="F1683" s="2199" t="s">
        <v>11447</v>
      </c>
      <c r="H1683" s="2198" t="s">
        <v>3146</v>
      </c>
      <c r="L1683" s="2196"/>
      <c r="M1683" s="2200"/>
      <c r="T1683" s="2201"/>
      <c r="AT1683" s="2198" t="s">
        <v>3303</v>
      </c>
      <c r="AU1683" s="2198" t="s">
        <v>134</v>
      </c>
      <c r="AV1683" s="2195" t="s">
        <v>133</v>
      </c>
      <c r="AW1683" s="2195" t="s">
        <v>3171</v>
      </c>
      <c r="AX1683" s="2195" t="s">
        <v>3213</v>
      </c>
      <c r="AY1683" s="2198" t="s">
        <v>3285</v>
      </c>
    </row>
    <row r="1684" spans="2:65" s="2209" customFormat="1">
      <c r="B1684" s="2210"/>
      <c r="D1684" s="2197" t="s">
        <v>3303</v>
      </c>
      <c r="E1684" s="2211" t="s">
        <v>3146</v>
      </c>
      <c r="F1684" s="2212" t="s">
        <v>11530</v>
      </c>
      <c r="H1684" s="2213">
        <v>3.6</v>
      </c>
      <c r="L1684" s="2210"/>
      <c r="M1684" s="2214"/>
      <c r="T1684" s="2215"/>
      <c r="AT1684" s="2211" t="s">
        <v>3303</v>
      </c>
      <c r="AU1684" s="2211" t="s">
        <v>134</v>
      </c>
      <c r="AV1684" s="2209" t="s">
        <v>134</v>
      </c>
      <c r="AW1684" s="2209" t="s">
        <v>3171</v>
      </c>
      <c r="AX1684" s="2209" t="s">
        <v>3213</v>
      </c>
      <c r="AY1684" s="2211" t="s">
        <v>3285</v>
      </c>
    </row>
    <row r="1685" spans="2:65" s="2195" customFormat="1">
      <c r="B1685" s="2196"/>
      <c r="D1685" s="2197" t="s">
        <v>3303</v>
      </c>
      <c r="E1685" s="2198" t="s">
        <v>3146</v>
      </c>
      <c r="F1685" s="2199" t="s">
        <v>11449</v>
      </c>
      <c r="H1685" s="2198" t="s">
        <v>3146</v>
      </c>
      <c r="L1685" s="2196"/>
      <c r="M1685" s="2200"/>
      <c r="T1685" s="2201"/>
      <c r="AT1685" s="2198" t="s">
        <v>3303</v>
      </c>
      <c r="AU1685" s="2198" t="s">
        <v>134</v>
      </c>
      <c r="AV1685" s="2195" t="s">
        <v>133</v>
      </c>
      <c r="AW1685" s="2195" t="s">
        <v>3171</v>
      </c>
      <c r="AX1685" s="2195" t="s">
        <v>3213</v>
      </c>
      <c r="AY1685" s="2198" t="s">
        <v>3285</v>
      </c>
    </row>
    <row r="1686" spans="2:65" s="2209" customFormat="1">
      <c r="B1686" s="2210"/>
      <c r="D1686" s="2197" t="s">
        <v>3303</v>
      </c>
      <c r="E1686" s="2211" t="s">
        <v>3146</v>
      </c>
      <c r="F1686" s="2212" t="s">
        <v>11531</v>
      </c>
      <c r="H1686" s="2213">
        <v>0.9</v>
      </c>
      <c r="L1686" s="2210"/>
      <c r="M1686" s="2214"/>
      <c r="T1686" s="2215"/>
      <c r="AT1686" s="2211" t="s">
        <v>3303</v>
      </c>
      <c r="AU1686" s="2211" t="s">
        <v>134</v>
      </c>
      <c r="AV1686" s="2209" t="s">
        <v>134</v>
      </c>
      <c r="AW1686" s="2209" t="s">
        <v>3171</v>
      </c>
      <c r="AX1686" s="2209" t="s">
        <v>3213</v>
      </c>
      <c r="AY1686" s="2211" t="s">
        <v>3285</v>
      </c>
    </row>
    <row r="1687" spans="2:65" s="2202" customFormat="1">
      <c r="B1687" s="2203"/>
      <c r="D1687" s="2197" t="s">
        <v>3303</v>
      </c>
      <c r="E1687" s="2204" t="s">
        <v>3146</v>
      </c>
      <c r="F1687" s="2205" t="s">
        <v>3305</v>
      </c>
      <c r="H1687" s="2206">
        <v>20.93</v>
      </c>
      <c r="L1687" s="2203"/>
      <c r="M1687" s="2207"/>
      <c r="T1687" s="2208"/>
      <c r="AT1687" s="2204" t="s">
        <v>3303</v>
      </c>
      <c r="AU1687" s="2204" t="s">
        <v>134</v>
      </c>
      <c r="AV1687" s="2202" t="s">
        <v>854</v>
      </c>
      <c r="AW1687" s="2202" t="s">
        <v>3171</v>
      </c>
      <c r="AX1687" s="2202" t="s">
        <v>3213</v>
      </c>
      <c r="AY1687" s="2204" t="s">
        <v>3285</v>
      </c>
    </row>
    <row r="1688" spans="2:65" s="2195" customFormat="1">
      <c r="B1688" s="2196"/>
      <c r="D1688" s="2197" t="s">
        <v>3303</v>
      </c>
      <c r="E1688" s="2198" t="s">
        <v>3146</v>
      </c>
      <c r="F1688" s="2199" t="s">
        <v>11451</v>
      </c>
      <c r="H1688" s="2198" t="s">
        <v>3146</v>
      </c>
      <c r="L1688" s="2196"/>
      <c r="M1688" s="2200"/>
      <c r="T1688" s="2201"/>
      <c r="AT1688" s="2198" t="s">
        <v>3303</v>
      </c>
      <c r="AU1688" s="2198" t="s">
        <v>134</v>
      </c>
      <c r="AV1688" s="2195" t="s">
        <v>133</v>
      </c>
      <c r="AW1688" s="2195" t="s">
        <v>3171</v>
      </c>
      <c r="AX1688" s="2195" t="s">
        <v>3213</v>
      </c>
      <c r="AY1688" s="2198" t="s">
        <v>3285</v>
      </c>
    </row>
    <row r="1689" spans="2:65" s="2195" customFormat="1">
      <c r="B1689" s="2196"/>
      <c r="D1689" s="2197" t="s">
        <v>3303</v>
      </c>
      <c r="E1689" s="2198" t="s">
        <v>3146</v>
      </c>
      <c r="F1689" s="2199" t="s">
        <v>11452</v>
      </c>
      <c r="H1689" s="2198" t="s">
        <v>3146</v>
      </c>
      <c r="L1689" s="2196"/>
      <c r="M1689" s="2200"/>
      <c r="T1689" s="2201"/>
      <c r="AT1689" s="2198" t="s">
        <v>3303</v>
      </c>
      <c r="AU1689" s="2198" t="s">
        <v>134</v>
      </c>
      <c r="AV1689" s="2195" t="s">
        <v>133</v>
      </c>
      <c r="AW1689" s="2195" t="s">
        <v>3171</v>
      </c>
      <c r="AX1689" s="2195" t="s">
        <v>3213</v>
      </c>
      <c r="AY1689" s="2198" t="s">
        <v>3285</v>
      </c>
    </row>
    <row r="1690" spans="2:65" s="2209" customFormat="1">
      <c r="B1690" s="2210"/>
      <c r="D1690" s="2197" t="s">
        <v>3303</v>
      </c>
      <c r="E1690" s="2211" t="s">
        <v>3146</v>
      </c>
      <c r="F1690" s="2212" t="s">
        <v>11532</v>
      </c>
      <c r="H1690" s="2213">
        <v>0.76800000000000002</v>
      </c>
      <c r="L1690" s="2210"/>
      <c r="M1690" s="2214"/>
      <c r="T1690" s="2215"/>
      <c r="AT1690" s="2211" t="s">
        <v>3303</v>
      </c>
      <c r="AU1690" s="2211" t="s">
        <v>134</v>
      </c>
      <c r="AV1690" s="2209" t="s">
        <v>134</v>
      </c>
      <c r="AW1690" s="2209" t="s">
        <v>3171</v>
      </c>
      <c r="AX1690" s="2209" t="s">
        <v>3213</v>
      </c>
      <c r="AY1690" s="2211" t="s">
        <v>3285</v>
      </c>
    </row>
    <row r="1691" spans="2:65" s="2202" customFormat="1">
      <c r="B1691" s="2203"/>
      <c r="D1691" s="2197" t="s">
        <v>3303</v>
      </c>
      <c r="E1691" s="2204" t="s">
        <v>3146</v>
      </c>
      <c r="F1691" s="2205" t="s">
        <v>3305</v>
      </c>
      <c r="H1691" s="2206">
        <v>0.76800000000000002</v>
      </c>
      <c r="L1691" s="2203"/>
      <c r="M1691" s="2207"/>
      <c r="T1691" s="2208"/>
      <c r="AT1691" s="2204" t="s">
        <v>3303</v>
      </c>
      <c r="AU1691" s="2204" t="s">
        <v>134</v>
      </c>
      <c r="AV1691" s="2202" t="s">
        <v>854</v>
      </c>
      <c r="AW1691" s="2202" t="s">
        <v>3171</v>
      </c>
      <c r="AX1691" s="2202" t="s">
        <v>3213</v>
      </c>
      <c r="AY1691" s="2204" t="s">
        <v>3285</v>
      </c>
    </row>
    <row r="1692" spans="2:65" s="2216" customFormat="1">
      <c r="B1692" s="2217"/>
      <c r="D1692" s="2197" t="s">
        <v>3303</v>
      </c>
      <c r="E1692" s="2218" t="s">
        <v>3146</v>
      </c>
      <c r="F1692" s="2219" t="s">
        <v>3306</v>
      </c>
      <c r="H1692" s="2220">
        <v>21.698</v>
      </c>
      <c r="L1692" s="2217"/>
      <c r="M1692" s="2221"/>
      <c r="T1692" s="2222"/>
      <c r="AT1692" s="2218" t="s">
        <v>3303</v>
      </c>
      <c r="AU1692" s="2218" t="s">
        <v>134</v>
      </c>
      <c r="AV1692" s="2216" t="s">
        <v>856</v>
      </c>
      <c r="AW1692" s="2216" t="s">
        <v>3171</v>
      </c>
      <c r="AX1692" s="2216" t="s">
        <v>133</v>
      </c>
      <c r="AY1692" s="2218" t="s">
        <v>3285</v>
      </c>
    </row>
    <row r="1693" spans="2:65" s="2178" customFormat="1" ht="22.9" customHeight="1">
      <c r="B1693" s="2179"/>
      <c r="D1693" s="2180" t="s">
        <v>3212</v>
      </c>
      <c r="E1693" s="2188" t="s">
        <v>4202</v>
      </c>
      <c r="F1693" s="2188" t="s">
        <v>4203</v>
      </c>
      <c r="J1693" s="2189">
        <f>BK1693</f>
        <v>0</v>
      </c>
      <c r="L1693" s="2179"/>
      <c r="M1693" s="2183"/>
      <c r="P1693" s="2184">
        <f>SUM(P1694:P1858)</f>
        <v>257.911272</v>
      </c>
      <c r="R1693" s="2184">
        <f>SUM(R1694:R1858)</f>
        <v>0.5693990000000001</v>
      </c>
      <c r="T1693" s="2185">
        <f>SUM(T1694:T1858)</f>
        <v>0</v>
      </c>
      <c r="AR1693" s="2180" t="s">
        <v>134</v>
      </c>
      <c r="AT1693" s="2186" t="s">
        <v>3212</v>
      </c>
      <c r="AU1693" s="2186" t="s">
        <v>133</v>
      </c>
      <c r="AY1693" s="2180" t="s">
        <v>3285</v>
      </c>
      <c r="BK1693" s="2187">
        <f>SUM(BK1694:BK1858)</f>
        <v>0</v>
      </c>
    </row>
    <row r="1694" spans="2:65" s="2070" customFormat="1" ht="16.5" customHeight="1">
      <c r="B1694" s="2164"/>
      <c r="C1694" s="4608" t="s">
        <v>11541</v>
      </c>
      <c r="D1694" s="4608" t="s">
        <v>3286</v>
      </c>
      <c r="E1694" s="4609" t="s">
        <v>5725</v>
      </c>
      <c r="F1694" s="4610" t="s">
        <v>5726</v>
      </c>
      <c r="G1694" s="4611" t="s">
        <v>611</v>
      </c>
      <c r="H1694" s="4612">
        <v>386.1</v>
      </c>
      <c r="I1694" s="4613"/>
      <c r="J1694" s="4613">
        <f>ROUND(I1694*H1694,2)</f>
        <v>0</v>
      </c>
      <c r="K1694" s="4610" t="s">
        <v>3146</v>
      </c>
      <c r="L1694" s="2071"/>
      <c r="M1694" s="2190" t="s">
        <v>3146</v>
      </c>
      <c r="N1694" s="2163" t="s">
        <v>3181</v>
      </c>
      <c r="O1694" s="2191">
        <v>0</v>
      </c>
      <c r="P1694" s="2191">
        <f>O1694*H1694</f>
        <v>0</v>
      </c>
      <c r="Q1694" s="2191">
        <v>0</v>
      </c>
      <c r="R1694" s="2191">
        <f>Q1694*H1694</f>
        <v>0</v>
      </c>
      <c r="S1694" s="2191">
        <v>0</v>
      </c>
      <c r="T1694" s="2192">
        <f>S1694*H1694</f>
        <v>0</v>
      </c>
      <c r="AR1694" s="2193" t="s">
        <v>2894</v>
      </c>
      <c r="AT1694" s="2193" t="s">
        <v>3286</v>
      </c>
      <c r="AU1694" s="2193" t="s">
        <v>134</v>
      </c>
      <c r="AY1694" s="2056" t="s">
        <v>3285</v>
      </c>
      <c r="BE1694" s="2194">
        <f>IF(N1694="základní",J1694,0)</f>
        <v>0</v>
      </c>
      <c r="BF1694" s="2194">
        <f>IF(N1694="snížená",J1694,0)</f>
        <v>0</v>
      </c>
      <c r="BG1694" s="2194">
        <f>IF(N1694="zákl. přenesená",J1694,0)</f>
        <v>0</v>
      </c>
      <c r="BH1694" s="2194">
        <f>IF(N1694="sníž. přenesená",J1694,0)</f>
        <v>0</v>
      </c>
      <c r="BI1694" s="2194">
        <f>IF(N1694="nulová",J1694,0)</f>
        <v>0</v>
      </c>
      <c r="BJ1694" s="2056" t="s">
        <v>134</v>
      </c>
      <c r="BK1694" s="2194">
        <f>ROUND(I1694*H1694,2)</f>
        <v>0</v>
      </c>
      <c r="BL1694" s="2056" t="s">
        <v>2894</v>
      </c>
      <c r="BM1694" s="2193" t="s">
        <v>5727</v>
      </c>
    </row>
    <row r="1695" spans="2:65" s="2195" customFormat="1">
      <c r="B1695" s="2196"/>
      <c r="D1695" s="2197" t="s">
        <v>3303</v>
      </c>
      <c r="E1695" s="2198" t="s">
        <v>3146</v>
      </c>
      <c r="F1695" s="2199" t="s">
        <v>5419</v>
      </c>
      <c r="H1695" s="2198" t="s">
        <v>3146</v>
      </c>
      <c r="L1695" s="2196"/>
      <c r="M1695" s="2200"/>
      <c r="T1695" s="2201"/>
      <c r="AT1695" s="2198" t="s">
        <v>3303</v>
      </c>
      <c r="AU1695" s="2198" t="s">
        <v>134</v>
      </c>
      <c r="AV1695" s="2195" t="s">
        <v>133</v>
      </c>
      <c r="AW1695" s="2195" t="s">
        <v>3171</v>
      </c>
      <c r="AX1695" s="2195" t="s">
        <v>3213</v>
      </c>
      <c r="AY1695" s="2198" t="s">
        <v>3285</v>
      </c>
    </row>
    <row r="1696" spans="2:65" s="2209" customFormat="1">
      <c r="B1696" s="2210"/>
      <c r="D1696" s="2197" t="s">
        <v>3303</v>
      </c>
      <c r="E1696" s="2211" t="s">
        <v>3146</v>
      </c>
      <c r="F1696" s="2212" t="s">
        <v>5728</v>
      </c>
      <c r="H1696" s="2213">
        <v>99</v>
      </c>
      <c r="L1696" s="2210"/>
      <c r="M1696" s="2214"/>
      <c r="T1696" s="2215"/>
      <c r="AT1696" s="2211" t="s">
        <v>3303</v>
      </c>
      <c r="AU1696" s="2211" t="s">
        <v>134</v>
      </c>
      <c r="AV1696" s="2209" t="s">
        <v>134</v>
      </c>
      <c r="AW1696" s="2209" t="s">
        <v>3171</v>
      </c>
      <c r="AX1696" s="2209" t="s">
        <v>3213</v>
      </c>
      <c r="AY1696" s="2211" t="s">
        <v>3285</v>
      </c>
    </row>
    <row r="1697" spans="2:51" s="2195" customFormat="1">
      <c r="B1697" s="2196"/>
      <c r="D1697" s="2197" t="s">
        <v>3303</v>
      </c>
      <c r="E1697" s="2198" t="s">
        <v>3146</v>
      </c>
      <c r="F1697" s="2199" t="s">
        <v>5729</v>
      </c>
      <c r="H1697" s="2198" t="s">
        <v>3146</v>
      </c>
      <c r="L1697" s="2196"/>
      <c r="M1697" s="2200"/>
      <c r="T1697" s="2201"/>
      <c r="AT1697" s="2198" t="s">
        <v>3303</v>
      </c>
      <c r="AU1697" s="2198" t="s">
        <v>134</v>
      </c>
      <c r="AV1697" s="2195" t="s">
        <v>133</v>
      </c>
      <c r="AW1697" s="2195" t="s">
        <v>3171</v>
      </c>
      <c r="AX1697" s="2195" t="s">
        <v>3213</v>
      </c>
      <c r="AY1697" s="2198" t="s">
        <v>3285</v>
      </c>
    </row>
    <row r="1698" spans="2:51" s="2209" customFormat="1">
      <c r="B1698" s="2210"/>
      <c r="D1698" s="2197" t="s">
        <v>3303</v>
      </c>
      <c r="E1698" s="2211" t="s">
        <v>3146</v>
      </c>
      <c r="F1698" s="2212" t="s">
        <v>5730</v>
      </c>
      <c r="H1698" s="2213">
        <v>2.75</v>
      </c>
      <c r="L1698" s="2210"/>
      <c r="M1698" s="2214"/>
      <c r="T1698" s="2215"/>
      <c r="AT1698" s="2211" t="s">
        <v>3303</v>
      </c>
      <c r="AU1698" s="2211" t="s">
        <v>134</v>
      </c>
      <c r="AV1698" s="2209" t="s">
        <v>134</v>
      </c>
      <c r="AW1698" s="2209" t="s">
        <v>3171</v>
      </c>
      <c r="AX1698" s="2209" t="s">
        <v>3213</v>
      </c>
      <c r="AY1698" s="2211" t="s">
        <v>3285</v>
      </c>
    </row>
    <row r="1699" spans="2:51" s="2195" customFormat="1">
      <c r="B1699" s="2196"/>
      <c r="D1699" s="2197" t="s">
        <v>3303</v>
      </c>
      <c r="E1699" s="2198" t="s">
        <v>3146</v>
      </c>
      <c r="F1699" s="2199" t="s">
        <v>5421</v>
      </c>
      <c r="H1699" s="2198" t="s">
        <v>3146</v>
      </c>
      <c r="L1699" s="2196"/>
      <c r="M1699" s="2200"/>
      <c r="T1699" s="2201"/>
      <c r="AT1699" s="2198" t="s">
        <v>3303</v>
      </c>
      <c r="AU1699" s="2198" t="s">
        <v>134</v>
      </c>
      <c r="AV1699" s="2195" t="s">
        <v>133</v>
      </c>
      <c r="AW1699" s="2195" t="s">
        <v>3171</v>
      </c>
      <c r="AX1699" s="2195" t="s">
        <v>3213</v>
      </c>
      <c r="AY1699" s="2198" t="s">
        <v>3285</v>
      </c>
    </row>
    <row r="1700" spans="2:51" s="2209" customFormat="1">
      <c r="B1700" s="2210"/>
      <c r="D1700" s="2197" t="s">
        <v>3303</v>
      </c>
      <c r="E1700" s="2211" t="s">
        <v>3146</v>
      </c>
      <c r="F1700" s="2212" t="s">
        <v>5731</v>
      </c>
      <c r="H1700" s="2213">
        <v>5.5</v>
      </c>
      <c r="L1700" s="2210"/>
      <c r="M1700" s="2214"/>
      <c r="T1700" s="2215"/>
      <c r="AT1700" s="2211" t="s">
        <v>3303</v>
      </c>
      <c r="AU1700" s="2211" t="s">
        <v>134</v>
      </c>
      <c r="AV1700" s="2209" t="s">
        <v>134</v>
      </c>
      <c r="AW1700" s="2209" t="s">
        <v>3171</v>
      </c>
      <c r="AX1700" s="2209" t="s">
        <v>3213</v>
      </c>
      <c r="AY1700" s="2211" t="s">
        <v>3285</v>
      </c>
    </row>
    <row r="1701" spans="2:51" s="2195" customFormat="1">
      <c r="B1701" s="2196"/>
      <c r="D1701" s="2197" t="s">
        <v>3303</v>
      </c>
      <c r="E1701" s="2198" t="s">
        <v>3146</v>
      </c>
      <c r="F1701" s="2199" t="s">
        <v>5423</v>
      </c>
      <c r="H1701" s="2198" t="s">
        <v>3146</v>
      </c>
      <c r="L1701" s="2196"/>
      <c r="M1701" s="2200"/>
      <c r="T1701" s="2201"/>
      <c r="AT1701" s="2198" t="s">
        <v>3303</v>
      </c>
      <c r="AU1701" s="2198" t="s">
        <v>134</v>
      </c>
      <c r="AV1701" s="2195" t="s">
        <v>133</v>
      </c>
      <c r="AW1701" s="2195" t="s">
        <v>3171</v>
      </c>
      <c r="AX1701" s="2195" t="s">
        <v>3213</v>
      </c>
      <c r="AY1701" s="2198" t="s">
        <v>3285</v>
      </c>
    </row>
    <row r="1702" spans="2:51" s="2209" customFormat="1">
      <c r="B1702" s="2210"/>
      <c r="D1702" s="2197" t="s">
        <v>3303</v>
      </c>
      <c r="E1702" s="2211" t="s">
        <v>3146</v>
      </c>
      <c r="F1702" s="2212" t="s">
        <v>5732</v>
      </c>
      <c r="H1702" s="2213">
        <v>82.5</v>
      </c>
      <c r="L1702" s="2210"/>
      <c r="M1702" s="2214"/>
      <c r="T1702" s="2215"/>
      <c r="AT1702" s="2211" t="s">
        <v>3303</v>
      </c>
      <c r="AU1702" s="2211" t="s">
        <v>134</v>
      </c>
      <c r="AV1702" s="2209" t="s">
        <v>134</v>
      </c>
      <c r="AW1702" s="2209" t="s">
        <v>3171</v>
      </c>
      <c r="AX1702" s="2209" t="s">
        <v>3213</v>
      </c>
      <c r="AY1702" s="2211" t="s">
        <v>3285</v>
      </c>
    </row>
    <row r="1703" spans="2:51" s="2195" customFormat="1">
      <c r="B1703" s="2196"/>
      <c r="D1703" s="2197" t="s">
        <v>3303</v>
      </c>
      <c r="E1703" s="2198" t="s">
        <v>3146</v>
      </c>
      <c r="F1703" s="2199" t="s">
        <v>5412</v>
      </c>
      <c r="H1703" s="2198" t="s">
        <v>3146</v>
      </c>
      <c r="L1703" s="2196"/>
      <c r="M1703" s="2200"/>
      <c r="T1703" s="2201"/>
      <c r="AT1703" s="2198" t="s">
        <v>3303</v>
      </c>
      <c r="AU1703" s="2198" t="s">
        <v>134</v>
      </c>
      <c r="AV1703" s="2195" t="s">
        <v>133</v>
      </c>
      <c r="AW1703" s="2195" t="s">
        <v>3171</v>
      </c>
      <c r="AX1703" s="2195" t="s">
        <v>3213</v>
      </c>
      <c r="AY1703" s="2198" t="s">
        <v>3285</v>
      </c>
    </row>
    <row r="1704" spans="2:51" s="2209" customFormat="1">
      <c r="B1704" s="2210"/>
      <c r="D1704" s="2197" t="s">
        <v>3303</v>
      </c>
      <c r="E1704" s="2211" t="s">
        <v>3146</v>
      </c>
      <c r="F1704" s="2212" t="s">
        <v>5730</v>
      </c>
      <c r="H1704" s="2213">
        <v>2.75</v>
      </c>
      <c r="L1704" s="2210"/>
      <c r="M1704" s="2214"/>
      <c r="T1704" s="2215"/>
      <c r="AT1704" s="2211" t="s">
        <v>3303</v>
      </c>
      <c r="AU1704" s="2211" t="s">
        <v>134</v>
      </c>
      <c r="AV1704" s="2209" t="s">
        <v>134</v>
      </c>
      <c r="AW1704" s="2209" t="s">
        <v>3171</v>
      </c>
      <c r="AX1704" s="2209" t="s">
        <v>3213</v>
      </c>
      <c r="AY1704" s="2211" t="s">
        <v>3285</v>
      </c>
    </row>
    <row r="1705" spans="2:51" s="2195" customFormat="1">
      <c r="B1705" s="2196"/>
      <c r="D1705" s="2197" t="s">
        <v>3303</v>
      </c>
      <c r="E1705" s="2198" t="s">
        <v>3146</v>
      </c>
      <c r="F1705" s="2199" t="s">
        <v>5425</v>
      </c>
      <c r="H1705" s="2198" t="s">
        <v>3146</v>
      </c>
      <c r="L1705" s="2196"/>
      <c r="M1705" s="2200"/>
      <c r="T1705" s="2201"/>
      <c r="AT1705" s="2198" t="s">
        <v>3303</v>
      </c>
      <c r="AU1705" s="2198" t="s">
        <v>134</v>
      </c>
      <c r="AV1705" s="2195" t="s">
        <v>133</v>
      </c>
      <c r="AW1705" s="2195" t="s">
        <v>3171</v>
      </c>
      <c r="AX1705" s="2195" t="s">
        <v>3213</v>
      </c>
      <c r="AY1705" s="2198" t="s">
        <v>3285</v>
      </c>
    </row>
    <row r="1706" spans="2:51" s="2209" customFormat="1">
      <c r="B1706" s="2210"/>
      <c r="D1706" s="2197" t="s">
        <v>3303</v>
      </c>
      <c r="E1706" s="2211" t="s">
        <v>3146</v>
      </c>
      <c r="F1706" s="2212" t="s">
        <v>5733</v>
      </c>
      <c r="H1706" s="2213">
        <v>16.5</v>
      </c>
      <c r="L1706" s="2210"/>
      <c r="M1706" s="2214"/>
      <c r="T1706" s="2215"/>
      <c r="AT1706" s="2211" t="s">
        <v>3303</v>
      </c>
      <c r="AU1706" s="2211" t="s">
        <v>134</v>
      </c>
      <c r="AV1706" s="2209" t="s">
        <v>134</v>
      </c>
      <c r="AW1706" s="2209" t="s">
        <v>3171</v>
      </c>
      <c r="AX1706" s="2209" t="s">
        <v>3213</v>
      </c>
      <c r="AY1706" s="2211" t="s">
        <v>3285</v>
      </c>
    </row>
    <row r="1707" spans="2:51" s="2195" customFormat="1">
      <c r="B1707" s="2196"/>
      <c r="D1707" s="2197" t="s">
        <v>3303</v>
      </c>
      <c r="E1707" s="2198" t="s">
        <v>3146</v>
      </c>
      <c r="F1707" s="2199" t="s">
        <v>5427</v>
      </c>
      <c r="H1707" s="2198" t="s">
        <v>3146</v>
      </c>
      <c r="L1707" s="2196"/>
      <c r="M1707" s="2200"/>
      <c r="T1707" s="2201"/>
      <c r="AT1707" s="2198" t="s">
        <v>3303</v>
      </c>
      <c r="AU1707" s="2198" t="s">
        <v>134</v>
      </c>
      <c r="AV1707" s="2195" t="s">
        <v>133</v>
      </c>
      <c r="AW1707" s="2195" t="s">
        <v>3171</v>
      </c>
      <c r="AX1707" s="2195" t="s">
        <v>3213</v>
      </c>
      <c r="AY1707" s="2198" t="s">
        <v>3285</v>
      </c>
    </row>
    <row r="1708" spans="2:51" s="2209" customFormat="1">
      <c r="B1708" s="2210"/>
      <c r="D1708" s="2197" t="s">
        <v>3303</v>
      </c>
      <c r="E1708" s="2211" t="s">
        <v>3146</v>
      </c>
      <c r="F1708" s="2212" t="s">
        <v>5731</v>
      </c>
      <c r="H1708" s="2213">
        <v>5.5</v>
      </c>
      <c r="L1708" s="2210"/>
      <c r="M1708" s="2214"/>
      <c r="T1708" s="2215"/>
      <c r="AT1708" s="2211" t="s">
        <v>3303</v>
      </c>
      <c r="AU1708" s="2211" t="s">
        <v>134</v>
      </c>
      <c r="AV1708" s="2209" t="s">
        <v>134</v>
      </c>
      <c r="AW1708" s="2209" t="s">
        <v>3171</v>
      </c>
      <c r="AX1708" s="2209" t="s">
        <v>3213</v>
      </c>
      <c r="AY1708" s="2211" t="s">
        <v>3285</v>
      </c>
    </row>
    <row r="1709" spans="2:51" s="2195" customFormat="1">
      <c r="B1709" s="2196"/>
      <c r="D1709" s="2197" t="s">
        <v>3303</v>
      </c>
      <c r="E1709" s="2198" t="s">
        <v>3146</v>
      </c>
      <c r="F1709" s="2199" t="s">
        <v>5414</v>
      </c>
      <c r="H1709" s="2198" t="s">
        <v>3146</v>
      </c>
      <c r="L1709" s="2196"/>
      <c r="M1709" s="2200"/>
      <c r="T1709" s="2201"/>
      <c r="AT1709" s="2198" t="s">
        <v>3303</v>
      </c>
      <c r="AU1709" s="2198" t="s">
        <v>134</v>
      </c>
      <c r="AV1709" s="2195" t="s">
        <v>133</v>
      </c>
      <c r="AW1709" s="2195" t="s">
        <v>3171</v>
      </c>
      <c r="AX1709" s="2195" t="s">
        <v>3213</v>
      </c>
      <c r="AY1709" s="2198" t="s">
        <v>3285</v>
      </c>
    </row>
    <row r="1710" spans="2:51" s="2209" customFormat="1">
      <c r="B1710" s="2210"/>
      <c r="D1710" s="2197" t="s">
        <v>3303</v>
      </c>
      <c r="E1710" s="2211" t="s">
        <v>3146</v>
      </c>
      <c r="F1710" s="2212" t="s">
        <v>5415</v>
      </c>
      <c r="H1710" s="2213">
        <v>5.5</v>
      </c>
      <c r="L1710" s="2210"/>
      <c r="M1710" s="2214"/>
      <c r="T1710" s="2215"/>
      <c r="AT1710" s="2211" t="s">
        <v>3303</v>
      </c>
      <c r="AU1710" s="2211" t="s">
        <v>134</v>
      </c>
      <c r="AV1710" s="2209" t="s">
        <v>134</v>
      </c>
      <c r="AW1710" s="2209" t="s">
        <v>3171</v>
      </c>
      <c r="AX1710" s="2209" t="s">
        <v>3213</v>
      </c>
      <c r="AY1710" s="2211" t="s">
        <v>3285</v>
      </c>
    </row>
    <row r="1711" spans="2:51" s="2195" customFormat="1">
      <c r="B1711" s="2196"/>
      <c r="D1711" s="2197" t="s">
        <v>3303</v>
      </c>
      <c r="E1711" s="2198" t="s">
        <v>3146</v>
      </c>
      <c r="F1711" s="2199" t="s">
        <v>5444</v>
      </c>
      <c r="H1711" s="2198" t="s">
        <v>3146</v>
      </c>
      <c r="L1711" s="2196"/>
      <c r="M1711" s="2200"/>
      <c r="T1711" s="2201"/>
      <c r="AT1711" s="2198" t="s">
        <v>3303</v>
      </c>
      <c r="AU1711" s="2198" t="s">
        <v>134</v>
      </c>
      <c r="AV1711" s="2195" t="s">
        <v>133</v>
      </c>
      <c r="AW1711" s="2195" t="s">
        <v>3171</v>
      </c>
      <c r="AX1711" s="2195" t="s">
        <v>3213</v>
      </c>
      <c r="AY1711" s="2198" t="s">
        <v>3285</v>
      </c>
    </row>
    <row r="1712" spans="2:51" s="2209" customFormat="1">
      <c r="B1712" s="2210"/>
      <c r="D1712" s="2197" t="s">
        <v>3303</v>
      </c>
      <c r="E1712" s="2211" t="s">
        <v>3146</v>
      </c>
      <c r="F1712" s="2212" t="s">
        <v>5734</v>
      </c>
      <c r="H1712" s="2213">
        <v>16.5</v>
      </c>
      <c r="L1712" s="2210"/>
      <c r="M1712" s="2214"/>
      <c r="T1712" s="2215"/>
      <c r="AT1712" s="2211" t="s">
        <v>3303</v>
      </c>
      <c r="AU1712" s="2211" t="s">
        <v>134</v>
      </c>
      <c r="AV1712" s="2209" t="s">
        <v>134</v>
      </c>
      <c r="AW1712" s="2209" t="s">
        <v>3171</v>
      </c>
      <c r="AX1712" s="2209" t="s">
        <v>3213</v>
      </c>
      <c r="AY1712" s="2211" t="s">
        <v>3285</v>
      </c>
    </row>
    <row r="1713" spans="2:51" s="2195" customFormat="1">
      <c r="B1713" s="2196"/>
      <c r="D1713" s="2197" t="s">
        <v>3303</v>
      </c>
      <c r="E1713" s="2198" t="s">
        <v>3146</v>
      </c>
      <c r="F1713" s="2199" t="s">
        <v>5429</v>
      </c>
      <c r="H1713" s="2198" t="s">
        <v>3146</v>
      </c>
      <c r="L1713" s="2196"/>
      <c r="M1713" s="2200"/>
      <c r="T1713" s="2201"/>
      <c r="AT1713" s="2198" t="s">
        <v>3303</v>
      </c>
      <c r="AU1713" s="2198" t="s">
        <v>134</v>
      </c>
      <c r="AV1713" s="2195" t="s">
        <v>133</v>
      </c>
      <c r="AW1713" s="2195" t="s">
        <v>3171</v>
      </c>
      <c r="AX1713" s="2195" t="s">
        <v>3213</v>
      </c>
      <c r="AY1713" s="2198" t="s">
        <v>3285</v>
      </c>
    </row>
    <row r="1714" spans="2:51" s="2209" customFormat="1">
      <c r="B1714" s="2210"/>
      <c r="D1714" s="2197" t="s">
        <v>3303</v>
      </c>
      <c r="E1714" s="2211" t="s">
        <v>3146</v>
      </c>
      <c r="F1714" s="2212" t="s">
        <v>5731</v>
      </c>
      <c r="H1714" s="2213">
        <v>5.5</v>
      </c>
      <c r="L1714" s="2210"/>
      <c r="M1714" s="2214"/>
      <c r="T1714" s="2215"/>
      <c r="AT1714" s="2211" t="s">
        <v>3303</v>
      </c>
      <c r="AU1714" s="2211" t="s">
        <v>134</v>
      </c>
      <c r="AV1714" s="2209" t="s">
        <v>134</v>
      </c>
      <c r="AW1714" s="2209" t="s">
        <v>3171</v>
      </c>
      <c r="AX1714" s="2209" t="s">
        <v>3213</v>
      </c>
      <c r="AY1714" s="2211" t="s">
        <v>3285</v>
      </c>
    </row>
    <row r="1715" spans="2:51" s="2195" customFormat="1">
      <c r="B1715" s="2196"/>
      <c r="D1715" s="2197" t="s">
        <v>3303</v>
      </c>
      <c r="E1715" s="2198" t="s">
        <v>3146</v>
      </c>
      <c r="F1715" s="2199" t="s">
        <v>5430</v>
      </c>
      <c r="H1715" s="2198" t="s">
        <v>3146</v>
      </c>
      <c r="L1715" s="2196"/>
      <c r="M1715" s="2200"/>
      <c r="T1715" s="2201"/>
      <c r="AT1715" s="2198" t="s">
        <v>3303</v>
      </c>
      <c r="AU1715" s="2198" t="s">
        <v>134</v>
      </c>
      <c r="AV1715" s="2195" t="s">
        <v>133</v>
      </c>
      <c r="AW1715" s="2195" t="s">
        <v>3171</v>
      </c>
      <c r="AX1715" s="2195" t="s">
        <v>3213</v>
      </c>
      <c r="AY1715" s="2198" t="s">
        <v>3285</v>
      </c>
    </row>
    <row r="1716" spans="2:51" s="2209" customFormat="1">
      <c r="B1716" s="2210"/>
      <c r="D1716" s="2197" t="s">
        <v>3303</v>
      </c>
      <c r="E1716" s="2211" t="s">
        <v>3146</v>
      </c>
      <c r="F1716" s="2212" t="s">
        <v>5735</v>
      </c>
      <c r="H1716" s="2213">
        <v>88</v>
      </c>
      <c r="L1716" s="2210"/>
      <c r="M1716" s="2214"/>
      <c r="T1716" s="2215"/>
      <c r="AT1716" s="2211" t="s">
        <v>3303</v>
      </c>
      <c r="AU1716" s="2211" t="s">
        <v>134</v>
      </c>
      <c r="AV1716" s="2209" t="s">
        <v>134</v>
      </c>
      <c r="AW1716" s="2209" t="s">
        <v>3171</v>
      </c>
      <c r="AX1716" s="2209" t="s">
        <v>3213</v>
      </c>
      <c r="AY1716" s="2211" t="s">
        <v>3285</v>
      </c>
    </row>
    <row r="1717" spans="2:51" s="2195" customFormat="1">
      <c r="B1717" s="2196"/>
      <c r="D1717" s="2197" t="s">
        <v>3303</v>
      </c>
      <c r="E1717" s="2198" t="s">
        <v>3146</v>
      </c>
      <c r="F1717" s="2199" t="s">
        <v>5432</v>
      </c>
      <c r="H1717" s="2198" t="s">
        <v>3146</v>
      </c>
      <c r="L1717" s="2196"/>
      <c r="M1717" s="2200"/>
      <c r="T1717" s="2201"/>
      <c r="AT1717" s="2198" t="s">
        <v>3303</v>
      </c>
      <c r="AU1717" s="2198" t="s">
        <v>134</v>
      </c>
      <c r="AV1717" s="2195" t="s">
        <v>133</v>
      </c>
      <c r="AW1717" s="2195" t="s">
        <v>3171</v>
      </c>
      <c r="AX1717" s="2195" t="s">
        <v>3213</v>
      </c>
      <c r="AY1717" s="2198" t="s">
        <v>3285</v>
      </c>
    </row>
    <row r="1718" spans="2:51" s="2209" customFormat="1">
      <c r="B1718" s="2210"/>
      <c r="D1718" s="2197" t="s">
        <v>3303</v>
      </c>
      <c r="E1718" s="2211" t="s">
        <v>3146</v>
      </c>
      <c r="F1718" s="2212" t="s">
        <v>5731</v>
      </c>
      <c r="H1718" s="2213">
        <v>5.5</v>
      </c>
      <c r="L1718" s="2210"/>
      <c r="M1718" s="2214"/>
      <c r="T1718" s="2215"/>
      <c r="AT1718" s="2211" t="s">
        <v>3303</v>
      </c>
      <c r="AU1718" s="2211" t="s">
        <v>134</v>
      </c>
      <c r="AV1718" s="2209" t="s">
        <v>134</v>
      </c>
      <c r="AW1718" s="2209" t="s">
        <v>3171</v>
      </c>
      <c r="AX1718" s="2209" t="s">
        <v>3213</v>
      </c>
      <c r="AY1718" s="2211" t="s">
        <v>3285</v>
      </c>
    </row>
    <row r="1719" spans="2:51" s="2195" customFormat="1">
      <c r="B1719" s="2196"/>
      <c r="D1719" s="2197" t="s">
        <v>3303</v>
      </c>
      <c r="E1719" s="2198" t="s">
        <v>3146</v>
      </c>
      <c r="F1719" s="2199" t="s">
        <v>5416</v>
      </c>
      <c r="H1719" s="2198" t="s">
        <v>3146</v>
      </c>
      <c r="L1719" s="2196"/>
      <c r="M1719" s="2200"/>
      <c r="T1719" s="2201"/>
      <c r="AT1719" s="2198" t="s">
        <v>3303</v>
      </c>
      <c r="AU1719" s="2198" t="s">
        <v>134</v>
      </c>
      <c r="AV1719" s="2195" t="s">
        <v>133</v>
      </c>
      <c r="AW1719" s="2195" t="s">
        <v>3171</v>
      </c>
      <c r="AX1719" s="2195" t="s">
        <v>3213</v>
      </c>
      <c r="AY1719" s="2198" t="s">
        <v>3285</v>
      </c>
    </row>
    <row r="1720" spans="2:51" s="2209" customFormat="1">
      <c r="B1720" s="2210"/>
      <c r="D1720" s="2197" t="s">
        <v>3303</v>
      </c>
      <c r="E1720" s="2211" t="s">
        <v>3146</v>
      </c>
      <c r="F1720" s="2212" t="s">
        <v>5736</v>
      </c>
      <c r="H1720" s="2213">
        <v>6.6</v>
      </c>
      <c r="L1720" s="2210"/>
      <c r="M1720" s="2214"/>
      <c r="T1720" s="2215"/>
      <c r="AT1720" s="2211" t="s">
        <v>3303</v>
      </c>
      <c r="AU1720" s="2211" t="s">
        <v>134</v>
      </c>
      <c r="AV1720" s="2209" t="s">
        <v>134</v>
      </c>
      <c r="AW1720" s="2209" t="s">
        <v>3171</v>
      </c>
      <c r="AX1720" s="2209" t="s">
        <v>3213</v>
      </c>
      <c r="AY1720" s="2211" t="s">
        <v>3285</v>
      </c>
    </row>
    <row r="1721" spans="2:51" s="2195" customFormat="1">
      <c r="B1721" s="2196"/>
      <c r="D1721" s="2197" t="s">
        <v>3303</v>
      </c>
      <c r="E1721" s="2198" t="s">
        <v>3146</v>
      </c>
      <c r="F1721" s="2199" t="s">
        <v>5433</v>
      </c>
      <c r="H1721" s="2198" t="s">
        <v>3146</v>
      </c>
      <c r="L1721" s="2196"/>
      <c r="M1721" s="2200"/>
      <c r="T1721" s="2201"/>
      <c r="AT1721" s="2198" t="s">
        <v>3303</v>
      </c>
      <c r="AU1721" s="2198" t="s">
        <v>134</v>
      </c>
      <c r="AV1721" s="2195" t="s">
        <v>133</v>
      </c>
      <c r="AW1721" s="2195" t="s">
        <v>3171</v>
      </c>
      <c r="AX1721" s="2195" t="s">
        <v>3213</v>
      </c>
      <c r="AY1721" s="2198" t="s">
        <v>3285</v>
      </c>
    </row>
    <row r="1722" spans="2:51" s="2209" customFormat="1">
      <c r="B1722" s="2210"/>
      <c r="D1722" s="2197" t="s">
        <v>3303</v>
      </c>
      <c r="E1722" s="2211" t="s">
        <v>3146</v>
      </c>
      <c r="F1722" s="2212" t="s">
        <v>5733</v>
      </c>
      <c r="H1722" s="2213">
        <v>16.5</v>
      </c>
      <c r="L1722" s="2210"/>
      <c r="M1722" s="2214"/>
      <c r="T1722" s="2215"/>
      <c r="AT1722" s="2211" t="s">
        <v>3303</v>
      </c>
      <c r="AU1722" s="2211" t="s">
        <v>134</v>
      </c>
      <c r="AV1722" s="2209" t="s">
        <v>134</v>
      </c>
      <c r="AW1722" s="2209" t="s">
        <v>3171</v>
      </c>
      <c r="AX1722" s="2209" t="s">
        <v>3213</v>
      </c>
      <c r="AY1722" s="2211" t="s">
        <v>3285</v>
      </c>
    </row>
    <row r="1723" spans="2:51" s="2195" customFormat="1">
      <c r="B1723" s="2196"/>
      <c r="D1723" s="2197" t="s">
        <v>3303</v>
      </c>
      <c r="E1723" s="2198" t="s">
        <v>3146</v>
      </c>
      <c r="F1723" s="2199" t="s">
        <v>5418</v>
      </c>
      <c r="H1723" s="2198" t="s">
        <v>3146</v>
      </c>
      <c r="L1723" s="2196"/>
      <c r="M1723" s="2200"/>
      <c r="T1723" s="2201"/>
      <c r="AT1723" s="2198" t="s">
        <v>3303</v>
      </c>
      <c r="AU1723" s="2198" t="s">
        <v>134</v>
      </c>
      <c r="AV1723" s="2195" t="s">
        <v>133</v>
      </c>
      <c r="AW1723" s="2195" t="s">
        <v>3171</v>
      </c>
      <c r="AX1723" s="2195" t="s">
        <v>3213</v>
      </c>
      <c r="AY1723" s="2198" t="s">
        <v>3285</v>
      </c>
    </row>
    <row r="1724" spans="2:51" s="2209" customFormat="1">
      <c r="B1724" s="2210"/>
      <c r="D1724" s="2197" t="s">
        <v>3303</v>
      </c>
      <c r="E1724" s="2211" t="s">
        <v>3146</v>
      </c>
      <c r="F1724" s="2212" t="s">
        <v>5415</v>
      </c>
      <c r="H1724" s="2213">
        <v>5.5</v>
      </c>
      <c r="L1724" s="2210"/>
      <c r="M1724" s="2214"/>
      <c r="T1724" s="2215"/>
      <c r="AT1724" s="2211" t="s">
        <v>3303</v>
      </c>
      <c r="AU1724" s="2211" t="s">
        <v>134</v>
      </c>
      <c r="AV1724" s="2209" t="s">
        <v>134</v>
      </c>
      <c r="AW1724" s="2209" t="s">
        <v>3171</v>
      </c>
      <c r="AX1724" s="2209" t="s">
        <v>3213</v>
      </c>
      <c r="AY1724" s="2211" t="s">
        <v>3285</v>
      </c>
    </row>
    <row r="1725" spans="2:51" s="2195" customFormat="1">
      <c r="B1725" s="2196"/>
      <c r="D1725" s="2197" t="s">
        <v>3303</v>
      </c>
      <c r="E1725" s="2198" t="s">
        <v>3146</v>
      </c>
      <c r="F1725" s="2199" t="s">
        <v>5446</v>
      </c>
      <c r="H1725" s="2198" t="s">
        <v>3146</v>
      </c>
      <c r="L1725" s="2196"/>
      <c r="M1725" s="2200"/>
      <c r="T1725" s="2201"/>
      <c r="AT1725" s="2198" t="s">
        <v>3303</v>
      </c>
      <c r="AU1725" s="2198" t="s">
        <v>134</v>
      </c>
      <c r="AV1725" s="2195" t="s">
        <v>133</v>
      </c>
      <c r="AW1725" s="2195" t="s">
        <v>3171</v>
      </c>
      <c r="AX1725" s="2195" t="s">
        <v>3213</v>
      </c>
      <c r="AY1725" s="2198" t="s">
        <v>3285</v>
      </c>
    </row>
    <row r="1726" spans="2:51" s="2209" customFormat="1">
      <c r="B1726" s="2210"/>
      <c r="D1726" s="2197" t="s">
        <v>3303</v>
      </c>
      <c r="E1726" s="2211" t="s">
        <v>3146</v>
      </c>
      <c r="F1726" s="2212" t="s">
        <v>5737</v>
      </c>
      <c r="H1726" s="2213">
        <v>16.5</v>
      </c>
      <c r="L1726" s="2210"/>
      <c r="M1726" s="2214"/>
      <c r="T1726" s="2215"/>
      <c r="AT1726" s="2211" t="s">
        <v>3303</v>
      </c>
      <c r="AU1726" s="2211" t="s">
        <v>134</v>
      </c>
      <c r="AV1726" s="2209" t="s">
        <v>134</v>
      </c>
      <c r="AW1726" s="2209" t="s">
        <v>3171</v>
      </c>
      <c r="AX1726" s="2209" t="s">
        <v>3213</v>
      </c>
      <c r="AY1726" s="2211" t="s">
        <v>3285</v>
      </c>
    </row>
    <row r="1727" spans="2:51" s="2195" customFormat="1">
      <c r="B1727" s="2196"/>
      <c r="D1727" s="2197" t="s">
        <v>3303</v>
      </c>
      <c r="E1727" s="2198" t="s">
        <v>3146</v>
      </c>
      <c r="F1727" s="2199" t="s">
        <v>5434</v>
      </c>
      <c r="H1727" s="2198" t="s">
        <v>3146</v>
      </c>
      <c r="L1727" s="2196"/>
      <c r="M1727" s="2200"/>
      <c r="T1727" s="2201"/>
      <c r="AT1727" s="2198" t="s">
        <v>3303</v>
      </c>
      <c r="AU1727" s="2198" t="s">
        <v>134</v>
      </c>
      <c r="AV1727" s="2195" t="s">
        <v>133</v>
      </c>
      <c r="AW1727" s="2195" t="s">
        <v>3171</v>
      </c>
      <c r="AX1727" s="2195" t="s">
        <v>3213</v>
      </c>
      <c r="AY1727" s="2198" t="s">
        <v>3285</v>
      </c>
    </row>
    <row r="1728" spans="2:51" s="2209" customFormat="1">
      <c r="B1728" s="2210"/>
      <c r="D1728" s="2197" t="s">
        <v>3303</v>
      </c>
      <c r="E1728" s="2211" t="s">
        <v>3146</v>
      </c>
      <c r="F1728" s="2212" t="s">
        <v>5738</v>
      </c>
      <c r="H1728" s="2213">
        <v>5.5</v>
      </c>
      <c r="L1728" s="2210"/>
      <c r="M1728" s="2214"/>
      <c r="T1728" s="2215"/>
      <c r="AT1728" s="2211" t="s">
        <v>3303</v>
      </c>
      <c r="AU1728" s="2211" t="s">
        <v>134</v>
      </c>
      <c r="AV1728" s="2209" t="s">
        <v>134</v>
      </c>
      <c r="AW1728" s="2209" t="s">
        <v>3171</v>
      </c>
      <c r="AX1728" s="2209" t="s">
        <v>3213</v>
      </c>
      <c r="AY1728" s="2211" t="s">
        <v>3285</v>
      </c>
    </row>
    <row r="1729" spans="2:65" s="2216" customFormat="1">
      <c r="B1729" s="2217"/>
      <c r="D1729" s="2197" t="s">
        <v>3303</v>
      </c>
      <c r="E1729" s="2218" t="s">
        <v>3146</v>
      </c>
      <c r="F1729" s="2219" t="s">
        <v>3306</v>
      </c>
      <c r="H1729" s="2220">
        <v>386.1</v>
      </c>
      <c r="L1729" s="2217"/>
      <c r="M1729" s="2221"/>
      <c r="T1729" s="2222"/>
      <c r="AT1729" s="2218" t="s">
        <v>3303</v>
      </c>
      <c r="AU1729" s="2218" t="s">
        <v>134</v>
      </c>
      <c r="AV1729" s="2216" t="s">
        <v>856</v>
      </c>
      <c r="AW1729" s="2216" t="s">
        <v>3171</v>
      </c>
      <c r="AX1729" s="2216" t="s">
        <v>133</v>
      </c>
      <c r="AY1729" s="2218" t="s">
        <v>3285</v>
      </c>
    </row>
    <row r="1730" spans="2:65" s="2070" customFormat="1" ht="33" customHeight="1">
      <c r="B1730" s="2164"/>
      <c r="C1730" s="4608" t="s">
        <v>11542</v>
      </c>
      <c r="D1730" s="4608" t="s">
        <v>3286</v>
      </c>
      <c r="E1730" s="4609" t="s">
        <v>5739</v>
      </c>
      <c r="F1730" s="4610" t="s">
        <v>5740</v>
      </c>
      <c r="G1730" s="4611" t="s">
        <v>155</v>
      </c>
      <c r="H1730" s="4612">
        <v>8</v>
      </c>
      <c r="I1730" s="4613"/>
      <c r="J1730" s="4613">
        <f>ROUND(I1730*H1730,2)</f>
        <v>0</v>
      </c>
      <c r="K1730" s="4610" t="s">
        <v>142</v>
      </c>
      <c r="L1730" s="2071"/>
      <c r="M1730" s="2190" t="s">
        <v>3146</v>
      </c>
      <c r="N1730" s="2163" t="s">
        <v>3181</v>
      </c>
      <c r="O1730" s="2191">
        <v>2.21</v>
      </c>
      <c r="P1730" s="2191">
        <f>O1730*H1730</f>
        <v>17.68</v>
      </c>
      <c r="Q1730" s="2191">
        <v>0</v>
      </c>
      <c r="R1730" s="2191">
        <f>Q1730*H1730</f>
        <v>0</v>
      </c>
      <c r="S1730" s="2191">
        <v>0</v>
      </c>
      <c r="T1730" s="2192">
        <f>S1730*H1730</f>
        <v>0</v>
      </c>
      <c r="AR1730" s="2193" t="s">
        <v>2894</v>
      </c>
      <c r="AT1730" s="2193" t="s">
        <v>3286</v>
      </c>
      <c r="AU1730" s="2193" t="s">
        <v>134</v>
      </c>
      <c r="AY1730" s="2056" t="s">
        <v>3285</v>
      </c>
      <c r="BE1730" s="2194">
        <f>IF(N1730="základní",J1730,0)</f>
        <v>0</v>
      </c>
      <c r="BF1730" s="2194">
        <f>IF(N1730="snížená",J1730,0)</f>
        <v>0</v>
      </c>
      <c r="BG1730" s="2194">
        <f>IF(N1730="zákl. přenesená",J1730,0)</f>
        <v>0</v>
      </c>
      <c r="BH1730" s="2194">
        <f>IF(N1730="sníž. přenesená",J1730,0)</f>
        <v>0</v>
      </c>
      <c r="BI1730" s="2194">
        <f>IF(N1730="nulová",J1730,0)</f>
        <v>0</v>
      </c>
      <c r="BJ1730" s="2056" t="s">
        <v>134</v>
      </c>
      <c r="BK1730" s="2194">
        <f>ROUND(I1730*H1730,2)</f>
        <v>0</v>
      </c>
      <c r="BL1730" s="2056" t="s">
        <v>2894</v>
      </c>
      <c r="BM1730" s="2193" t="s">
        <v>5741</v>
      </c>
    </row>
    <row r="1731" spans="2:65" s="2195" customFormat="1">
      <c r="B1731" s="2196"/>
      <c r="D1731" s="2197" t="s">
        <v>3303</v>
      </c>
      <c r="E1731" s="2198" t="s">
        <v>3146</v>
      </c>
      <c r="F1731" s="2199" t="s">
        <v>5410</v>
      </c>
      <c r="H1731" s="2198" t="s">
        <v>3146</v>
      </c>
      <c r="L1731" s="2196"/>
      <c r="M1731" s="2200"/>
      <c r="T1731" s="2201"/>
      <c r="AT1731" s="2198" t="s">
        <v>3303</v>
      </c>
      <c r="AU1731" s="2198" t="s">
        <v>134</v>
      </c>
      <c r="AV1731" s="2195" t="s">
        <v>133</v>
      </c>
      <c r="AW1731" s="2195" t="s">
        <v>3171</v>
      </c>
      <c r="AX1731" s="2195" t="s">
        <v>3213</v>
      </c>
      <c r="AY1731" s="2198" t="s">
        <v>3285</v>
      </c>
    </row>
    <row r="1732" spans="2:65" s="2209" customFormat="1">
      <c r="B1732" s="2210"/>
      <c r="D1732" s="2197" t="s">
        <v>3303</v>
      </c>
      <c r="E1732" s="2211" t="s">
        <v>3146</v>
      </c>
      <c r="F1732" s="2212" t="s">
        <v>133</v>
      </c>
      <c r="H1732" s="2213">
        <v>1</v>
      </c>
      <c r="L1732" s="2210"/>
      <c r="M1732" s="2214"/>
      <c r="T1732" s="2215"/>
      <c r="AT1732" s="2211" t="s">
        <v>3303</v>
      </c>
      <c r="AU1732" s="2211" t="s">
        <v>134</v>
      </c>
      <c r="AV1732" s="2209" t="s">
        <v>134</v>
      </c>
      <c r="AW1732" s="2209" t="s">
        <v>3171</v>
      </c>
      <c r="AX1732" s="2209" t="s">
        <v>3213</v>
      </c>
      <c r="AY1732" s="2211" t="s">
        <v>3285</v>
      </c>
    </row>
    <row r="1733" spans="2:65" s="2195" customFormat="1">
      <c r="B1733" s="2196"/>
      <c r="D1733" s="2197" t="s">
        <v>3303</v>
      </c>
      <c r="E1733" s="2198" t="s">
        <v>3146</v>
      </c>
      <c r="F1733" s="2199" t="s">
        <v>5412</v>
      </c>
      <c r="H1733" s="2198" t="s">
        <v>3146</v>
      </c>
      <c r="L1733" s="2196"/>
      <c r="M1733" s="2200"/>
      <c r="T1733" s="2201"/>
      <c r="AT1733" s="2198" t="s">
        <v>3303</v>
      </c>
      <c r="AU1733" s="2198" t="s">
        <v>134</v>
      </c>
      <c r="AV1733" s="2195" t="s">
        <v>133</v>
      </c>
      <c r="AW1733" s="2195" t="s">
        <v>3171</v>
      </c>
      <c r="AX1733" s="2195" t="s">
        <v>3213</v>
      </c>
      <c r="AY1733" s="2198" t="s">
        <v>3285</v>
      </c>
    </row>
    <row r="1734" spans="2:65" s="2209" customFormat="1">
      <c r="B1734" s="2210"/>
      <c r="D1734" s="2197" t="s">
        <v>3303</v>
      </c>
      <c r="E1734" s="2211" t="s">
        <v>3146</v>
      </c>
      <c r="F1734" s="2212" t="s">
        <v>133</v>
      </c>
      <c r="H1734" s="2213">
        <v>1</v>
      </c>
      <c r="L1734" s="2210"/>
      <c r="M1734" s="2214"/>
      <c r="T1734" s="2215"/>
      <c r="AT1734" s="2211" t="s">
        <v>3303</v>
      </c>
      <c r="AU1734" s="2211" t="s">
        <v>134</v>
      </c>
      <c r="AV1734" s="2209" t="s">
        <v>134</v>
      </c>
      <c r="AW1734" s="2209" t="s">
        <v>3171</v>
      </c>
      <c r="AX1734" s="2209" t="s">
        <v>3213</v>
      </c>
      <c r="AY1734" s="2211" t="s">
        <v>3285</v>
      </c>
    </row>
    <row r="1735" spans="2:65" s="2195" customFormat="1">
      <c r="B1735" s="2196"/>
      <c r="D1735" s="2197" t="s">
        <v>3303</v>
      </c>
      <c r="E1735" s="2198" t="s">
        <v>3146</v>
      </c>
      <c r="F1735" s="2199" t="s">
        <v>5414</v>
      </c>
      <c r="H1735" s="2198" t="s">
        <v>3146</v>
      </c>
      <c r="L1735" s="2196"/>
      <c r="M1735" s="2200"/>
      <c r="T1735" s="2201"/>
      <c r="AT1735" s="2198" t="s">
        <v>3303</v>
      </c>
      <c r="AU1735" s="2198" t="s">
        <v>134</v>
      </c>
      <c r="AV1735" s="2195" t="s">
        <v>133</v>
      </c>
      <c r="AW1735" s="2195" t="s">
        <v>3171</v>
      </c>
      <c r="AX1735" s="2195" t="s">
        <v>3213</v>
      </c>
      <c r="AY1735" s="2198" t="s">
        <v>3285</v>
      </c>
    </row>
    <row r="1736" spans="2:65" s="2209" customFormat="1">
      <c r="B1736" s="2210"/>
      <c r="D1736" s="2197" t="s">
        <v>3303</v>
      </c>
      <c r="E1736" s="2211" t="s">
        <v>3146</v>
      </c>
      <c r="F1736" s="2212" t="s">
        <v>134</v>
      </c>
      <c r="H1736" s="2213">
        <v>2</v>
      </c>
      <c r="L1736" s="2210"/>
      <c r="M1736" s="2214"/>
      <c r="T1736" s="2215"/>
      <c r="AT1736" s="2211" t="s">
        <v>3303</v>
      </c>
      <c r="AU1736" s="2211" t="s">
        <v>134</v>
      </c>
      <c r="AV1736" s="2209" t="s">
        <v>134</v>
      </c>
      <c r="AW1736" s="2209" t="s">
        <v>3171</v>
      </c>
      <c r="AX1736" s="2209" t="s">
        <v>3213</v>
      </c>
      <c r="AY1736" s="2211" t="s">
        <v>3285</v>
      </c>
    </row>
    <row r="1737" spans="2:65" s="2195" customFormat="1">
      <c r="B1737" s="2196"/>
      <c r="D1737" s="2197" t="s">
        <v>3303</v>
      </c>
      <c r="E1737" s="2198" t="s">
        <v>3146</v>
      </c>
      <c r="F1737" s="2199" t="s">
        <v>5416</v>
      </c>
      <c r="H1737" s="2198" t="s">
        <v>3146</v>
      </c>
      <c r="L1737" s="2196"/>
      <c r="M1737" s="2200"/>
      <c r="T1737" s="2201"/>
      <c r="AT1737" s="2198" t="s">
        <v>3303</v>
      </c>
      <c r="AU1737" s="2198" t="s">
        <v>134</v>
      </c>
      <c r="AV1737" s="2195" t="s">
        <v>133</v>
      </c>
      <c r="AW1737" s="2195" t="s">
        <v>3171</v>
      </c>
      <c r="AX1737" s="2195" t="s">
        <v>3213</v>
      </c>
      <c r="AY1737" s="2198" t="s">
        <v>3285</v>
      </c>
    </row>
    <row r="1738" spans="2:65" s="2209" customFormat="1">
      <c r="B1738" s="2210"/>
      <c r="D1738" s="2197" t="s">
        <v>3303</v>
      </c>
      <c r="E1738" s="2211" t="s">
        <v>3146</v>
      </c>
      <c r="F1738" s="2212" t="s">
        <v>134</v>
      </c>
      <c r="H1738" s="2213">
        <v>2</v>
      </c>
      <c r="L1738" s="2210"/>
      <c r="M1738" s="2214"/>
      <c r="T1738" s="2215"/>
      <c r="AT1738" s="2211" t="s">
        <v>3303</v>
      </c>
      <c r="AU1738" s="2211" t="s">
        <v>134</v>
      </c>
      <c r="AV1738" s="2209" t="s">
        <v>134</v>
      </c>
      <c r="AW1738" s="2209" t="s">
        <v>3171</v>
      </c>
      <c r="AX1738" s="2209" t="s">
        <v>3213</v>
      </c>
      <c r="AY1738" s="2211" t="s">
        <v>3285</v>
      </c>
    </row>
    <row r="1739" spans="2:65" s="2195" customFormat="1">
      <c r="B1739" s="2196"/>
      <c r="D1739" s="2197" t="s">
        <v>3303</v>
      </c>
      <c r="E1739" s="2198" t="s">
        <v>3146</v>
      </c>
      <c r="F1739" s="2199" t="s">
        <v>5418</v>
      </c>
      <c r="H1739" s="2198" t="s">
        <v>3146</v>
      </c>
      <c r="L1739" s="2196"/>
      <c r="M1739" s="2200"/>
      <c r="T1739" s="2201"/>
      <c r="AT1739" s="2198" t="s">
        <v>3303</v>
      </c>
      <c r="AU1739" s="2198" t="s">
        <v>134</v>
      </c>
      <c r="AV1739" s="2195" t="s">
        <v>133</v>
      </c>
      <c r="AW1739" s="2195" t="s">
        <v>3171</v>
      </c>
      <c r="AX1739" s="2195" t="s">
        <v>3213</v>
      </c>
      <c r="AY1739" s="2198" t="s">
        <v>3285</v>
      </c>
    </row>
    <row r="1740" spans="2:65" s="2209" customFormat="1">
      <c r="B1740" s="2210"/>
      <c r="D1740" s="2197" t="s">
        <v>3303</v>
      </c>
      <c r="E1740" s="2211" t="s">
        <v>3146</v>
      </c>
      <c r="F1740" s="2212" t="s">
        <v>134</v>
      </c>
      <c r="H1740" s="2213">
        <v>2</v>
      </c>
      <c r="L1740" s="2210"/>
      <c r="M1740" s="2214"/>
      <c r="T1740" s="2215"/>
      <c r="AT1740" s="2211" t="s">
        <v>3303</v>
      </c>
      <c r="AU1740" s="2211" t="s">
        <v>134</v>
      </c>
      <c r="AV1740" s="2209" t="s">
        <v>134</v>
      </c>
      <c r="AW1740" s="2209" t="s">
        <v>3171</v>
      </c>
      <c r="AX1740" s="2209" t="s">
        <v>3213</v>
      </c>
      <c r="AY1740" s="2211" t="s">
        <v>3285</v>
      </c>
    </row>
    <row r="1741" spans="2:65" s="2216" customFormat="1">
      <c r="B1741" s="2217"/>
      <c r="D1741" s="2197" t="s">
        <v>3303</v>
      </c>
      <c r="E1741" s="2218" t="s">
        <v>3146</v>
      </c>
      <c r="F1741" s="2219" t="s">
        <v>3306</v>
      </c>
      <c r="H1741" s="2220">
        <v>8</v>
      </c>
      <c r="L1741" s="2217"/>
      <c r="M1741" s="2221"/>
      <c r="T1741" s="2222"/>
      <c r="AT1741" s="2218" t="s">
        <v>3303</v>
      </c>
      <c r="AU1741" s="2218" t="s">
        <v>134</v>
      </c>
      <c r="AV1741" s="2216" t="s">
        <v>856</v>
      </c>
      <c r="AW1741" s="2216" t="s">
        <v>3171</v>
      </c>
      <c r="AX1741" s="2216" t="s">
        <v>133</v>
      </c>
      <c r="AY1741" s="2218" t="s">
        <v>3285</v>
      </c>
    </row>
    <row r="1742" spans="2:65" s="2070" customFormat="1" ht="24.2" customHeight="1">
      <c r="B1742" s="2164"/>
      <c r="C1742" s="4614" t="s">
        <v>11543</v>
      </c>
      <c r="D1742" s="4614" t="s">
        <v>135</v>
      </c>
      <c r="E1742" s="4615" t="s">
        <v>5742</v>
      </c>
      <c r="F1742" s="4616" t="s">
        <v>5743</v>
      </c>
      <c r="G1742" s="4617" t="s">
        <v>611</v>
      </c>
      <c r="H1742" s="4618">
        <v>27.198</v>
      </c>
      <c r="I1742" s="4619"/>
      <c r="J1742" s="4619">
        <f>ROUND(I1742*H1742,2)</f>
        <v>0</v>
      </c>
      <c r="K1742" s="4616" t="s">
        <v>142</v>
      </c>
      <c r="L1742" s="2223"/>
      <c r="M1742" s="2224" t="s">
        <v>3146</v>
      </c>
      <c r="N1742" s="2225" t="s">
        <v>3181</v>
      </c>
      <c r="O1742" s="2191">
        <v>0</v>
      </c>
      <c r="P1742" s="2191">
        <f>O1742*H1742</f>
        <v>0</v>
      </c>
      <c r="Q1742" s="2191">
        <v>1E-3</v>
      </c>
      <c r="R1742" s="2191">
        <f>Q1742*H1742</f>
        <v>2.7198E-2</v>
      </c>
      <c r="S1742" s="2191">
        <v>0</v>
      </c>
      <c r="T1742" s="2192">
        <f>S1742*H1742</f>
        <v>0</v>
      </c>
      <c r="AR1742" s="2193" t="s">
        <v>4970</v>
      </c>
      <c r="AT1742" s="2193" t="s">
        <v>135</v>
      </c>
      <c r="AU1742" s="2193" t="s">
        <v>134</v>
      </c>
      <c r="AY1742" s="2056" t="s">
        <v>3285</v>
      </c>
      <c r="BE1742" s="2194">
        <f>IF(N1742="základní",J1742,0)</f>
        <v>0</v>
      </c>
      <c r="BF1742" s="2194">
        <f>IF(N1742="snížená",J1742,0)</f>
        <v>0</v>
      </c>
      <c r="BG1742" s="2194">
        <f>IF(N1742="zákl. přenesená",J1742,0)</f>
        <v>0</v>
      </c>
      <c r="BH1742" s="2194">
        <f>IF(N1742="sníž. přenesená",J1742,0)</f>
        <v>0</v>
      </c>
      <c r="BI1742" s="2194">
        <f>IF(N1742="nulová",J1742,0)</f>
        <v>0</v>
      </c>
      <c r="BJ1742" s="2056" t="s">
        <v>134</v>
      </c>
      <c r="BK1742" s="2194">
        <f>ROUND(I1742*H1742,2)</f>
        <v>0</v>
      </c>
      <c r="BL1742" s="2056" t="s">
        <v>4970</v>
      </c>
      <c r="BM1742" s="2193" t="s">
        <v>5744</v>
      </c>
    </row>
    <row r="1743" spans="2:65" s="2195" customFormat="1">
      <c r="B1743" s="2196"/>
      <c r="D1743" s="2197" t="s">
        <v>3303</v>
      </c>
      <c r="E1743" s="2198" t="s">
        <v>3146</v>
      </c>
      <c r="F1743" s="2199" t="s">
        <v>5410</v>
      </c>
      <c r="H1743" s="2198" t="s">
        <v>3146</v>
      </c>
      <c r="L1743" s="2196"/>
      <c r="M1743" s="2200"/>
      <c r="T1743" s="2201"/>
      <c r="AT1743" s="2198" t="s">
        <v>3303</v>
      </c>
      <c r="AU1743" s="2198" t="s">
        <v>134</v>
      </c>
      <c r="AV1743" s="2195" t="s">
        <v>133</v>
      </c>
      <c r="AW1743" s="2195" t="s">
        <v>3171</v>
      </c>
      <c r="AX1743" s="2195" t="s">
        <v>3213</v>
      </c>
      <c r="AY1743" s="2198" t="s">
        <v>3285</v>
      </c>
    </row>
    <row r="1744" spans="2:65" s="2209" customFormat="1">
      <c r="B1744" s="2210"/>
      <c r="D1744" s="2197" t="s">
        <v>3303</v>
      </c>
      <c r="E1744" s="2211" t="s">
        <v>3146</v>
      </c>
      <c r="F1744" s="2212" t="s">
        <v>5745</v>
      </c>
      <c r="H1744" s="2213">
        <v>3.1629999999999998</v>
      </c>
      <c r="L1744" s="2210"/>
      <c r="M1744" s="2214"/>
      <c r="T1744" s="2215"/>
      <c r="AT1744" s="2211" t="s">
        <v>3303</v>
      </c>
      <c r="AU1744" s="2211" t="s">
        <v>134</v>
      </c>
      <c r="AV1744" s="2209" t="s">
        <v>134</v>
      </c>
      <c r="AW1744" s="2209" t="s">
        <v>3171</v>
      </c>
      <c r="AX1744" s="2209" t="s">
        <v>3213</v>
      </c>
      <c r="AY1744" s="2211" t="s">
        <v>3285</v>
      </c>
    </row>
    <row r="1745" spans="2:65" s="2195" customFormat="1">
      <c r="B1745" s="2196"/>
      <c r="D1745" s="2197" t="s">
        <v>3303</v>
      </c>
      <c r="E1745" s="2198" t="s">
        <v>3146</v>
      </c>
      <c r="F1745" s="2199" t="s">
        <v>5412</v>
      </c>
      <c r="H1745" s="2198" t="s">
        <v>3146</v>
      </c>
      <c r="L1745" s="2196"/>
      <c r="M1745" s="2200"/>
      <c r="T1745" s="2201"/>
      <c r="AT1745" s="2198" t="s">
        <v>3303</v>
      </c>
      <c r="AU1745" s="2198" t="s">
        <v>134</v>
      </c>
      <c r="AV1745" s="2195" t="s">
        <v>133</v>
      </c>
      <c r="AW1745" s="2195" t="s">
        <v>3171</v>
      </c>
      <c r="AX1745" s="2195" t="s">
        <v>3213</v>
      </c>
      <c r="AY1745" s="2198" t="s">
        <v>3285</v>
      </c>
    </row>
    <row r="1746" spans="2:65" s="2209" customFormat="1">
      <c r="B1746" s="2210"/>
      <c r="D1746" s="2197" t="s">
        <v>3303</v>
      </c>
      <c r="E1746" s="2211" t="s">
        <v>3146</v>
      </c>
      <c r="F1746" s="2212" t="s">
        <v>5746</v>
      </c>
      <c r="H1746" s="2213">
        <v>3.7949999999999999</v>
      </c>
      <c r="L1746" s="2210"/>
      <c r="M1746" s="2214"/>
      <c r="T1746" s="2215"/>
      <c r="AT1746" s="2211" t="s">
        <v>3303</v>
      </c>
      <c r="AU1746" s="2211" t="s">
        <v>134</v>
      </c>
      <c r="AV1746" s="2209" t="s">
        <v>134</v>
      </c>
      <c r="AW1746" s="2209" t="s">
        <v>3171</v>
      </c>
      <c r="AX1746" s="2209" t="s">
        <v>3213</v>
      </c>
      <c r="AY1746" s="2211" t="s">
        <v>3285</v>
      </c>
    </row>
    <row r="1747" spans="2:65" s="2195" customFormat="1">
      <c r="B1747" s="2196"/>
      <c r="D1747" s="2197" t="s">
        <v>3303</v>
      </c>
      <c r="E1747" s="2198" t="s">
        <v>3146</v>
      </c>
      <c r="F1747" s="2199" t="s">
        <v>5414</v>
      </c>
      <c r="H1747" s="2198" t="s">
        <v>3146</v>
      </c>
      <c r="L1747" s="2196"/>
      <c r="M1747" s="2200"/>
      <c r="T1747" s="2201"/>
      <c r="AT1747" s="2198" t="s">
        <v>3303</v>
      </c>
      <c r="AU1747" s="2198" t="s">
        <v>134</v>
      </c>
      <c r="AV1747" s="2195" t="s">
        <v>133</v>
      </c>
      <c r="AW1747" s="2195" t="s">
        <v>3171</v>
      </c>
      <c r="AX1747" s="2195" t="s">
        <v>3213</v>
      </c>
      <c r="AY1747" s="2198" t="s">
        <v>3285</v>
      </c>
    </row>
    <row r="1748" spans="2:65" s="2209" customFormat="1">
      <c r="B1748" s="2210"/>
      <c r="D1748" s="2197" t="s">
        <v>3303</v>
      </c>
      <c r="E1748" s="2211" t="s">
        <v>3146</v>
      </c>
      <c r="F1748" s="2212" t="s">
        <v>5747</v>
      </c>
      <c r="H1748" s="2213">
        <v>6.3250000000000002</v>
      </c>
      <c r="L1748" s="2210"/>
      <c r="M1748" s="2214"/>
      <c r="T1748" s="2215"/>
      <c r="AT1748" s="2211" t="s">
        <v>3303</v>
      </c>
      <c r="AU1748" s="2211" t="s">
        <v>134</v>
      </c>
      <c r="AV1748" s="2209" t="s">
        <v>134</v>
      </c>
      <c r="AW1748" s="2209" t="s">
        <v>3171</v>
      </c>
      <c r="AX1748" s="2209" t="s">
        <v>3213</v>
      </c>
      <c r="AY1748" s="2211" t="s">
        <v>3285</v>
      </c>
    </row>
    <row r="1749" spans="2:65" s="2195" customFormat="1">
      <c r="B1749" s="2196"/>
      <c r="D1749" s="2197" t="s">
        <v>3303</v>
      </c>
      <c r="E1749" s="2198" t="s">
        <v>3146</v>
      </c>
      <c r="F1749" s="2199" t="s">
        <v>5416</v>
      </c>
      <c r="H1749" s="2198" t="s">
        <v>3146</v>
      </c>
      <c r="L1749" s="2196"/>
      <c r="M1749" s="2200"/>
      <c r="T1749" s="2201"/>
      <c r="AT1749" s="2198" t="s">
        <v>3303</v>
      </c>
      <c r="AU1749" s="2198" t="s">
        <v>134</v>
      </c>
      <c r="AV1749" s="2195" t="s">
        <v>133</v>
      </c>
      <c r="AW1749" s="2195" t="s">
        <v>3171</v>
      </c>
      <c r="AX1749" s="2195" t="s">
        <v>3213</v>
      </c>
      <c r="AY1749" s="2198" t="s">
        <v>3285</v>
      </c>
    </row>
    <row r="1750" spans="2:65" s="2209" customFormat="1">
      <c r="B1750" s="2210"/>
      <c r="D1750" s="2197" t="s">
        <v>3303</v>
      </c>
      <c r="E1750" s="2211" t="s">
        <v>3146</v>
      </c>
      <c r="F1750" s="2212" t="s">
        <v>5748</v>
      </c>
      <c r="H1750" s="2213">
        <v>7.59</v>
      </c>
      <c r="L1750" s="2210"/>
      <c r="M1750" s="2214"/>
      <c r="T1750" s="2215"/>
      <c r="AT1750" s="2211" t="s">
        <v>3303</v>
      </c>
      <c r="AU1750" s="2211" t="s">
        <v>134</v>
      </c>
      <c r="AV1750" s="2209" t="s">
        <v>134</v>
      </c>
      <c r="AW1750" s="2209" t="s">
        <v>3171</v>
      </c>
      <c r="AX1750" s="2209" t="s">
        <v>3213</v>
      </c>
      <c r="AY1750" s="2211" t="s">
        <v>3285</v>
      </c>
    </row>
    <row r="1751" spans="2:65" s="2195" customFormat="1">
      <c r="B1751" s="2196"/>
      <c r="D1751" s="2197" t="s">
        <v>3303</v>
      </c>
      <c r="E1751" s="2198" t="s">
        <v>3146</v>
      </c>
      <c r="F1751" s="2199" t="s">
        <v>5418</v>
      </c>
      <c r="H1751" s="2198" t="s">
        <v>3146</v>
      </c>
      <c r="L1751" s="2196"/>
      <c r="M1751" s="2200"/>
      <c r="T1751" s="2201"/>
      <c r="AT1751" s="2198" t="s">
        <v>3303</v>
      </c>
      <c r="AU1751" s="2198" t="s">
        <v>134</v>
      </c>
      <c r="AV1751" s="2195" t="s">
        <v>133</v>
      </c>
      <c r="AW1751" s="2195" t="s">
        <v>3171</v>
      </c>
      <c r="AX1751" s="2195" t="s">
        <v>3213</v>
      </c>
      <c r="AY1751" s="2198" t="s">
        <v>3285</v>
      </c>
    </row>
    <row r="1752" spans="2:65" s="2209" customFormat="1">
      <c r="B1752" s="2210"/>
      <c r="D1752" s="2197" t="s">
        <v>3303</v>
      </c>
      <c r="E1752" s="2211" t="s">
        <v>3146</v>
      </c>
      <c r="F1752" s="2212" t="s">
        <v>5747</v>
      </c>
      <c r="H1752" s="2213">
        <v>6.3250000000000002</v>
      </c>
      <c r="L1752" s="2210"/>
      <c r="M1752" s="2214"/>
      <c r="T1752" s="2215"/>
      <c r="AT1752" s="2211" t="s">
        <v>3303</v>
      </c>
      <c r="AU1752" s="2211" t="s">
        <v>134</v>
      </c>
      <c r="AV1752" s="2209" t="s">
        <v>134</v>
      </c>
      <c r="AW1752" s="2209" t="s">
        <v>3171</v>
      </c>
      <c r="AX1752" s="2209" t="s">
        <v>3213</v>
      </c>
      <c r="AY1752" s="2211" t="s">
        <v>3285</v>
      </c>
    </row>
    <row r="1753" spans="2:65" s="2216" customFormat="1">
      <c r="B1753" s="2217"/>
      <c r="D1753" s="2197" t="s">
        <v>3303</v>
      </c>
      <c r="E1753" s="2218" t="s">
        <v>3146</v>
      </c>
      <c r="F1753" s="2219" t="s">
        <v>3306</v>
      </c>
      <c r="H1753" s="2220">
        <v>27.198</v>
      </c>
      <c r="L1753" s="2217"/>
      <c r="M1753" s="2221"/>
      <c r="T1753" s="2222"/>
      <c r="AT1753" s="2218" t="s">
        <v>3303</v>
      </c>
      <c r="AU1753" s="2218" t="s">
        <v>134</v>
      </c>
      <c r="AV1753" s="2216" t="s">
        <v>856</v>
      </c>
      <c r="AW1753" s="2216" t="s">
        <v>3171</v>
      </c>
      <c r="AX1753" s="2216" t="s">
        <v>133</v>
      </c>
      <c r="AY1753" s="2218" t="s">
        <v>3285</v>
      </c>
    </row>
    <row r="1754" spans="2:65" s="2070" customFormat="1" ht="37.9" customHeight="1">
      <c r="B1754" s="2164"/>
      <c r="C1754" s="4608" t="s">
        <v>147</v>
      </c>
      <c r="D1754" s="4608" t="s">
        <v>3286</v>
      </c>
      <c r="E1754" s="4609" t="s">
        <v>5749</v>
      </c>
      <c r="F1754" s="4610" t="s">
        <v>5750</v>
      </c>
      <c r="G1754" s="4611" t="s">
        <v>155</v>
      </c>
      <c r="H1754" s="4612">
        <v>58</v>
      </c>
      <c r="I1754" s="4613"/>
      <c r="J1754" s="4613">
        <f>ROUND(I1754*H1754,2)</f>
        <v>0</v>
      </c>
      <c r="K1754" s="4610" t="s">
        <v>142</v>
      </c>
      <c r="L1754" s="2071"/>
      <c r="M1754" s="2190" t="s">
        <v>3146</v>
      </c>
      <c r="N1754" s="2163" t="s">
        <v>3181</v>
      </c>
      <c r="O1754" s="2191">
        <v>2.31</v>
      </c>
      <c r="P1754" s="2191">
        <f>O1754*H1754</f>
        <v>133.97999999999999</v>
      </c>
      <c r="Q1754" s="2191">
        <v>0</v>
      </c>
      <c r="R1754" s="2191">
        <f>Q1754*H1754</f>
        <v>0</v>
      </c>
      <c r="S1754" s="2191">
        <v>0</v>
      </c>
      <c r="T1754" s="2192">
        <f>S1754*H1754</f>
        <v>0</v>
      </c>
      <c r="AR1754" s="2193" t="s">
        <v>2894</v>
      </c>
      <c r="AT1754" s="2193" t="s">
        <v>3286</v>
      </c>
      <c r="AU1754" s="2193" t="s">
        <v>134</v>
      </c>
      <c r="AY1754" s="2056" t="s">
        <v>3285</v>
      </c>
      <c r="BE1754" s="2194">
        <f>IF(N1754="základní",J1754,0)</f>
        <v>0</v>
      </c>
      <c r="BF1754" s="2194">
        <f>IF(N1754="snížená",J1754,0)</f>
        <v>0</v>
      </c>
      <c r="BG1754" s="2194">
        <f>IF(N1754="zákl. přenesená",J1754,0)</f>
        <v>0</v>
      </c>
      <c r="BH1754" s="2194">
        <f>IF(N1754="sníž. přenesená",J1754,0)</f>
        <v>0</v>
      </c>
      <c r="BI1754" s="2194">
        <f>IF(N1754="nulová",J1754,0)</f>
        <v>0</v>
      </c>
      <c r="BJ1754" s="2056" t="s">
        <v>134</v>
      </c>
      <c r="BK1754" s="2194">
        <f>ROUND(I1754*H1754,2)</f>
        <v>0</v>
      </c>
      <c r="BL1754" s="2056" t="s">
        <v>2894</v>
      </c>
      <c r="BM1754" s="2193" t="s">
        <v>5751</v>
      </c>
    </row>
    <row r="1755" spans="2:65" s="2195" customFormat="1">
      <c r="B1755" s="2196"/>
      <c r="D1755" s="2197" t="s">
        <v>3303</v>
      </c>
      <c r="E1755" s="2198" t="s">
        <v>3146</v>
      </c>
      <c r="F1755" s="2199" t="s">
        <v>5419</v>
      </c>
      <c r="H1755" s="2198" t="s">
        <v>3146</v>
      </c>
      <c r="L1755" s="2196"/>
      <c r="M1755" s="2200"/>
      <c r="T1755" s="2201"/>
      <c r="AT1755" s="2198" t="s">
        <v>3303</v>
      </c>
      <c r="AU1755" s="2198" t="s">
        <v>134</v>
      </c>
      <c r="AV1755" s="2195" t="s">
        <v>133</v>
      </c>
      <c r="AW1755" s="2195" t="s">
        <v>3171</v>
      </c>
      <c r="AX1755" s="2195" t="s">
        <v>3213</v>
      </c>
      <c r="AY1755" s="2198" t="s">
        <v>3285</v>
      </c>
    </row>
    <row r="1756" spans="2:65" s="2209" customFormat="1">
      <c r="B1756" s="2210"/>
      <c r="D1756" s="2197" t="s">
        <v>3303</v>
      </c>
      <c r="E1756" s="2211" t="s">
        <v>3146</v>
      </c>
      <c r="F1756" s="2212" t="s">
        <v>2475</v>
      </c>
      <c r="H1756" s="2213">
        <v>18</v>
      </c>
      <c r="L1756" s="2210"/>
      <c r="M1756" s="2214"/>
      <c r="T1756" s="2215"/>
      <c r="AT1756" s="2211" t="s">
        <v>3303</v>
      </c>
      <c r="AU1756" s="2211" t="s">
        <v>134</v>
      </c>
      <c r="AV1756" s="2209" t="s">
        <v>134</v>
      </c>
      <c r="AW1756" s="2209" t="s">
        <v>3171</v>
      </c>
      <c r="AX1756" s="2209" t="s">
        <v>3213</v>
      </c>
      <c r="AY1756" s="2211" t="s">
        <v>3285</v>
      </c>
    </row>
    <row r="1757" spans="2:65" s="2195" customFormat="1">
      <c r="B1757" s="2196"/>
      <c r="D1757" s="2197" t="s">
        <v>3303</v>
      </c>
      <c r="E1757" s="2198" t="s">
        <v>3146</v>
      </c>
      <c r="F1757" s="2199" t="s">
        <v>5421</v>
      </c>
      <c r="H1757" s="2198" t="s">
        <v>3146</v>
      </c>
      <c r="L1757" s="2196"/>
      <c r="M1757" s="2200"/>
      <c r="T1757" s="2201"/>
      <c r="AT1757" s="2198" t="s">
        <v>3303</v>
      </c>
      <c r="AU1757" s="2198" t="s">
        <v>134</v>
      </c>
      <c r="AV1757" s="2195" t="s">
        <v>133</v>
      </c>
      <c r="AW1757" s="2195" t="s">
        <v>3171</v>
      </c>
      <c r="AX1757" s="2195" t="s">
        <v>3213</v>
      </c>
      <c r="AY1757" s="2198" t="s">
        <v>3285</v>
      </c>
    </row>
    <row r="1758" spans="2:65" s="2209" customFormat="1">
      <c r="B1758" s="2210"/>
      <c r="D1758" s="2197" t="s">
        <v>3303</v>
      </c>
      <c r="E1758" s="2211" t="s">
        <v>3146</v>
      </c>
      <c r="F1758" s="2212" t="s">
        <v>133</v>
      </c>
      <c r="H1758" s="2213">
        <v>1</v>
      </c>
      <c r="L1758" s="2210"/>
      <c r="M1758" s="2214"/>
      <c r="T1758" s="2215"/>
      <c r="AT1758" s="2211" t="s">
        <v>3303</v>
      </c>
      <c r="AU1758" s="2211" t="s">
        <v>134</v>
      </c>
      <c r="AV1758" s="2209" t="s">
        <v>134</v>
      </c>
      <c r="AW1758" s="2209" t="s">
        <v>3171</v>
      </c>
      <c r="AX1758" s="2209" t="s">
        <v>3213</v>
      </c>
      <c r="AY1758" s="2211" t="s">
        <v>3285</v>
      </c>
    </row>
    <row r="1759" spans="2:65" s="2195" customFormat="1">
      <c r="B1759" s="2196"/>
      <c r="D1759" s="2197" t="s">
        <v>3303</v>
      </c>
      <c r="E1759" s="2198" t="s">
        <v>3146</v>
      </c>
      <c r="F1759" s="2199" t="s">
        <v>5423</v>
      </c>
      <c r="H1759" s="2198" t="s">
        <v>3146</v>
      </c>
      <c r="L1759" s="2196"/>
      <c r="M1759" s="2200"/>
      <c r="T1759" s="2201"/>
      <c r="AT1759" s="2198" t="s">
        <v>3303</v>
      </c>
      <c r="AU1759" s="2198" t="s">
        <v>134</v>
      </c>
      <c r="AV1759" s="2195" t="s">
        <v>133</v>
      </c>
      <c r="AW1759" s="2195" t="s">
        <v>3171</v>
      </c>
      <c r="AX1759" s="2195" t="s">
        <v>3213</v>
      </c>
      <c r="AY1759" s="2198" t="s">
        <v>3285</v>
      </c>
    </row>
    <row r="1760" spans="2:65" s="2209" customFormat="1">
      <c r="B1760" s="2210"/>
      <c r="D1760" s="2197" t="s">
        <v>3303</v>
      </c>
      <c r="E1760" s="2211" t="s">
        <v>3146</v>
      </c>
      <c r="F1760" s="2212" t="s">
        <v>1827</v>
      </c>
      <c r="H1760" s="2213">
        <v>15</v>
      </c>
      <c r="L1760" s="2210"/>
      <c r="M1760" s="2214"/>
      <c r="T1760" s="2215"/>
      <c r="AT1760" s="2211" t="s">
        <v>3303</v>
      </c>
      <c r="AU1760" s="2211" t="s">
        <v>134</v>
      </c>
      <c r="AV1760" s="2209" t="s">
        <v>134</v>
      </c>
      <c r="AW1760" s="2209" t="s">
        <v>3171</v>
      </c>
      <c r="AX1760" s="2209" t="s">
        <v>3213</v>
      </c>
      <c r="AY1760" s="2211" t="s">
        <v>3285</v>
      </c>
    </row>
    <row r="1761" spans="2:65" s="2195" customFormat="1">
      <c r="B1761" s="2196"/>
      <c r="D1761" s="2197" t="s">
        <v>3303</v>
      </c>
      <c r="E1761" s="2198" t="s">
        <v>3146</v>
      </c>
      <c r="F1761" s="2199" t="s">
        <v>5425</v>
      </c>
      <c r="H1761" s="2198" t="s">
        <v>3146</v>
      </c>
      <c r="L1761" s="2196"/>
      <c r="M1761" s="2200"/>
      <c r="T1761" s="2201"/>
      <c r="AT1761" s="2198" t="s">
        <v>3303</v>
      </c>
      <c r="AU1761" s="2198" t="s">
        <v>134</v>
      </c>
      <c r="AV1761" s="2195" t="s">
        <v>133</v>
      </c>
      <c r="AW1761" s="2195" t="s">
        <v>3171</v>
      </c>
      <c r="AX1761" s="2195" t="s">
        <v>3213</v>
      </c>
      <c r="AY1761" s="2198" t="s">
        <v>3285</v>
      </c>
    </row>
    <row r="1762" spans="2:65" s="2209" customFormat="1">
      <c r="B1762" s="2210"/>
      <c r="D1762" s="2197" t="s">
        <v>3303</v>
      </c>
      <c r="E1762" s="2211" t="s">
        <v>3146</v>
      </c>
      <c r="F1762" s="2212" t="s">
        <v>854</v>
      </c>
      <c r="H1762" s="2213">
        <v>3</v>
      </c>
      <c r="L1762" s="2210"/>
      <c r="M1762" s="2214"/>
      <c r="T1762" s="2215"/>
      <c r="AT1762" s="2211" t="s">
        <v>3303</v>
      </c>
      <c r="AU1762" s="2211" t="s">
        <v>134</v>
      </c>
      <c r="AV1762" s="2209" t="s">
        <v>134</v>
      </c>
      <c r="AW1762" s="2209" t="s">
        <v>3171</v>
      </c>
      <c r="AX1762" s="2209" t="s">
        <v>3213</v>
      </c>
      <c r="AY1762" s="2211" t="s">
        <v>3285</v>
      </c>
    </row>
    <row r="1763" spans="2:65" s="2195" customFormat="1">
      <c r="B1763" s="2196"/>
      <c r="D1763" s="2197" t="s">
        <v>3303</v>
      </c>
      <c r="E1763" s="2198" t="s">
        <v>3146</v>
      </c>
      <c r="F1763" s="2199" t="s">
        <v>5427</v>
      </c>
      <c r="H1763" s="2198" t="s">
        <v>3146</v>
      </c>
      <c r="L1763" s="2196"/>
      <c r="M1763" s="2200"/>
      <c r="T1763" s="2201"/>
      <c r="AT1763" s="2198" t="s">
        <v>3303</v>
      </c>
      <c r="AU1763" s="2198" t="s">
        <v>134</v>
      </c>
      <c r="AV1763" s="2195" t="s">
        <v>133</v>
      </c>
      <c r="AW1763" s="2195" t="s">
        <v>3171</v>
      </c>
      <c r="AX1763" s="2195" t="s">
        <v>3213</v>
      </c>
      <c r="AY1763" s="2198" t="s">
        <v>3285</v>
      </c>
    </row>
    <row r="1764" spans="2:65" s="2209" customFormat="1">
      <c r="B1764" s="2210"/>
      <c r="D1764" s="2197" t="s">
        <v>3303</v>
      </c>
      <c r="E1764" s="2211" t="s">
        <v>3146</v>
      </c>
      <c r="F1764" s="2212" t="s">
        <v>133</v>
      </c>
      <c r="H1764" s="2213">
        <v>1</v>
      </c>
      <c r="L1764" s="2210"/>
      <c r="M1764" s="2214"/>
      <c r="T1764" s="2215"/>
      <c r="AT1764" s="2211" t="s">
        <v>3303</v>
      </c>
      <c r="AU1764" s="2211" t="s">
        <v>134</v>
      </c>
      <c r="AV1764" s="2209" t="s">
        <v>134</v>
      </c>
      <c r="AW1764" s="2209" t="s">
        <v>3171</v>
      </c>
      <c r="AX1764" s="2209" t="s">
        <v>3213</v>
      </c>
      <c r="AY1764" s="2211" t="s">
        <v>3285</v>
      </c>
    </row>
    <row r="1765" spans="2:65" s="2195" customFormat="1">
      <c r="B1765" s="2196"/>
      <c r="D1765" s="2197" t="s">
        <v>3303</v>
      </c>
      <c r="E1765" s="2198" t="s">
        <v>3146</v>
      </c>
      <c r="F1765" s="2199" t="s">
        <v>5430</v>
      </c>
      <c r="H1765" s="2198" t="s">
        <v>3146</v>
      </c>
      <c r="L1765" s="2196"/>
      <c r="M1765" s="2200"/>
      <c r="T1765" s="2201"/>
      <c r="AT1765" s="2198" t="s">
        <v>3303</v>
      </c>
      <c r="AU1765" s="2198" t="s">
        <v>134</v>
      </c>
      <c r="AV1765" s="2195" t="s">
        <v>133</v>
      </c>
      <c r="AW1765" s="2195" t="s">
        <v>3171</v>
      </c>
      <c r="AX1765" s="2195" t="s">
        <v>3213</v>
      </c>
      <c r="AY1765" s="2198" t="s">
        <v>3285</v>
      </c>
    </row>
    <row r="1766" spans="2:65" s="2209" customFormat="1">
      <c r="B1766" s="2210"/>
      <c r="D1766" s="2197" t="s">
        <v>3303</v>
      </c>
      <c r="E1766" s="2211" t="s">
        <v>3146</v>
      </c>
      <c r="F1766" s="2212" t="s">
        <v>2894</v>
      </c>
      <c r="H1766" s="2213">
        <v>16</v>
      </c>
      <c r="L1766" s="2210"/>
      <c r="M1766" s="2214"/>
      <c r="T1766" s="2215"/>
      <c r="AT1766" s="2211" t="s">
        <v>3303</v>
      </c>
      <c r="AU1766" s="2211" t="s">
        <v>134</v>
      </c>
      <c r="AV1766" s="2209" t="s">
        <v>134</v>
      </c>
      <c r="AW1766" s="2209" t="s">
        <v>3171</v>
      </c>
      <c r="AX1766" s="2209" t="s">
        <v>3213</v>
      </c>
      <c r="AY1766" s="2211" t="s">
        <v>3285</v>
      </c>
    </row>
    <row r="1767" spans="2:65" s="2195" customFormat="1">
      <c r="B1767" s="2196"/>
      <c r="D1767" s="2197" t="s">
        <v>3303</v>
      </c>
      <c r="E1767" s="2198" t="s">
        <v>3146</v>
      </c>
      <c r="F1767" s="2199" t="s">
        <v>5432</v>
      </c>
      <c r="H1767" s="2198" t="s">
        <v>3146</v>
      </c>
      <c r="L1767" s="2196"/>
      <c r="M1767" s="2200"/>
      <c r="T1767" s="2201"/>
      <c r="AT1767" s="2198" t="s">
        <v>3303</v>
      </c>
      <c r="AU1767" s="2198" t="s">
        <v>134</v>
      </c>
      <c r="AV1767" s="2195" t="s">
        <v>133</v>
      </c>
      <c r="AW1767" s="2195" t="s">
        <v>3171</v>
      </c>
      <c r="AX1767" s="2195" t="s">
        <v>3213</v>
      </c>
      <c r="AY1767" s="2198" t="s">
        <v>3285</v>
      </c>
    </row>
    <row r="1768" spans="2:65" s="2209" customFormat="1">
      <c r="B1768" s="2210"/>
      <c r="D1768" s="2197" t="s">
        <v>3303</v>
      </c>
      <c r="E1768" s="2211" t="s">
        <v>3146</v>
      </c>
      <c r="F1768" s="2212" t="s">
        <v>133</v>
      </c>
      <c r="H1768" s="2213">
        <v>1</v>
      </c>
      <c r="L1768" s="2210"/>
      <c r="M1768" s="2214"/>
      <c r="T1768" s="2215"/>
      <c r="AT1768" s="2211" t="s">
        <v>3303</v>
      </c>
      <c r="AU1768" s="2211" t="s">
        <v>134</v>
      </c>
      <c r="AV1768" s="2209" t="s">
        <v>134</v>
      </c>
      <c r="AW1768" s="2209" t="s">
        <v>3171</v>
      </c>
      <c r="AX1768" s="2209" t="s">
        <v>3213</v>
      </c>
      <c r="AY1768" s="2211" t="s">
        <v>3285</v>
      </c>
    </row>
    <row r="1769" spans="2:65" s="2195" customFormat="1">
      <c r="B1769" s="2196"/>
      <c r="D1769" s="2197" t="s">
        <v>3303</v>
      </c>
      <c r="E1769" s="2198" t="s">
        <v>3146</v>
      </c>
      <c r="F1769" s="2199" t="s">
        <v>5433</v>
      </c>
      <c r="H1769" s="2198" t="s">
        <v>3146</v>
      </c>
      <c r="L1769" s="2196"/>
      <c r="M1769" s="2200"/>
      <c r="T1769" s="2201"/>
      <c r="AT1769" s="2198" t="s">
        <v>3303</v>
      </c>
      <c r="AU1769" s="2198" t="s">
        <v>134</v>
      </c>
      <c r="AV1769" s="2195" t="s">
        <v>133</v>
      </c>
      <c r="AW1769" s="2195" t="s">
        <v>3171</v>
      </c>
      <c r="AX1769" s="2195" t="s">
        <v>3213</v>
      </c>
      <c r="AY1769" s="2198" t="s">
        <v>3285</v>
      </c>
    </row>
    <row r="1770" spans="2:65" s="2209" customFormat="1">
      <c r="B1770" s="2210"/>
      <c r="D1770" s="2197" t="s">
        <v>3303</v>
      </c>
      <c r="E1770" s="2211" t="s">
        <v>3146</v>
      </c>
      <c r="F1770" s="2212" t="s">
        <v>854</v>
      </c>
      <c r="H1770" s="2213">
        <v>3</v>
      </c>
      <c r="L1770" s="2210"/>
      <c r="M1770" s="2214"/>
      <c r="T1770" s="2215"/>
      <c r="AT1770" s="2211" t="s">
        <v>3303</v>
      </c>
      <c r="AU1770" s="2211" t="s">
        <v>134</v>
      </c>
      <c r="AV1770" s="2209" t="s">
        <v>134</v>
      </c>
      <c r="AW1770" s="2209" t="s">
        <v>3171</v>
      </c>
      <c r="AX1770" s="2209" t="s">
        <v>3213</v>
      </c>
      <c r="AY1770" s="2211" t="s">
        <v>3285</v>
      </c>
    </row>
    <row r="1771" spans="2:65" s="2216" customFormat="1">
      <c r="B1771" s="2217"/>
      <c r="D1771" s="2197" t="s">
        <v>3303</v>
      </c>
      <c r="E1771" s="2218" t="s">
        <v>3146</v>
      </c>
      <c r="F1771" s="2219" t="s">
        <v>3306</v>
      </c>
      <c r="H1771" s="2220">
        <v>58</v>
      </c>
      <c r="L1771" s="2217"/>
      <c r="M1771" s="2221"/>
      <c r="T1771" s="2222"/>
      <c r="AT1771" s="2218" t="s">
        <v>3303</v>
      </c>
      <c r="AU1771" s="2218" t="s">
        <v>134</v>
      </c>
      <c r="AV1771" s="2216" t="s">
        <v>856</v>
      </c>
      <c r="AW1771" s="2216" t="s">
        <v>3171</v>
      </c>
      <c r="AX1771" s="2216" t="s">
        <v>133</v>
      </c>
      <c r="AY1771" s="2218" t="s">
        <v>3285</v>
      </c>
    </row>
    <row r="1772" spans="2:65" s="2070" customFormat="1" ht="24.2" customHeight="1">
      <c r="B1772" s="2164"/>
      <c r="C1772" s="4614" t="s">
        <v>11544</v>
      </c>
      <c r="D1772" s="4614" t="s">
        <v>135</v>
      </c>
      <c r="E1772" s="4615" t="s">
        <v>5752</v>
      </c>
      <c r="F1772" s="4616" t="s">
        <v>5753</v>
      </c>
      <c r="G1772" s="4617" t="s">
        <v>611</v>
      </c>
      <c r="H1772" s="4618">
        <v>377.81299999999999</v>
      </c>
      <c r="I1772" s="4619"/>
      <c r="J1772" s="4619">
        <f>ROUND(I1772*H1772,2)</f>
        <v>0</v>
      </c>
      <c r="K1772" s="4616" t="s">
        <v>142</v>
      </c>
      <c r="L1772" s="2223"/>
      <c r="M1772" s="2224" t="s">
        <v>3146</v>
      </c>
      <c r="N1772" s="2225" t="s">
        <v>3181</v>
      </c>
      <c r="O1772" s="2191">
        <v>0</v>
      </c>
      <c r="P1772" s="2191">
        <f>O1772*H1772</f>
        <v>0</v>
      </c>
      <c r="Q1772" s="2191">
        <v>1E-3</v>
      </c>
      <c r="R1772" s="2191">
        <f>Q1772*H1772</f>
        <v>0.37781300000000001</v>
      </c>
      <c r="S1772" s="2191">
        <v>0</v>
      </c>
      <c r="T1772" s="2192">
        <f>S1772*H1772</f>
        <v>0</v>
      </c>
      <c r="AR1772" s="2193" t="s">
        <v>3389</v>
      </c>
      <c r="AT1772" s="2193" t="s">
        <v>135</v>
      </c>
      <c r="AU1772" s="2193" t="s">
        <v>134</v>
      </c>
      <c r="AY1772" s="2056" t="s">
        <v>3285</v>
      </c>
      <c r="BE1772" s="2194">
        <f>IF(N1772="základní",J1772,0)</f>
        <v>0</v>
      </c>
      <c r="BF1772" s="2194">
        <f>IF(N1772="snížená",J1772,0)</f>
        <v>0</v>
      </c>
      <c r="BG1772" s="2194">
        <f>IF(N1772="zákl. přenesená",J1772,0)</f>
        <v>0</v>
      </c>
      <c r="BH1772" s="2194">
        <f>IF(N1772="sníž. přenesená",J1772,0)</f>
        <v>0</v>
      </c>
      <c r="BI1772" s="2194">
        <f>IF(N1772="nulová",J1772,0)</f>
        <v>0</v>
      </c>
      <c r="BJ1772" s="2056" t="s">
        <v>134</v>
      </c>
      <c r="BK1772" s="2194">
        <f>ROUND(I1772*H1772,2)</f>
        <v>0</v>
      </c>
      <c r="BL1772" s="2056" t="s">
        <v>2894</v>
      </c>
      <c r="BM1772" s="2193" t="s">
        <v>5754</v>
      </c>
    </row>
    <row r="1773" spans="2:65" s="2195" customFormat="1">
      <c r="B1773" s="2196"/>
      <c r="D1773" s="2197" t="s">
        <v>3303</v>
      </c>
      <c r="E1773" s="2198" t="s">
        <v>3146</v>
      </c>
      <c r="F1773" s="2199" t="s">
        <v>5419</v>
      </c>
      <c r="H1773" s="2198" t="s">
        <v>3146</v>
      </c>
      <c r="L1773" s="2196"/>
      <c r="M1773" s="2200"/>
      <c r="T1773" s="2201"/>
      <c r="AT1773" s="2198" t="s">
        <v>3303</v>
      </c>
      <c r="AU1773" s="2198" t="s">
        <v>134</v>
      </c>
      <c r="AV1773" s="2195" t="s">
        <v>133</v>
      </c>
      <c r="AW1773" s="2195" t="s">
        <v>3171</v>
      </c>
      <c r="AX1773" s="2195" t="s">
        <v>3213</v>
      </c>
      <c r="AY1773" s="2198" t="s">
        <v>3285</v>
      </c>
    </row>
    <row r="1774" spans="2:65" s="2209" customFormat="1">
      <c r="B1774" s="2210"/>
      <c r="D1774" s="2197" t="s">
        <v>3303</v>
      </c>
      <c r="E1774" s="2211" t="s">
        <v>3146</v>
      </c>
      <c r="F1774" s="2212" t="s">
        <v>5755</v>
      </c>
      <c r="H1774" s="2213">
        <v>123.75</v>
      </c>
      <c r="L1774" s="2210"/>
      <c r="M1774" s="2214"/>
      <c r="T1774" s="2215"/>
      <c r="AT1774" s="2211" t="s">
        <v>3303</v>
      </c>
      <c r="AU1774" s="2211" t="s">
        <v>134</v>
      </c>
      <c r="AV1774" s="2209" t="s">
        <v>134</v>
      </c>
      <c r="AW1774" s="2209" t="s">
        <v>3171</v>
      </c>
      <c r="AX1774" s="2209" t="s">
        <v>3213</v>
      </c>
      <c r="AY1774" s="2211" t="s">
        <v>3285</v>
      </c>
    </row>
    <row r="1775" spans="2:65" s="2195" customFormat="1">
      <c r="B1775" s="2196"/>
      <c r="D1775" s="2197" t="s">
        <v>3303</v>
      </c>
      <c r="E1775" s="2198" t="s">
        <v>3146</v>
      </c>
      <c r="F1775" s="2199" t="s">
        <v>5421</v>
      </c>
      <c r="H1775" s="2198" t="s">
        <v>3146</v>
      </c>
      <c r="L1775" s="2196"/>
      <c r="M1775" s="2200"/>
      <c r="T1775" s="2201"/>
      <c r="AT1775" s="2198" t="s">
        <v>3303</v>
      </c>
      <c r="AU1775" s="2198" t="s">
        <v>134</v>
      </c>
      <c r="AV1775" s="2195" t="s">
        <v>133</v>
      </c>
      <c r="AW1775" s="2195" t="s">
        <v>3171</v>
      </c>
      <c r="AX1775" s="2195" t="s">
        <v>3213</v>
      </c>
      <c r="AY1775" s="2198" t="s">
        <v>3285</v>
      </c>
    </row>
    <row r="1776" spans="2:65" s="2209" customFormat="1">
      <c r="B1776" s="2210"/>
      <c r="D1776" s="2197" t="s">
        <v>3303</v>
      </c>
      <c r="E1776" s="2211" t="s">
        <v>3146</v>
      </c>
      <c r="F1776" s="2212" t="s">
        <v>5756</v>
      </c>
      <c r="H1776" s="2213">
        <v>5.9379999999999997</v>
      </c>
      <c r="L1776" s="2210"/>
      <c r="M1776" s="2214"/>
      <c r="T1776" s="2215"/>
      <c r="AT1776" s="2211" t="s">
        <v>3303</v>
      </c>
      <c r="AU1776" s="2211" t="s">
        <v>134</v>
      </c>
      <c r="AV1776" s="2209" t="s">
        <v>134</v>
      </c>
      <c r="AW1776" s="2209" t="s">
        <v>3171</v>
      </c>
      <c r="AX1776" s="2209" t="s">
        <v>3213</v>
      </c>
      <c r="AY1776" s="2211" t="s">
        <v>3285</v>
      </c>
    </row>
    <row r="1777" spans="2:65" s="2195" customFormat="1">
      <c r="B1777" s="2196"/>
      <c r="D1777" s="2197" t="s">
        <v>3303</v>
      </c>
      <c r="E1777" s="2198" t="s">
        <v>3146</v>
      </c>
      <c r="F1777" s="2199" t="s">
        <v>5423</v>
      </c>
      <c r="H1777" s="2198" t="s">
        <v>3146</v>
      </c>
      <c r="L1777" s="2196"/>
      <c r="M1777" s="2200"/>
      <c r="T1777" s="2201"/>
      <c r="AT1777" s="2198" t="s">
        <v>3303</v>
      </c>
      <c r="AU1777" s="2198" t="s">
        <v>134</v>
      </c>
      <c r="AV1777" s="2195" t="s">
        <v>133</v>
      </c>
      <c r="AW1777" s="2195" t="s">
        <v>3171</v>
      </c>
      <c r="AX1777" s="2195" t="s">
        <v>3213</v>
      </c>
      <c r="AY1777" s="2198" t="s">
        <v>3285</v>
      </c>
    </row>
    <row r="1778" spans="2:65" s="2209" customFormat="1">
      <c r="B1778" s="2210"/>
      <c r="D1778" s="2197" t="s">
        <v>3303</v>
      </c>
      <c r="E1778" s="2211" t="s">
        <v>3146</v>
      </c>
      <c r="F1778" s="2212" t="s">
        <v>5757</v>
      </c>
      <c r="H1778" s="2213">
        <v>103.125</v>
      </c>
      <c r="L1778" s="2210"/>
      <c r="M1778" s="2214"/>
      <c r="T1778" s="2215"/>
      <c r="AT1778" s="2211" t="s">
        <v>3303</v>
      </c>
      <c r="AU1778" s="2211" t="s">
        <v>134</v>
      </c>
      <c r="AV1778" s="2209" t="s">
        <v>134</v>
      </c>
      <c r="AW1778" s="2209" t="s">
        <v>3171</v>
      </c>
      <c r="AX1778" s="2209" t="s">
        <v>3213</v>
      </c>
      <c r="AY1778" s="2211" t="s">
        <v>3285</v>
      </c>
    </row>
    <row r="1779" spans="2:65" s="2195" customFormat="1">
      <c r="B1779" s="2196"/>
      <c r="D1779" s="2197" t="s">
        <v>3303</v>
      </c>
      <c r="E1779" s="2198" t="s">
        <v>3146</v>
      </c>
      <c r="F1779" s="2199" t="s">
        <v>5425</v>
      </c>
      <c r="H1779" s="2198" t="s">
        <v>3146</v>
      </c>
      <c r="L1779" s="2196"/>
      <c r="M1779" s="2200"/>
      <c r="T1779" s="2201"/>
      <c r="AT1779" s="2198" t="s">
        <v>3303</v>
      </c>
      <c r="AU1779" s="2198" t="s">
        <v>134</v>
      </c>
      <c r="AV1779" s="2195" t="s">
        <v>133</v>
      </c>
      <c r="AW1779" s="2195" t="s">
        <v>3171</v>
      </c>
      <c r="AX1779" s="2195" t="s">
        <v>3213</v>
      </c>
      <c r="AY1779" s="2198" t="s">
        <v>3285</v>
      </c>
    </row>
    <row r="1780" spans="2:65" s="2209" customFormat="1">
      <c r="B1780" s="2210"/>
      <c r="D1780" s="2197" t="s">
        <v>3303</v>
      </c>
      <c r="E1780" s="2211" t="s">
        <v>3146</v>
      </c>
      <c r="F1780" s="2212" t="s">
        <v>5758</v>
      </c>
      <c r="H1780" s="2213">
        <v>20.625</v>
      </c>
      <c r="L1780" s="2210"/>
      <c r="M1780" s="2214"/>
      <c r="T1780" s="2215"/>
      <c r="AT1780" s="2211" t="s">
        <v>3303</v>
      </c>
      <c r="AU1780" s="2211" t="s">
        <v>134</v>
      </c>
      <c r="AV1780" s="2209" t="s">
        <v>134</v>
      </c>
      <c r="AW1780" s="2209" t="s">
        <v>3171</v>
      </c>
      <c r="AX1780" s="2209" t="s">
        <v>3213</v>
      </c>
      <c r="AY1780" s="2211" t="s">
        <v>3285</v>
      </c>
    </row>
    <row r="1781" spans="2:65" s="2195" customFormat="1">
      <c r="B1781" s="2196"/>
      <c r="D1781" s="2197" t="s">
        <v>3303</v>
      </c>
      <c r="E1781" s="2198" t="s">
        <v>3146</v>
      </c>
      <c r="F1781" s="2199" t="s">
        <v>5427</v>
      </c>
      <c r="H1781" s="2198" t="s">
        <v>3146</v>
      </c>
      <c r="L1781" s="2196"/>
      <c r="M1781" s="2200"/>
      <c r="T1781" s="2201"/>
      <c r="AT1781" s="2198" t="s">
        <v>3303</v>
      </c>
      <c r="AU1781" s="2198" t="s">
        <v>134</v>
      </c>
      <c r="AV1781" s="2195" t="s">
        <v>133</v>
      </c>
      <c r="AW1781" s="2195" t="s">
        <v>3171</v>
      </c>
      <c r="AX1781" s="2195" t="s">
        <v>3213</v>
      </c>
      <c r="AY1781" s="2198" t="s">
        <v>3285</v>
      </c>
    </row>
    <row r="1782" spans="2:65" s="2209" customFormat="1">
      <c r="B1782" s="2210"/>
      <c r="D1782" s="2197" t="s">
        <v>3303</v>
      </c>
      <c r="E1782" s="2211" t="s">
        <v>3146</v>
      </c>
      <c r="F1782" s="2212" t="s">
        <v>5759</v>
      </c>
      <c r="H1782" s="2213">
        <v>6.875</v>
      </c>
      <c r="L1782" s="2210"/>
      <c r="M1782" s="2214"/>
      <c r="T1782" s="2215"/>
      <c r="AT1782" s="2211" t="s">
        <v>3303</v>
      </c>
      <c r="AU1782" s="2211" t="s">
        <v>134</v>
      </c>
      <c r="AV1782" s="2209" t="s">
        <v>134</v>
      </c>
      <c r="AW1782" s="2209" t="s">
        <v>3171</v>
      </c>
      <c r="AX1782" s="2209" t="s">
        <v>3213</v>
      </c>
      <c r="AY1782" s="2211" t="s">
        <v>3285</v>
      </c>
    </row>
    <row r="1783" spans="2:65" s="2195" customFormat="1">
      <c r="B1783" s="2196"/>
      <c r="D1783" s="2197" t="s">
        <v>3303</v>
      </c>
      <c r="E1783" s="2198" t="s">
        <v>3146</v>
      </c>
      <c r="F1783" s="2199" t="s">
        <v>5430</v>
      </c>
      <c r="H1783" s="2198" t="s">
        <v>3146</v>
      </c>
      <c r="L1783" s="2196"/>
      <c r="M1783" s="2200"/>
      <c r="T1783" s="2201"/>
      <c r="AT1783" s="2198" t="s">
        <v>3303</v>
      </c>
      <c r="AU1783" s="2198" t="s">
        <v>134</v>
      </c>
      <c r="AV1783" s="2195" t="s">
        <v>133</v>
      </c>
      <c r="AW1783" s="2195" t="s">
        <v>3171</v>
      </c>
      <c r="AX1783" s="2195" t="s">
        <v>3213</v>
      </c>
      <c r="AY1783" s="2198" t="s">
        <v>3285</v>
      </c>
    </row>
    <row r="1784" spans="2:65" s="2209" customFormat="1">
      <c r="B1784" s="2210"/>
      <c r="D1784" s="2197" t="s">
        <v>3303</v>
      </c>
      <c r="E1784" s="2211" t="s">
        <v>3146</v>
      </c>
      <c r="F1784" s="2212" t="s">
        <v>5760</v>
      </c>
      <c r="H1784" s="2213">
        <v>90</v>
      </c>
      <c r="L1784" s="2210"/>
      <c r="M1784" s="2214"/>
      <c r="T1784" s="2215"/>
      <c r="AT1784" s="2211" t="s">
        <v>3303</v>
      </c>
      <c r="AU1784" s="2211" t="s">
        <v>134</v>
      </c>
      <c r="AV1784" s="2209" t="s">
        <v>134</v>
      </c>
      <c r="AW1784" s="2209" t="s">
        <v>3171</v>
      </c>
      <c r="AX1784" s="2209" t="s">
        <v>3213</v>
      </c>
      <c r="AY1784" s="2211" t="s">
        <v>3285</v>
      </c>
    </row>
    <row r="1785" spans="2:65" s="2195" customFormat="1">
      <c r="B1785" s="2196"/>
      <c r="D1785" s="2197" t="s">
        <v>3303</v>
      </c>
      <c r="E1785" s="2198" t="s">
        <v>3146</v>
      </c>
      <c r="F1785" s="2199" t="s">
        <v>5432</v>
      </c>
      <c r="H1785" s="2198" t="s">
        <v>3146</v>
      </c>
      <c r="L1785" s="2196"/>
      <c r="M1785" s="2200"/>
      <c r="T1785" s="2201"/>
      <c r="AT1785" s="2198" t="s">
        <v>3303</v>
      </c>
      <c r="AU1785" s="2198" t="s">
        <v>134</v>
      </c>
      <c r="AV1785" s="2195" t="s">
        <v>133</v>
      </c>
      <c r="AW1785" s="2195" t="s">
        <v>3171</v>
      </c>
      <c r="AX1785" s="2195" t="s">
        <v>3213</v>
      </c>
      <c r="AY1785" s="2198" t="s">
        <v>3285</v>
      </c>
    </row>
    <row r="1786" spans="2:65" s="2209" customFormat="1">
      <c r="B1786" s="2210"/>
      <c r="D1786" s="2197" t="s">
        <v>3303</v>
      </c>
      <c r="E1786" s="2211" t="s">
        <v>3146</v>
      </c>
      <c r="F1786" s="2212" t="s">
        <v>5759</v>
      </c>
      <c r="H1786" s="2213">
        <v>6.875</v>
      </c>
      <c r="L1786" s="2210"/>
      <c r="M1786" s="2214"/>
      <c r="T1786" s="2215"/>
      <c r="AT1786" s="2211" t="s">
        <v>3303</v>
      </c>
      <c r="AU1786" s="2211" t="s">
        <v>134</v>
      </c>
      <c r="AV1786" s="2209" t="s">
        <v>134</v>
      </c>
      <c r="AW1786" s="2209" t="s">
        <v>3171</v>
      </c>
      <c r="AX1786" s="2209" t="s">
        <v>3213</v>
      </c>
      <c r="AY1786" s="2211" t="s">
        <v>3285</v>
      </c>
    </row>
    <row r="1787" spans="2:65" s="2195" customFormat="1">
      <c r="B1787" s="2196"/>
      <c r="D1787" s="2197" t="s">
        <v>3303</v>
      </c>
      <c r="E1787" s="2198" t="s">
        <v>3146</v>
      </c>
      <c r="F1787" s="2199" t="s">
        <v>5433</v>
      </c>
      <c r="H1787" s="2198" t="s">
        <v>3146</v>
      </c>
      <c r="L1787" s="2196"/>
      <c r="M1787" s="2200"/>
      <c r="T1787" s="2201"/>
      <c r="AT1787" s="2198" t="s">
        <v>3303</v>
      </c>
      <c r="AU1787" s="2198" t="s">
        <v>134</v>
      </c>
      <c r="AV1787" s="2195" t="s">
        <v>133</v>
      </c>
      <c r="AW1787" s="2195" t="s">
        <v>3171</v>
      </c>
      <c r="AX1787" s="2195" t="s">
        <v>3213</v>
      </c>
      <c r="AY1787" s="2198" t="s">
        <v>3285</v>
      </c>
    </row>
    <row r="1788" spans="2:65" s="2209" customFormat="1">
      <c r="B1788" s="2210"/>
      <c r="D1788" s="2197" t="s">
        <v>3303</v>
      </c>
      <c r="E1788" s="2211" t="s">
        <v>3146</v>
      </c>
      <c r="F1788" s="2212" t="s">
        <v>5758</v>
      </c>
      <c r="H1788" s="2213">
        <v>20.625</v>
      </c>
      <c r="L1788" s="2210"/>
      <c r="M1788" s="2214"/>
      <c r="T1788" s="2215"/>
      <c r="AT1788" s="2211" t="s">
        <v>3303</v>
      </c>
      <c r="AU1788" s="2211" t="s">
        <v>134</v>
      </c>
      <c r="AV1788" s="2209" t="s">
        <v>134</v>
      </c>
      <c r="AW1788" s="2209" t="s">
        <v>3171</v>
      </c>
      <c r="AX1788" s="2209" t="s">
        <v>3213</v>
      </c>
      <c r="AY1788" s="2211" t="s">
        <v>3285</v>
      </c>
    </row>
    <row r="1789" spans="2:65" s="2216" customFormat="1">
      <c r="B1789" s="2217"/>
      <c r="D1789" s="2197" t="s">
        <v>3303</v>
      </c>
      <c r="E1789" s="2218" t="s">
        <v>3146</v>
      </c>
      <c r="F1789" s="2219" t="s">
        <v>3306</v>
      </c>
      <c r="H1789" s="2220">
        <v>377.81299999999999</v>
      </c>
      <c r="L1789" s="2217"/>
      <c r="M1789" s="2221"/>
      <c r="T1789" s="2222"/>
      <c r="AT1789" s="2218" t="s">
        <v>3303</v>
      </c>
      <c r="AU1789" s="2218" t="s">
        <v>134</v>
      </c>
      <c r="AV1789" s="2216" t="s">
        <v>856</v>
      </c>
      <c r="AW1789" s="2216" t="s">
        <v>3171</v>
      </c>
      <c r="AX1789" s="2216" t="s">
        <v>133</v>
      </c>
      <c r="AY1789" s="2218" t="s">
        <v>3285</v>
      </c>
    </row>
    <row r="1790" spans="2:65" s="2070" customFormat="1" ht="33" customHeight="1">
      <c r="B1790" s="2164"/>
      <c r="C1790" s="4608" t="s">
        <v>11545</v>
      </c>
      <c r="D1790" s="4608" t="s">
        <v>3286</v>
      </c>
      <c r="E1790" s="4609" t="s">
        <v>5761</v>
      </c>
      <c r="F1790" s="4610" t="s">
        <v>5762</v>
      </c>
      <c r="G1790" s="4611" t="s">
        <v>155</v>
      </c>
      <c r="H1790" s="4612">
        <v>5</v>
      </c>
      <c r="I1790" s="4613"/>
      <c r="J1790" s="4613">
        <f>ROUND(I1790*H1790,2)</f>
        <v>0</v>
      </c>
      <c r="K1790" s="4610" t="s">
        <v>142</v>
      </c>
      <c r="L1790" s="2071"/>
      <c r="M1790" s="2190" t="s">
        <v>3146</v>
      </c>
      <c r="N1790" s="2163" t="s">
        <v>3181</v>
      </c>
      <c r="O1790" s="2191">
        <v>2.59</v>
      </c>
      <c r="P1790" s="2191">
        <f>O1790*H1790</f>
        <v>12.95</v>
      </c>
      <c r="Q1790" s="2191">
        <v>0</v>
      </c>
      <c r="R1790" s="2191">
        <f>Q1790*H1790</f>
        <v>0</v>
      </c>
      <c r="S1790" s="2191">
        <v>0</v>
      </c>
      <c r="T1790" s="2192">
        <f>S1790*H1790</f>
        <v>0</v>
      </c>
      <c r="AR1790" s="2193" t="s">
        <v>2894</v>
      </c>
      <c r="AT1790" s="2193" t="s">
        <v>3286</v>
      </c>
      <c r="AU1790" s="2193" t="s">
        <v>134</v>
      </c>
      <c r="AY1790" s="2056" t="s">
        <v>3285</v>
      </c>
      <c r="BE1790" s="2194">
        <f>IF(N1790="základní",J1790,0)</f>
        <v>0</v>
      </c>
      <c r="BF1790" s="2194">
        <f>IF(N1790="snížená",J1790,0)</f>
        <v>0</v>
      </c>
      <c r="BG1790" s="2194">
        <f>IF(N1790="zákl. přenesená",J1790,0)</f>
        <v>0</v>
      </c>
      <c r="BH1790" s="2194">
        <f>IF(N1790="sníž. přenesená",J1790,0)</f>
        <v>0</v>
      </c>
      <c r="BI1790" s="2194">
        <f>IF(N1790="nulová",J1790,0)</f>
        <v>0</v>
      </c>
      <c r="BJ1790" s="2056" t="s">
        <v>134</v>
      </c>
      <c r="BK1790" s="2194">
        <f>ROUND(I1790*H1790,2)</f>
        <v>0</v>
      </c>
      <c r="BL1790" s="2056" t="s">
        <v>2894</v>
      </c>
      <c r="BM1790" s="2193" t="s">
        <v>5763</v>
      </c>
    </row>
    <row r="1791" spans="2:65" s="2195" customFormat="1">
      <c r="B1791" s="2196"/>
      <c r="D1791" s="2197" t="s">
        <v>3303</v>
      </c>
      <c r="E1791" s="2198" t="s">
        <v>3146</v>
      </c>
      <c r="F1791" s="2199" t="s">
        <v>5442</v>
      </c>
      <c r="H1791" s="2198" t="s">
        <v>3146</v>
      </c>
      <c r="L1791" s="2196"/>
      <c r="M1791" s="2200"/>
      <c r="T1791" s="2201"/>
      <c r="AT1791" s="2198" t="s">
        <v>3303</v>
      </c>
      <c r="AU1791" s="2198" t="s">
        <v>134</v>
      </c>
      <c r="AV1791" s="2195" t="s">
        <v>133</v>
      </c>
      <c r="AW1791" s="2195" t="s">
        <v>3171</v>
      </c>
      <c r="AX1791" s="2195" t="s">
        <v>3213</v>
      </c>
      <c r="AY1791" s="2198" t="s">
        <v>3285</v>
      </c>
    </row>
    <row r="1792" spans="2:65" s="2209" customFormat="1">
      <c r="B1792" s="2210"/>
      <c r="D1792" s="2197" t="s">
        <v>3303</v>
      </c>
      <c r="E1792" s="2211" t="s">
        <v>3146</v>
      </c>
      <c r="F1792" s="2212" t="s">
        <v>133</v>
      </c>
      <c r="H1792" s="2213">
        <v>1</v>
      </c>
      <c r="L1792" s="2210"/>
      <c r="M1792" s="2214"/>
      <c r="T1792" s="2215"/>
      <c r="AT1792" s="2211" t="s">
        <v>3303</v>
      </c>
      <c r="AU1792" s="2211" t="s">
        <v>134</v>
      </c>
      <c r="AV1792" s="2209" t="s">
        <v>134</v>
      </c>
      <c r="AW1792" s="2209" t="s">
        <v>3171</v>
      </c>
      <c r="AX1792" s="2209" t="s">
        <v>3213</v>
      </c>
      <c r="AY1792" s="2211" t="s">
        <v>3285</v>
      </c>
    </row>
    <row r="1793" spans="2:65" s="2195" customFormat="1">
      <c r="B1793" s="2196"/>
      <c r="D1793" s="2197" t="s">
        <v>3303</v>
      </c>
      <c r="E1793" s="2198" t="s">
        <v>3146</v>
      </c>
      <c r="F1793" s="2199" t="s">
        <v>5444</v>
      </c>
      <c r="H1793" s="2198" t="s">
        <v>3146</v>
      </c>
      <c r="L1793" s="2196"/>
      <c r="M1793" s="2200"/>
      <c r="T1793" s="2201"/>
      <c r="AT1793" s="2198" t="s">
        <v>3303</v>
      </c>
      <c r="AU1793" s="2198" t="s">
        <v>134</v>
      </c>
      <c r="AV1793" s="2195" t="s">
        <v>133</v>
      </c>
      <c r="AW1793" s="2195" t="s">
        <v>3171</v>
      </c>
      <c r="AX1793" s="2195" t="s">
        <v>3213</v>
      </c>
      <c r="AY1793" s="2198" t="s">
        <v>3285</v>
      </c>
    </row>
    <row r="1794" spans="2:65" s="2209" customFormat="1">
      <c r="B1794" s="2210"/>
      <c r="D1794" s="2197" t="s">
        <v>3303</v>
      </c>
      <c r="E1794" s="2211" t="s">
        <v>3146</v>
      </c>
      <c r="F1794" s="2212" t="s">
        <v>134</v>
      </c>
      <c r="H1794" s="2213">
        <v>2</v>
      </c>
      <c r="L1794" s="2210"/>
      <c r="M1794" s="2214"/>
      <c r="T1794" s="2215"/>
      <c r="AT1794" s="2211" t="s">
        <v>3303</v>
      </c>
      <c r="AU1794" s="2211" t="s">
        <v>134</v>
      </c>
      <c r="AV1794" s="2209" t="s">
        <v>134</v>
      </c>
      <c r="AW1794" s="2209" t="s">
        <v>3171</v>
      </c>
      <c r="AX1794" s="2209" t="s">
        <v>3213</v>
      </c>
      <c r="AY1794" s="2211" t="s">
        <v>3285</v>
      </c>
    </row>
    <row r="1795" spans="2:65" s="2195" customFormat="1">
      <c r="B1795" s="2196"/>
      <c r="D1795" s="2197" t="s">
        <v>3303</v>
      </c>
      <c r="E1795" s="2198" t="s">
        <v>3146</v>
      </c>
      <c r="F1795" s="2199" t="s">
        <v>5446</v>
      </c>
      <c r="H1795" s="2198" t="s">
        <v>3146</v>
      </c>
      <c r="L1795" s="2196"/>
      <c r="M1795" s="2200"/>
      <c r="T1795" s="2201"/>
      <c r="AT1795" s="2198" t="s">
        <v>3303</v>
      </c>
      <c r="AU1795" s="2198" t="s">
        <v>134</v>
      </c>
      <c r="AV1795" s="2195" t="s">
        <v>133</v>
      </c>
      <c r="AW1795" s="2195" t="s">
        <v>3171</v>
      </c>
      <c r="AX1795" s="2195" t="s">
        <v>3213</v>
      </c>
      <c r="AY1795" s="2198" t="s">
        <v>3285</v>
      </c>
    </row>
    <row r="1796" spans="2:65" s="2209" customFormat="1">
      <c r="B1796" s="2210"/>
      <c r="D1796" s="2197" t="s">
        <v>3303</v>
      </c>
      <c r="E1796" s="2211" t="s">
        <v>3146</v>
      </c>
      <c r="F1796" s="2212" t="s">
        <v>134</v>
      </c>
      <c r="H1796" s="2213">
        <v>2</v>
      </c>
      <c r="L1796" s="2210"/>
      <c r="M1796" s="2214"/>
      <c r="T1796" s="2215"/>
      <c r="AT1796" s="2211" t="s">
        <v>3303</v>
      </c>
      <c r="AU1796" s="2211" t="s">
        <v>134</v>
      </c>
      <c r="AV1796" s="2209" t="s">
        <v>134</v>
      </c>
      <c r="AW1796" s="2209" t="s">
        <v>3171</v>
      </c>
      <c r="AX1796" s="2209" t="s">
        <v>3213</v>
      </c>
      <c r="AY1796" s="2211" t="s">
        <v>3285</v>
      </c>
    </row>
    <row r="1797" spans="2:65" s="2216" customFormat="1">
      <c r="B1797" s="2217"/>
      <c r="D1797" s="2197" t="s">
        <v>3303</v>
      </c>
      <c r="E1797" s="2218" t="s">
        <v>3146</v>
      </c>
      <c r="F1797" s="2219" t="s">
        <v>3306</v>
      </c>
      <c r="H1797" s="2220">
        <v>5</v>
      </c>
      <c r="L1797" s="2217"/>
      <c r="M1797" s="2221"/>
      <c r="T1797" s="2222"/>
      <c r="AT1797" s="2218" t="s">
        <v>3303</v>
      </c>
      <c r="AU1797" s="2218" t="s">
        <v>134</v>
      </c>
      <c r="AV1797" s="2216" t="s">
        <v>856</v>
      </c>
      <c r="AW1797" s="2216" t="s">
        <v>3171</v>
      </c>
      <c r="AX1797" s="2216" t="s">
        <v>133</v>
      </c>
      <c r="AY1797" s="2218" t="s">
        <v>3285</v>
      </c>
    </row>
    <row r="1798" spans="2:65" s="2070" customFormat="1" ht="24.2" customHeight="1">
      <c r="B1798" s="2164"/>
      <c r="C1798" s="4614" t="s">
        <v>11546</v>
      </c>
      <c r="D1798" s="4614" t="s">
        <v>135</v>
      </c>
      <c r="E1798" s="4615" t="s">
        <v>5764</v>
      </c>
      <c r="F1798" s="4616" t="s">
        <v>5765</v>
      </c>
      <c r="G1798" s="4617" t="s">
        <v>611</v>
      </c>
      <c r="H1798" s="4618">
        <v>85.388000000000005</v>
      </c>
      <c r="I1798" s="4619"/>
      <c r="J1798" s="4619">
        <f>ROUND(I1798*H1798,2)</f>
        <v>0</v>
      </c>
      <c r="K1798" s="4616" t="s">
        <v>142</v>
      </c>
      <c r="L1798" s="2223"/>
      <c r="M1798" s="2224" t="s">
        <v>3146</v>
      </c>
      <c r="N1798" s="2225" t="s">
        <v>3181</v>
      </c>
      <c r="O1798" s="2191">
        <v>0</v>
      </c>
      <c r="P1798" s="2191">
        <f>O1798*H1798</f>
        <v>0</v>
      </c>
      <c r="Q1798" s="2191">
        <v>1E-3</v>
      </c>
      <c r="R1798" s="2191">
        <f>Q1798*H1798</f>
        <v>8.5388000000000006E-2</v>
      </c>
      <c r="S1798" s="2191">
        <v>0</v>
      </c>
      <c r="T1798" s="2192">
        <f>S1798*H1798</f>
        <v>0</v>
      </c>
      <c r="AR1798" s="2193" t="s">
        <v>3389</v>
      </c>
      <c r="AT1798" s="2193" t="s">
        <v>135</v>
      </c>
      <c r="AU1798" s="2193" t="s">
        <v>134</v>
      </c>
      <c r="AY1798" s="2056" t="s">
        <v>3285</v>
      </c>
      <c r="BE1798" s="2194">
        <f>IF(N1798="základní",J1798,0)</f>
        <v>0</v>
      </c>
      <c r="BF1798" s="2194">
        <f>IF(N1798="snížená",J1798,0)</f>
        <v>0</v>
      </c>
      <c r="BG1798" s="2194">
        <f>IF(N1798="zákl. přenesená",J1798,0)</f>
        <v>0</v>
      </c>
      <c r="BH1798" s="2194">
        <f>IF(N1798="sníž. přenesená",J1798,0)</f>
        <v>0</v>
      </c>
      <c r="BI1798" s="2194">
        <f>IF(N1798="nulová",J1798,0)</f>
        <v>0</v>
      </c>
      <c r="BJ1798" s="2056" t="s">
        <v>134</v>
      </c>
      <c r="BK1798" s="2194">
        <f>ROUND(I1798*H1798,2)</f>
        <v>0</v>
      </c>
      <c r="BL1798" s="2056" t="s">
        <v>2894</v>
      </c>
      <c r="BM1798" s="2193" t="s">
        <v>5766</v>
      </c>
    </row>
    <row r="1799" spans="2:65" s="2195" customFormat="1">
      <c r="B1799" s="2196"/>
      <c r="D1799" s="2197" t="s">
        <v>3303</v>
      </c>
      <c r="E1799" s="2198" t="s">
        <v>3146</v>
      </c>
      <c r="F1799" s="2199" t="s">
        <v>5442</v>
      </c>
      <c r="H1799" s="2198" t="s">
        <v>3146</v>
      </c>
      <c r="L1799" s="2196"/>
      <c r="M1799" s="2200"/>
      <c r="T1799" s="2201"/>
      <c r="AT1799" s="2198" t="s">
        <v>3303</v>
      </c>
      <c r="AU1799" s="2198" t="s">
        <v>134</v>
      </c>
      <c r="AV1799" s="2195" t="s">
        <v>133</v>
      </c>
      <c r="AW1799" s="2195" t="s">
        <v>3171</v>
      </c>
      <c r="AX1799" s="2195" t="s">
        <v>3213</v>
      </c>
      <c r="AY1799" s="2198" t="s">
        <v>3285</v>
      </c>
    </row>
    <row r="1800" spans="2:65" s="2209" customFormat="1">
      <c r="B1800" s="2210"/>
      <c r="D1800" s="2197" t="s">
        <v>3303</v>
      </c>
      <c r="E1800" s="2211" t="s">
        <v>3146</v>
      </c>
      <c r="F1800" s="2212" t="s">
        <v>5767</v>
      </c>
      <c r="H1800" s="2213">
        <v>18.562999999999999</v>
      </c>
      <c r="L1800" s="2210"/>
      <c r="M1800" s="2214"/>
      <c r="T1800" s="2215"/>
      <c r="AT1800" s="2211" t="s">
        <v>3303</v>
      </c>
      <c r="AU1800" s="2211" t="s">
        <v>134</v>
      </c>
      <c r="AV1800" s="2209" t="s">
        <v>134</v>
      </c>
      <c r="AW1800" s="2209" t="s">
        <v>3171</v>
      </c>
      <c r="AX1800" s="2209" t="s">
        <v>3213</v>
      </c>
      <c r="AY1800" s="2211" t="s">
        <v>3285</v>
      </c>
    </row>
    <row r="1801" spans="2:65" s="2195" customFormat="1">
      <c r="B1801" s="2196"/>
      <c r="D1801" s="2197" t="s">
        <v>3303</v>
      </c>
      <c r="E1801" s="2198" t="s">
        <v>3146</v>
      </c>
      <c r="F1801" s="2199" t="s">
        <v>5444</v>
      </c>
      <c r="H1801" s="2198" t="s">
        <v>3146</v>
      </c>
      <c r="L1801" s="2196"/>
      <c r="M1801" s="2200"/>
      <c r="T1801" s="2201"/>
      <c r="AT1801" s="2198" t="s">
        <v>3303</v>
      </c>
      <c r="AU1801" s="2198" t="s">
        <v>134</v>
      </c>
      <c r="AV1801" s="2195" t="s">
        <v>133</v>
      </c>
      <c r="AW1801" s="2195" t="s">
        <v>3171</v>
      </c>
      <c r="AX1801" s="2195" t="s">
        <v>3213</v>
      </c>
      <c r="AY1801" s="2198" t="s">
        <v>3285</v>
      </c>
    </row>
    <row r="1802" spans="2:65" s="2209" customFormat="1">
      <c r="B1802" s="2210"/>
      <c r="D1802" s="2197" t="s">
        <v>3303</v>
      </c>
      <c r="E1802" s="2211" t="s">
        <v>3146</v>
      </c>
      <c r="F1802" s="2212" t="s">
        <v>5768</v>
      </c>
      <c r="H1802" s="2213">
        <v>29.7</v>
      </c>
      <c r="L1802" s="2210"/>
      <c r="M1802" s="2214"/>
      <c r="T1802" s="2215"/>
      <c r="AT1802" s="2211" t="s">
        <v>3303</v>
      </c>
      <c r="AU1802" s="2211" t="s">
        <v>134</v>
      </c>
      <c r="AV1802" s="2209" t="s">
        <v>134</v>
      </c>
      <c r="AW1802" s="2209" t="s">
        <v>3171</v>
      </c>
      <c r="AX1802" s="2209" t="s">
        <v>3213</v>
      </c>
      <c r="AY1802" s="2211" t="s">
        <v>3285</v>
      </c>
    </row>
    <row r="1803" spans="2:65" s="2195" customFormat="1">
      <c r="B1803" s="2196"/>
      <c r="D1803" s="2197" t="s">
        <v>3303</v>
      </c>
      <c r="E1803" s="2198" t="s">
        <v>3146</v>
      </c>
      <c r="F1803" s="2199" t="s">
        <v>5446</v>
      </c>
      <c r="H1803" s="2198" t="s">
        <v>3146</v>
      </c>
      <c r="L1803" s="2196"/>
      <c r="M1803" s="2200"/>
      <c r="T1803" s="2201"/>
      <c r="AT1803" s="2198" t="s">
        <v>3303</v>
      </c>
      <c r="AU1803" s="2198" t="s">
        <v>134</v>
      </c>
      <c r="AV1803" s="2195" t="s">
        <v>133</v>
      </c>
      <c r="AW1803" s="2195" t="s">
        <v>3171</v>
      </c>
      <c r="AX1803" s="2195" t="s">
        <v>3213</v>
      </c>
      <c r="AY1803" s="2198" t="s">
        <v>3285</v>
      </c>
    </row>
    <row r="1804" spans="2:65" s="2209" customFormat="1">
      <c r="B1804" s="2210"/>
      <c r="D1804" s="2197" t="s">
        <v>3303</v>
      </c>
      <c r="E1804" s="2211" t="s">
        <v>3146</v>
      </c>
      <c r="F1804" s="2212" t="s">
        <v>5769</v>
      </c>
      <c r="H1804" s="2213">
        <v>37.125</v>
      </c>
      <c r="L1804" s="2210"/>
      <c r="M1804" s="2214"/>
      <c r="T1804" s="2215"/>
      <c r="AT1804" s="2211" t="s">
        <v>3303</v>
      </c>
      <c r="AU1804" s="2211" t="s">
        <v>134</v>
      </c>
      <c r="AV1804" s="2209" t="s">
        <v>134</v>
      </c>
      <c r="AW1804" s="2209" t="s">
        <v>3171</v>
      </c>
      <c r="AX1804" s="2209" t="s">
        <v>3213</v>
      </c>
      <c r="AY1804" s="2211" t="s">
        <v>3285</v>
      </c>
    </row>
    <row r="1805" spans="2:65" s="2216" customFormat="1">
      <c r="B1805" s="2217"/>
      <c r="D1805" s="2197" t="s">
        <v>3303</v>
      </c>
      <c r="E1805" s="2218" t="s">
        <v>3146</v>
      </c>
      <c r="F1805" s="2219" t="s">
        <v>3306</v>
      </c>
      <c r="H1805" s="2220">
        <v>85.388000000000005</v>
      </c>
      <c r="L1805" s="2217"/>
      <c r="M1805" s="2221"/>
      <c r="T1805" s="2222"/>
      <c r="AT1805" s="2218" t="s">
        <v>3303</v>
      </c>
      <c r="AU1805" s="2218" t="s">
        <v>134</v>
      </c>
      <c r="AV1805" s="2216" t="s">
        <v>856</v>
      </c>
      <c r="AW1805" s="2216" t="s">
        <v>3171</v>
      </c>
      <c r="AX1805" s="2216" t="s">
        <v>133</v>
      </c>
      <c r="AY1805" s="2218" t="s">
        <v>3285</v>
      </c>
    </row>
    <row r="1806" spans="2:65" s="2070" customFormat="1" ht="16.5" customHeight="1">
      <c r="B1806" s="2164"/>
      <c r="C1806" s="4608" t="s">
        <v>11547</v>
      </c>
      <c r="D1806" s="4608" t="s">
        <v>3286</v>
      </c>
      <c r="E1806" s="4609" t="s">
        <v>5770</v>
      </c>
      <c r="F1806" s="4610" t="s">
        <v>5771</v>
      </c>
      <c r="G1806" s="4611" t="s">
        <v>155</v>
      </c>
      <c r="H1806" s="4612">
        <v>16</v>
      </c>
      <c r="I1806" s="4613"/>
      <c r="J1806" s="4613">
        <f>ROUND(I1806*H1806,2)</f>
        <v>0</v>
      </c>
      <c r="K1806" s="4610" t="s">
        <v>142</v>
      </c>
      <c r="L1806" s="2071"/>
      <c r="M1806" s="2190" t="s">
        <v>3146</v>
      </c>
      <c r="N1806" s="2163" t="s">
        <v>3181</v>
      </c>
      <c r="O1806" s="2191">
        <v>1.0900000000000001</v>
      </c>
      <c r="P1806" s="2191">
        <f>O1806*H1806</f>
        <v>17.440000000000001</v>
      </c>
      <c r="Q1806" s="2191">
        <v>0</v>
      </c>
      <c r="R1806" s="2191">
        <f>Q1806*H1806</f>
        <v>0</v>
      </c>
      <c r="S1806" s="2191">
        <v>0</v>
      </c>
      <c r="T1806" s="2192">
        <f>S1806*H1806</f>
        <v>0</v>
      </c>
      <c r="AR1806" s="2193" t="s">
        <v>2894</v>
      </c>
      <c r="AT1806" s="2193" t="s">
        <v>3286</v>
      </c>
      <c r="AU1806" s="2193" t="s">
        <v>134</v>
      </c>
      <c r="AY1806" s="2056" t="s">
        <v>3285</v>
      </c>
      <c r="BE1806" s="2194">
        <f>IF(N1806="základní",J1806,0)</f>
        <v>0</v>
      </c>
      <c r="BF1806" s="2194">
        <f>IF(N1806="snížená",J1806,0)</f>
        <v>0</v>
      </c>
      <c r="BG1806" s="2194">
        <f>IF(N1806="zákl. přenesená",J1806,0)</f>
        <v>0</v>
      </c>
      <c r="BH1806" s="2194">
        <f>IF(N1806="sníž. přenesená",J1806,0)</f>
        <v>0</v>
      </c>
      <c r="BI1806" s="2194">
        <f>IF(N1806="nulová",J1806,0)</f>
        <v>0</v>
      </c>
      <c r="BJ1806" s="2056" t="s">
        <v>134</v>
      </c>
      <c r="BK1806" s="2194">
        <f>ROUND(I1806*H1806,2)</f>
        <v>0</v>
      </c>
      <c r="BL1806" s="2056" t="s">
        <v>2894</v>
      </c>
      <c r="BM1806" s="2193" t="s">
        <v>5772</v>
      </c>
    </row>
    <row r="1807" spans="2:65" s="2195" customFormat="1">
      <c r="B1807" s="2196"/>
      <c r="D1807" s="2197" t="s">
        <v>3303</v>
      </c>
      <c r="E1807" s="2198" t="s">
        <v>3146</v>
      </c>
      <c r="F1807" s="2199" t="s">
        <v>5410</v>
      </c>
      <c r="H1807" s="2198" t="s">
        <v>3146</v>
      </c>
      <c r="L1807" s="2196"/>
      <c r="M1807" s="2200"/>
      <c r="T1807" s="2201"/>
      <c r="AT1807" s="2198" t="s">
        <v>3303</v>
      </c>
      <c r="AU1807" s="2198" t="s">
        <v>134</v>
      </c>
      <c r="AV1807" s="2195" t="s">
        <v>133</v>
      </c>
      <c r="AW1807" s="2195" t="s">
        <v>3171</v>
      </c>
      <c r="AX1807" s="2195" t="s">
        <v>3213</v>
      </c>
      <c r="AY1807" s="2198" t="s">
        <v>3285</v>
      </c>
    </row>
    <row r="1808" spans="2:65" s="2209" customFormat="1">
      <c r="B1808" s="2210"/>
      <c r="D1808" s="2197" t="s">
        <v>3303</v>
      </c>
      <c r="E1808" s="2211" t="s">
        <v>3146</v>
      </c>
      <c r="F1808" s="2212" t="s">
        <v>133</v>
      </c>
      <c r="H1808" s="2213">
        <v>1</v>
      </c>
      <c r="L1808" s="2210"/>
      <c r="M1808" s="2214"/>
      <c r="T1808" s="2215"/>
      <c r="AT1808" s="2211" t="s">
        <v>3303</v>
      </c>
      <c r="AU1808" s="2211" t="s">
        <v>134</v>
      </c>
      <c r="AV1808" s="2209" t="s">
        <v>134</v>
      </c>
      <c r="AW1808" s="2209" t="s">
        <v>3171</v>
      </c>
      <c r="AX1808" s="2209" t="s">
        <v>3213</v>
      </c>
      <c r="AY1808" s="2211" t="s">
        <v>3285</v>
      </c>
    </row>
    <row r="1809" spans="2:51" s="2195" customFormat="1">
      <c r="B1809" s="2196"/>
      <c r="D1809" s="2197" t="s">
        <v>3303</v>
      </c>
      <c r="E1809" s="2198" t="s">
        <v>3146</v>
      </c>
      <c r="F1809" s="2199" t="s">
        <v>5412</v>
      </c>
      <c r="H1809" s="2198" t="s">
        <v>3146</v>
      </c>
      <c r="L1809" s="2196"/>
      <c r="M1809" s="2200"/>
      <c r="T1809" s="2201"/>
      <c r="AT1809" s="2198" t="s">
        <v>3303</v>
      </c>
      <c r="AU1809" s="2198" t="s">
        <v>134</v>
      </c>
      <c r="AV1809" s="2195" t="s">
        <v>133</v>
      </c>
      <c r="AW1809" s="2195" t="s">
        <v>3171</v>
      </c>
      <c r="AX1809" s="2195" t="s">
        <v>3213</v>
      </c>
      <c r="AY1809" s="2198" t="s">
        <v>3285</v>
      </c>
    </row>
    <row r="1810" spans="2:51" s="2209" customFormat="1">
      <c r="B1810" s="2210"/>
      <c r="D1810" s="2197" t="s">
        <v>3303</v>
      </c>
      <c r="E1810" s="2211" t="s">
        <v>3146</v>
      </c>
      <c r="F1810" s="2212" t="s">
        <v>133</v>
      </c>
      <c r="H1810" s="2213">
        <v>1</v>
      </c>
      <c r="L1810" s="2210"/>
      <c r="M1810" s="2214"/>
      <c r="T1810" s="2215"/>
      <c r="AT1810" s="2211" t="s">
        <v>3303</v>
      </c>
      <c r="AU1810" s="2211" t="s">
        <v>134</v>
      </c>
      <c r="AV1810" s="2209" t="s">
        <v>134</v>
      </c>
      <c r="AW1810" s="2209" t="s">
        <v>3171</v>
      </c>
      <c r="AX1810" s="2209" t="s">
        <v>3213</v>
      </c>
      <c r="AY1810" s="2211" t="s">
        <v>3285</v>
      </c>
    </row>
    <row r="1811" spans="2:51" s="2195" customFormat="1">
      <c r="B1811" s="2196"/>
      <c r="D1811" s="2197" t="s">
        <v>3303</v>
      </c>
      <c r="E1811" s="2198" t="s">
        <v>3146</v>
      </c>
      <c r="F1811" s="2199" t="s">
        <v>5414</v>
      </c>
      <c r="H1811" s="2198" t="s">
        <v>3146</v>
      </c>
      <c r="L1811" s="2196"/>
      <c r="M1811" s="2200"/>
      <c r="T1811" s="2201"/>
      <c r="AT1811" s="2198" t="s">
        <v>3303</v>
      </c>
      <c r="AU1811" s="2198" t="s">
        <v>134</v>
      </c>
      <c r="AV1811" s="2195" t="s">
        <v>133</v>
      </c>
      <c r="AW1811" s="2195" t="s">
        <v>3171</v>
      </c>
      <c r="AX1811" s="2195" t="s">
        <v>3213</v>
      </c>
      <c r="AY1811" s="2198" t="s">
        <v>3285</v>
      </c>
    </row>
    <row r="1812" spans="2:51" s="2209" customFormat="1">
      <c r="B1812" s="2210"/>
      <c r="D1812" s="2197" t="s">
        <v>3303</v>
      </c>
      <c r="E1812" s="2211" t="s">
        <v>3146</v>
      </c>
      <c r="F1812" s="2212" t="s">
        <v>134</v>
      </c>
      <c r="H1812" s="2213">
        <v>2</v>
      </c>
      <c r="L1812" s="2210"/>
      <c r="M1812" s="2214"/>
      <c r="T1812" s="2215"/>
      <c r="AT1812" s="2211" t="s">
        <v>3303</v>
      </c>
      <c r="AU1812" s="2211" t="s">
        <v>134</v>
      </c>
      <c r="AV1812" s="2209" t="s">
        <v>134</v>
      </c>
      <c r="AW1812" s="2209" t="s">
        <v>3171</v>
      </c>
      <c r="AX1812" s="2209" t="s">
        <v>3213</v>
      </c>
      <c r="AY1812" s="2211" t="s">
        <v>3285</v>
      </c>
    </row>
    <row r="1813" spans="2:51" s="2195" customFormat="1">
      <c r="B1813" s="2196"/>
      <c r="D1813" s="2197" t="s">
        <v>3303</v>
      </c>
      <c r="E1813" s="2198" t="s">
        <v>3146</v>
      </c>
      <c r="F1813" s="2199" t="s">
        <v>5416</v>
      </c>
      <c r="H1813" s="2198" t="s">
        <v>3146</v>
      </c>
      <c r="L1813" s="2196"/>
      <c r="M1813" s="2200"/>
      <c r="T1813" s="2201"/>
      <c r="AT1813" s="2198" t="s">
        <v>3303</v>
      </c>
      <c r="AU1813" s="2198" t="s">
        <v>134</v>
      </c>
      <c r="AV1813" s="2195" t="s">
        <v>133</v>
      </c>
      <c r="AW1813" s="2195" t="s">
        <v>3171</v>
      </c>
      <c r="AX1813" s="2195" t="s">
        <v>3213</v>
      </c>
      <c r="AY1813" s="2198" t="s">
        <v>3285</v>
      </c>
    </row>
    <row r="1814" spans="2:51" s="2209" customFormat="1">
      <c r="B1814" s="2210"/>
      <c r="D1814" s="2197" t="s">
        <v>3303</v>
      </c>
      <c r="E1814" s="2211" t="s">
        <v>3146</v>
      </c>
      <c r="F1814" s="2212" t="s">
        <v>134</v>
      </c>
      <c r="H1814" s="2213">
        <v>2</v>
      </c>
      <c r="L1814" s="2210"/>
      <c r="M1814" s="2214"/>
      <c r="T1814" s="2215"/>
      <c r="AT1814" s="2211" t="s">
        <v>3303</v>
      </c>
      <c r="AU1814" s="2211" t="s">
        <v>134</v>
      </c>
      <c r="AV1814" s="2209" t="s">
        <v>134</v>
      </c>
      <c r="AW1814" s="2209" t="s">
        <v>3171</v>
      </c>
      <c r="AX1814" s="2209" t="s">
        <v>3213</v>
      </c>
      <c r="AY1814" s="2211" t="s">
        <v>3285</v>
      </c>
    </row>
    <row r="1815" spans="2:51" s="2195" customFormat="1">
      <c r="B1815" s="2196"/>
      <c r="D1815" s="2197" t="s">
        <v>3303</v>
      </c>
      <c r="E1815" s="2198" t="s">
        <v>3146</v>
      </c>
      <c r="F1815" s="2199" t="s">
        <v>5418</v>
      </c>
      <c r="H1815" s="2198" t="s">
        <v>3146</v>
      </c>
      <c r="L1815" s="2196"/>
      <c r="M1815" s="2200"/>
      <c r="T1815" s="2201"/>
      <c r="AT1815" s="2198" t="s">
        <v>3303</v>
      </c>
      <c r="AU1815" s="2198" t="s">
        <v>134</v>
      </c>
      <c r="AV1815" s="2195" t="s">
        <v>133</v>
      </c>
      <c r="AW1815" s="2195" t="s">
        <v>3171</v>
      </c>
      <c r="AX1815" s="2195" t="s">
        <v>3213</v>
      </c>
      <c r="AY1815" s="2198" t="s">
        <v>3285</v>
      </c>
    </row>
    <row r="1816" spans="2:51" s="2209" customFormat="1">
      <c r="B1816" s="2210"/>
      <c r="D1816" s="2197" t="s">
        <v>3303</v>
      </c>
      <c r="E1816" s="2211" t="s">
        <v>3146</v>
      </c>
      <c r="F1816" s="2212" t="s">
        <v>134</v>
      </c>
      <c r="H1816" s="2213">
        <v>2</v>
      </c>
      <c r="L1816" s="2210"/>
      <c r="M1816" s="2214"/>
      <c r="T1816" s="2215"/>
      <c r="AT1816" s="2211" t="s">
        <v>3303</v>
      </c>
      <c r="AU1816" s="2211" t="s">
        <v>134</v>
      </c>
      <c r="AV1816" s="2209" t="s">
        <v>134</v>
      </c>
      <c r="AW1816" s="2209" t="s">
        <v>3171</v>
      </c>
      <c r="AX1816" s="2209" t="s">
        <v>3213</v>
      </c>
      <c r="AY1816" s="2211" t="s">
        <v>3285</v>
      </c>
    </row>
    <row r="1817" spans="2:51" s="2195" customFormat="1">
      <c r="B1817" s="2196"/>
      <c r="D1817" s="2197" t="s">
        <v>3303</v>
      </c>
      <c r="E1817" s="2198" t="s">
        <v>3146</v>
      </c>
      <c r="F1817" s="2199" t="s">
        <v>5410</v>
      </c>
      <c r="H1817" s="2198" t="s">
        <v>3146</v>
      </c>
      <c r="L1817" s="2196"/>
      <c r="M1817" s="2200"/>
      <c r="T1817" s="2201"/>
      <c r="AT1817" s="2198" t="s">
        <v>3303</v>
      </c>
      <c r="AU1817" s="2198" t="s">
        <v>134</v>
      </c>
      <c r="AV1817" s="2195" t="s">
        <v>133</v>
      </c>
      <c r="AW1817" s="2195" t="s">
        <v>3171</v>
      </c>
      <c r="AX1817" s="2195" t="s">
        <v>3213</v>
      </c>
      <c r="AY1817" s="2198" t="s">
        <v>3285</v>
      </c>
    </row>
    <row r="1818" spans="2:51" s="2209" customFormat="1">
      <c r="B1818" s="2210"/>
      <c r="D1818" s="2197" t="s">
        <v>3303</v>
      </c>
      <c r="E1818" s="2211" t="s">
        <v>3146</v>
      </c>
      <c r="F1818" s="2212" t="s">
        <v>133</v>
      </c>
      <c r="H1818" s="2213">
        <v>1</v>
      </c>
      <c r="L1818" s="2210"/>
      <c r="M1818" s="2214"/>
      <c r="T1818" s="2215"/>
      <c r="AT1818" s="2211" t="s">
        <v>3303</v>
      </c>
      <c r="AU1818" s="2211" t="s">
        <v>134</v>
      </c>
      <c r="AV1818" s="2209" t="s">
        <v>134</v>
      </c>
      <c r="AW1818" s="2209" t="s">
        <v>3171</v>
      </c>
      <c r="AX1818" s="2209" t="s">
        <v>3213</v>
      </c>
      <c r="AY1818" s="2211" t="s">
        <v>3285</v>
      </c>
    </row>
    <row r="1819" spans="2:51" s="2195" customFormat="1">
      <c r="B1819" s="2196"/>
      <c r="D1819" s="2197" t="s">
        <v>3303</v>
      </c>
      <c r="E1819" s="2198" t="s">
        <v>3146</v>
      </c>
      <c r="F1819" s="2199" t="s">
        <v>5412</v>
      </c>
      <c r="H1819" s="2198" t="s">
        <v>3146</v>
      </c>
      <c r="L1819" s="2196"/>
      <c r="M1819" s="2200"/>
      <c r="T1819" s="2201"/>
      <c r="AT1819" s="2198" t="s">
        <v>3303</v>
      </c>
      <c r="AU1819" s="2198" t="s">
        <v>134</v>
      </c>
      <c r="AV1819" s="2195" t="s">
        <v>133</v>
      </c>
      <c r="AW1819" s="2195" t="s">
        <v>3171</v>
      </c>
      <c r="AX1819" s="2195" t="s">
        <v>3213</v>
      </c>
      <c r="AY1819" s="2198" t="s">
        <v>3285</v>
      </c>
    </row>
    <row r="1820" spans="2:51" s="2209" customFormat="1">
      <c r="B1820" s="2210"/>
      <c r="D1820" s="2197" t="s">
        <v>3303</v>
      </c>
      <c r="E1820" s="2211" t="s">
        <v>3146</v>
      </c>
      <c r="F1820" s="2212" t="s">
        <v>133</v>
      </c>
      <c r="H1820" s="2213">
        <v>1</v>
      </c>
      <c r="L1820" s="2210"/>
      <c r="M1820" s="2214"/>
      <c r="T1820" s="2215"/>
      <c r="AT1820" s="2211" t="s">
        <v>3303</v>
      </c>
      <c r="AU1820" s="2211" t="s">
        <v>134</v>
      </c>
      <c r="AV1820" s="2209" t="s">
        <v>134</v>
      </c>
      <c r="AW1820" s="2209" t="s">
        <v>3171</v>
      </c>
      <c r="AX1820" s="2209" t="s">
        <v>3213</v>
      </c>
      <c r="AY1820" s="2211" t="s">
        <v>3285</v>
      </c>
    </row>
    <row r="1821" spans="2:51" s="2195" customFormat="1">
      <c r="B1821" s="2196"/>
      <c r="D1821" s="2197" t="s">
        <v>3303</v>
      </c>
      <c r="E1821" s="2198" t="s">
        <v>3146</v>
      </c>
      <c r="F1821" s="2199" t="s">
        <v>5414</v>
      </c>
      <c r="H1821" s="2198" t="s">
        <v>3146</v>
      </c>
      <c r="L1821" s="2196"/>
      <c r="M1821" s="2200"/>
      <c r="T1821" s="2201"/>
      <c r="AT1821" s="2198" t="s">
        <v>3303</v>
      </c>
      <c r="AU1821" s="2198" t="s">
        <v>134</v>
      </c>
      <c r="AV1821" s="2195" t="s">
        <v>133</v>
      </c>
      <c r="AW1821" s="2195" t="s">
        <v>3171</v>
      </c>
      <c r="AX1821" s="2195" t="s">
        <v>3213</v>
      </c>
      <c r="AY1821" s="2198" t="s">
        <v>3285</v>
      </c>
    </row>
    <row r="1822" spans="2:51" s="2209" customFormat="1">
      <c r="B1822" s="2210"/>
      <c r="D1822" s="2197" t="s">
        <v>3303</v>
      </c>
      <c r="E1822" s="2211" t="s">
        <v>3146</v>
      </c>
      <c r="F1822" s="2212" t="s">
        <v>134</v>
      </c>
      <c r="H1822" s="2213">
        <v>2</v>
      </c>
      <c r="L1822" s="2210"/>
      <c r="M1822" s="2214"/>
      <c r="T1822" s="2215"/>
      <c r="AT1822" s="2211" t="s">
        <v>3303</v>
      </c>
      <c r="AU1822" s="2211" t="s">
        <v>134</v>
      </c>
      <c r="AV1822" s="2209" t="s">
        <v>134</v>
      </c>
      <c r="AW1822" s="2209" t="s">
        <v>3171</v>
      </c>
      <c r="AX1822" s="2209" t="s">
        <v>3213</v>
      </c>
      <c r="AY1822" s="2211" t="s">
        <v>3285</v>
      </c>
    </row>
    <row r="1823" spans="2:51" s="2195" customFormat="1">
      <c r="B1823" s="2196"/>
      <c r="D1823" s="2197" t="s">
        <v>3303</v>
      </c>
      <c r="E1823" s="2198" t="s">
        <v>3146</v>
      </c>
      <c r="F1823" s="2199" t="s">
        <v>5416</v>
      </c>
      <c r="H1823" s="2198" t="s">
        <v>3146</v>
      </c>
      <c r="L1823" s="2196"/>
      <c r="M1823" s="2200"/>
      <c r="T1823" s="2201"/>
      <c r="AT1823" s="2198" t="s">
        <v>3303</v>
      </c>
      <c r="AU1823" s="2198" t="s">
        <v>134</v>
      </c>
      <c r="AV1823" s="2195" t="s">
        <v>133</v>
      </c>
      <c r="AW1823" s="2195" t="s">
        <v>3171</v>
      </c>
      <c r="AX1823" s="2195" t="s">
        <v>3213</v>
      </c>
      <c r="AY1823" s="2198" t="s">
        <v>3285</v>
      </c>
    </row>
    <row r="1824" spans="2:51" s="2209" customFormat="1">
      <c r="B1824" s="2210"/>
      <c r="D1824" s="2197" t="s">
        <v>3303</v>
      </c>
      <c r="E1824" s="2211" t="s">
        <v>3146</v>
      </c>
      <c r="F1824" s="2212" t="s">
        <v>134</v>
      </c>
      <c r="H1824" s="2213">
        <v>2</v>
      </c>
      <c r="L1824" s="2210"/>
      <c r="M1824" s="2214"/>
      <c r="T1824" s="2215"/>
      <c r="AT1824" s="2211" t="s">
        <v>3303</v>
      </c>
      <c r="AU1824" s="2211" t="s">
        <v>134</v>
      </c>
      <c r="AV1824" s="2209" t="s">
        <v>134</v>
      </c>
      <c r="AW1824" s="2209" t="s">
        <v>3171</v>
      </c>
      <c r="AX1824" s="2209" t="s">
        <v>3213</v>
      </c>
      <c r="AY1824" s="2211" t="s">
        <v>3285</v>
      </c>
    </row>
    <row r="1825" spans="2:65" s="2195" customFormat="1">
      <c r="B1825" s="2196"/>
      <c r="D1825" s="2197" t="s">
        <v>3303</v>
      </c>
      <c r="E1825" s="2198" t="s">
        <v>3146</v>
      </c>
      <c r="F1825" s="2199" t="s">
        <v>5418</v>
      </c>
      <c r="H1825" s="2198" t="s">
        <v>3146</v>
      </c>
      <c r="L1825" s="2196"/>
      <c r="M1825" s="2200"/>
      <c r="T1825" s="2201"/>
      <c r="AT1825" s="2198" t="s">
        <v>3303</v>
      </c>
      <c r="AU1825" s="2198" t="s">
        <v>134</v>
      </c>
      <c r="AV1825" s="2195" t="s">
        <v>133</v>
      </c>
      <c r="AW1825" s="2195" t="s">
        <v>3171</v>
      </c>
      <c r="AX1825" s="2195" t="s">
        <v>3213</v>
      </c>
      <c r="AY1825" s="2198" t="s">
        <v>3285</v>
      </c>
    </row>
    <row r="1826" spans="2:65" s="2209" customFormat="1">
      <c r="B1826" s="2210"/>
      <c r="D1826" s="2197" t="s">
        <v>3303</v>
      </c>
      <c r="E1826" s="2211" t="s">
        <v>3146</v>
      </c>
      <c r="F1826" s="2212" t="s">
        <v>134</v>
      </c>
      <c r="H1826" s="2213">
        <v>2</v>
      </c>
      <c r="L1826" s="2210"/>
      <c r="M1826" s="2214"/>
      <c r="T1826" s="2215"/>
      <c r="AT1826" s="2211" t="s">
        <v>3303</v>
      </c>
      <c r="AU1826" s="2211" t="s">
        <v>134</v>
      </c>
      <c r="AV1826" s="2209" t="s">
        <v>134</v>
      </c>
      <c r="AW1826" s="2209" t="s">
        <v>3171</v>
      </c>
      <c r="AX1826" s="2209" t="s">
        <v>3213</v>
      </c>
      <c r="AY1826" s="2211" t="s">
        <v>3285</v>
      </c>
    </row>
    <row r="1827" spans="2:65" s="2216" customFormat="1">
      <c r="B1827" s="2217"/>
      <c r="D1827" s="2197" t="s">
        <v>3303</v>
      </c>
      <c r="E1827" s="2218" t="s">
        <v>3146</v>
      </c>
      <c r="F1827" s="2219" t="s">
        <v>3306</v>
      </c>
      <c r="H1827" s="2220">
        <v>16</v>
      </c>
      <c r="L1827" s="2217"/>
      <c r="M1827" s="2221"/>
      <c r="T1827" s="2222"/>
      <c r="AT1827" s="2218" t="s">
        <v>3303</v>
      </c>
      <c r="AU1827" s="2218" t="s">
        <v>134</v>
      </c>
      <c r="AV1827" s="2216" t="s">
        <v>856</v>
      </c>
      <c r="AW1827" s="2216" t="s">
        <v>3171</v>
      </c>
      <c r="AX1827" s="2216" t="s">
        <v>133</v>
      </c>
      <c r="AY1827" s="2218" t="s">
        <v>3285</v>
      </c>
    </row>
    <row r="1828" spans="2:65" s="2070" customFormat="1" ht="33" customHeight="1">
      <c r="B1828" s="2164"/>
      <c r="C1828" s="4614" t="s">
        <v>11548</v>
      </c>
      <c r="D1828" s="4614" t="s">
        <v>135</v>
      </c>
      <c r="E1828" s="4615" t="s">
        <v>5773</v>
      </c>
      <c r="F1828" s="4616" t="s">
        <v>5774</v>
      </c>
      <c r="G1828" s="4617" t="s">
        <v>155</v>
      </c>
      <c r="H1828" s="4618">
        <v>16</v>
      </c>
      <c r="I1828" s="4619"/>
      <c r="J1828" s="4619">
        <f>ROUND(I1828*H1828,2)</f>
        <v>0</v>
      </c>
      <c r="K1828" s="4616" t="s">
        <v>142</v>
      </c>
      <c r="L1828" s="2223"/>
      <c r="M1828" s="2224" t="s">
        <v>3146</v>
      </c>
      <c r="N1828" s="2225" t="s">
        <v>3181</v>
      </c>
      <c r="O1828" s="2191">
        <v>0</v>
      </c>
      <c r="P1828" s="2191">
        <f>O1828*H1828</f>
        <v>0</v>
      </c>
      <c r="Q1828" s="2191">
        <v>1E-3</v>
      </c>
      <c r="R1828" s="2191">
        <f>Q1828*H1828</f>
        <v>1.6E-2</v>
      </c>
      <c r="S1828" s="2191">
        <v>0</v>
      </c>
      <c r="T1828" s="2192">
        <f>S1828*H1828</f>
        <v>0</v>
      </c>
      <c r="AR1828" s="2193" t="s">
        <v>3389</v>
      </c>
      <c r="AT1828" s="2193" t="s">
        <v>135</v>
      </c>
      <c r="AU1828" s="2193" t="s">
        <v>134</v>
      </c>
      <c r="AY1828" s="2056" t="s">
        <v>3285</v>
      </c>
      <c r="BE1828" s="2194">
        <f>IF(N1828="základní",J1828,0)</f>
        <v>0</v>
      </c>
      <c r="BF1828" s="2194">
        <f>IF(N1828="snížená",J1828,0)</f>
        <v>0</v>
      </c>
      <c r="BG1828" s="2194">
        <f>IF(N1828="zákl. přenesená",J1828,0)</f>
        <v>0</v>
      </c>
      <c r="BH1828" s="2194">
        <f>IF(N1828="sníž. přenesená",J1828,0)</f>
        <v>0</v>
      </c>
      <c r="BI1828" s="2194">
        <f>IF(N1828="nulová",J1828,0)</f>
        <v>0</v>
      </c>
      <c r="BJ1828" s="2056" t="s">
        <v>134</v>
      </c>
      <c r="BK1828" s="2194">
        <f>ROUND(I1828*H1828,2)</f>
        <v>0</v>
      </c>
      <c r="BL1828" s="2056" t="s">
        <v>2894</v>
      </c>
      <c r="BM1828" s="2193" t="s">
        <v>5775</v>
      </c>
    </row>
    <row r="1829" spans="2:65" s="2070" customFormat="1" ht="21.75" customHeight="1">
      <c r="B1829" s="2164"/>
      <c r="C1829" s="4608" t="s">
        <v>11549</v>
      </c>
      <c r="D1829" s="4608" t="s">
        <v>3286</v>
      </c>
      <c r="E1829" s="4609" t="s">
        <v>5776</v>
      </c>
      <c r="F1829" s="4610" t="s">
        <v>5777</v>
      </c>
      <c r="G1829" s="4611" t="s">
        <v>155</v>
      </c>
      <c r="H1829" s="4612">
        <v>58</v>
      </c>
      <c r="I1829" s="4613"/>
      <c r="J1829" s="4613">
        <f>ROUND(I1829*H1829,2)</f>
        <v>0</v>
      </c>
      <c r="K1829" s="4610" t="s">
        <v>142</v>
      </c>
      <c r="L1829" s="2071"/>
      <c r="M1829" s="2190" t="s">
        <v>3146</v>
      </c>
      <c r="N1829" s="2163" t="s">
        <v>3181</v>
      </c>
      <c r="O1829" s="2191">
        <v>1.1579999999999999</v>
      </c>
      <c r="P1829" s="2191">
        <f>O1829*H1829</f>
        <v>67.164000000000001</v>
      </c>
      <c r="Q1829" s="2191">
        <v>0</v>
      </c>
      <c r="R1829" s="2191">
        <f>Q1829*H1829</f>
        <v>0</v>
      </c>
      <c r="S1829" s="2191">
        <v>0</v>
      </c>
      <c r="T1829" s="2192">
        <f>S1829*H1829</f>
        <v>0</v>
      </c>
      <c r="AR1829" s="2193" t="s">
        <v>2894</v>
      </c>
      <c r="AT1829" s="2193" t="s">
        <v>3286</v>
      </c>
      <c r="AU1829" s="2193" t="s">
        <v>134</v>
      </c>
      <c r="AY1829" s="2056" t="s">
        <v>3285</v>
      </c>
      <c r="BE1829" s="2194">
        <f>IF(N1829="základní",J1829,0)</f>
        <v>0</v>
      </c>
      <c r="BF1829" s="2194">
        <f>IF(N1829="snížená",J1829,0)</f>
        <v>0</v>
      </c>
      <c r="BG1829" s="2194">
        <f>IF(N1829="zákl. přenesená",J1829,0)</f>
        <v>0</v>
      </c>
      <c r="BH1829" s="2194">
        <f>IF(N1829="sníž. přenesená",J1829,0)</f>
        <v>0</v>
      </c>
      <c r="BI1829" s="2194">
        <f>IF(N1829="nulová",J1829,0)</f>
        <v>0</v>
      </c>
      <c r="BJ1829" s="2056" t="s">
        <v>134</v>
      </c>
      <c r="BK1829" s="2194">
        <f>ROUND(I1829*H1829,2)</f>
        <v>0</v>
      </c>
      <c r="BL1829" s="2056" t="s">
        <v>2894</v>
      </c>
      <c r="BM1829" s="2193" t="s">
        <v>5778</v>
      </c>
    </row>
    <row r="1830" spans="2:65" s="2195" customFormat="1">
      <c r="B1830" s="2196"/>
      <c r="D1830" s="2197" t="s">
        <v>3303</v>
      </c>
      <c r="E1830" s="2198" t="s">
        <v>3146</v>
      </c>
      <c r="F1830" s="2199" t="s">
        <v>5419</v>
      </c>
      <c r="H1830" s="2198" t="s">
        <v>3146</v>
      </c>
      <c r="L1830" s="2196"/>
      <c r="M1830" s="2200"/>
      <c r="T1830" s="2201"/>
      <c r="AT1830" s="2198" t="s">
        <v>3303</v>
      </c>
      <c r="AU1830" s="2198" t="s">
        <v>134</v>
      </c>
      <c r="AV1830" s="2195" t="s">
        <v>133</v>
      </c>
      <c r="AW1830" s="2195" t="s">
        <v>3171</v>
      </c>
      <c r="AX1830" s="2195" t="s">
        <v>3213</v>
      </c>
      <c r="AY1830" s="2198" t="s">
        <v>3285</v>
      </c>
    </row>
    <row r="1831" spans="2:65" s="2209" customFormat="1">
      <c r="B1831" s="2210"/>
      <c r="D1831" s="2197" t="s">
        <v>3303</v>
      </c>
      <c r="E1831" s="2211" t="s">
        <v>3146</v>
      </c>
      <c r="F1831" s="2212" t="s">
        <v>2475</v>
      </c>
      <c r="H1831" s="2213">
        <v>18</v>
      </c>
      <c r="L1831" s="2210"/>
      <c r="M1831" s="2214"/>
      <c r="T1831" s="2215"/>
      <c r="AT1831" s="2211" t="s">
        <v>3303</v>
      </c>
      <c r="AU1831" s="2211" t="s">
        <v>134</v>
      </c>
      <c r="AV1831" s="2209" t="s">
        <v>134</v>
      </c>
      <c r="AW1831" s="2209" t="s">
        <v>3171</v>
      </c>
      <c r="AX1831" s="2209" t="s">
        <v>3213</v>
      </c>
      <c r="AY1831" s="2211" t="s">
        <v>3285</v>
      </c>
    </row>
    <row r="1832" spans="2:65" s="2195" customFormat="1">
      <c r="B1832" s="2196"/>
      <c r="D1832" s="2197" t="s">
        <v>3303</v>
      </c>
      <c r="E1832" s="2198" t="s">
        <v>3146</v>
      </c>
      <c r="F1832" s="2199" t="s">
        <v>5421</v>
      </c>
      <c r="H1832" s="2198" t="s">
        <v>3146</v>
      </c>
      <c r="L1832" s="2196"/>
      <c r="M1832" s="2200"/>
      <c r="T1832" s="2201"/>
      <c r="AT1832" s="2198" t="s">
        <v>3303</v>
      </c>
      <c r="AU1832" s="2198" t="s">
        <v>134</v>
      </c>
      <c r="AV1832" s="2195" t="s">
        <v>133</v>
      </c>
      <c r="AW1832" s="2195" t="s">
        <v>3171</v>
      </c>
      <c r="AX1832" s="2195" t="s">
        <v>3213</v>
      </c>
      <c r="AY1832" s="2198" t="s">
        <v>3285</v>
      </c>
    </row>
    <row r="1833" spans="2:65" s="2209" customFormat="1">
      <c r="B1833" s="2210"/>
      <c r="D1833" s="2197" t="s">
        <v>3303</v>
      </c>
      <c r="E1833" s="2211" t="s">
        <v>3146</v>
      </c>
      <c r="F1833" s="2212" t="s">
        <v>133</v>
      </c>
      <c r="H1833" s="2213">
        <v>1</v>
      </c>
      <c r="L1833" s="2210"/>
      <c r="M1833" s="2214"/>
      <c r="T1833" s="2215"/>
      <c r="AT1833" s="2211" t="s">
        <v>3303</v>
      </c>
      <c r="AU1833" s="2211" t="s">
        <v>134</v>
      </c>
      <c r="AV1833" s="2209" t="s">
        <v>134</v>
      </c>
      <c r="AW1833" s="2209" t="s">
        <v>3171</v>
      </c>
      <c r="AX1833" s="2209" t="s">
        <v>3213</v>
      </c>
      <c r="AY1833" s="2211" t="s">
        <v>3285</v>
      </c>
    </row>
    <row r="1834" spans="2:65" s="2195" customFormat="1">
      <c r="B1834" s="2196"/>
      <c r="D1834" s="2197" t="s">
        <v>3303</v>
      </c>
      <c r="E1834" s="2198" t="s">
        <v>3146</v>
      </c>
      <c r="F1834" s="2199" t="s">
        <v>5423</v>
      </c>
      <c r="H1834" s="2198" t="s">
        <v>3146</v>
      </c>
      <c r="L1834" s="2196"/>
      <c r="M1834" s="2200"/>
      <c r="T1834" s="2201"/>
      <c r="AT1834" s="2198" t="s">
        <v>3303</v>
      </c>
      <c r="AU1834" s="2198" t="s">
        <v>134</v>
      </c>
      <c r="AV1834" s="2195" t="s">
        <v>133</v>
      </c>
      <c r="AW1834" s="2195" t="s">
        <v>3171</v>
      </c>
      <c r="AX1834" s="2195" t="s">
        <v>3213</v>
      </c>
      <c r="AY1834" s="2198" t="s">
        <v>3285</v>
      </c>
    </row>
    <row r="1835" spans="2:65" s="2209" customFormat="1">
      <c r="B1835" s="2210"/>
      <c r="D1835" s="2197" t="s">
        <v>3303</v>
      </c>
      <c r="E1835" s="2211" t="s">
        <v>3146</v>
      </c>
      <c r="F1835" s="2212" t="s">
        <v>1827</v>
      </c>
      <c r="H1835" s="2213">
        <v>15</v>
      </c>
      <c r="L1835" s="2210"/>
      <c r="M1835" s="2214"/>
      <c r="T1835" s="2215"/>
      <c r="AT1835" s="2211" t="s">
        <v>3303</v>
      </c>
      <c r="AU1835" s="2211" t="s">
        <v>134</v>
      </c>
      <c r="AV1835" s="2209" t="s">
        <v>134</v>
      </c>
      <c r="AW1835" s="2209" t="s">
        <v>3171</v>
      </c>
      <c r="AX1835" s="2209" t="s">
        <v>3213</v>
      </c>
      <c r="AY1835" s="2211" t="s">
        <v>3285</v>
      </c>
    </row>
    <row r="1836" spans="2:65" s="2195" customFormat="1">
      <c r="B1836" s="2196"/>
      <c r="D1836" s="2197" t="s">
        <v>3303</v>
      </c>
      <c r="E1836" s="2198" t="s">
        <v>3146</v>
      </c>
      <c r="F1836" s="2199" t="s">
        <v>5425</v>
      </c>
      <c r="H1836" s="2198" t="s">
        <v>3146</v>
      </c>
      <c r="L1836" s="2196"/>
      <c r="M1836" s="2200"/>
      <c r="T1836" s="2201"/>
      <c r="AT1836" s="2198" t="s">
        <v>3303</v>
      </c>
      <c r="AU1836" s="2198" t="s">
        <v>134</v>
      </c>
      <c r="AV1836" s="2195" t="s">
        <v>133</v>
      </c>
      <c r="AW1836" s="2195" t="s">
        <v>3171</v>
      </c>
      <c r="AX1836" s="2195" t="s">
        <v>3213</v>
      </c>
      <c r="AY1836" s="2198" t="s">
        <v>3285</v>
      </c>
    </row>
    <row r="1837" spans="2:65" s="2209" customFormat="1">
      <c r="B1837" s="2210"/>
      <c r="D1837" s="2197" t="s">
        <v>3303</v>
      </c>
      <c r="E1837" s="2211" t="s">
        <v>3146</v>
      </c>
      <c r="F1837" s="2212" t="s">
        <v>854</v>
      </c>
      <c r="H1837" s="2213">
        <v>3</v>
      </c>
      <c r="L1837" s="2210"/>
      <c r="M1837" s="2214"/>
      <c r="T1837" s="2215"/>
      <c r="AT1837" s="2211" t="s">
        <v>3303</v>
      </c>
      <c r="AU1837" s="2211" t="s">
        <v>134</v>
      </c>
      <c r="AV1837" s="2209" t="s">
        <v>134</v>
      </c>
      <c r="AW1837" s="2209" t="s">
        <v>3171</v>
      </c>
      <c r="AX1837" s="2209" t="s">
        <v>3213</v>
      </c>
      <c r="AY1837" s="2211" t="s">
        <v>3285</v>
      </c>
    </row>
    <row r="1838" spans="2:65" s="2195" customFormat="1">
      <c r="B1838" s="2196"/>
      <c r="D1838" s="2197" t="s">
        <v>3303</v>
      </c>
      <c r="E1838" s="2198" t="s">
        <v>3146</v>
      </c>
      <c r="F1838" s="2199" t="s">
        <v>5427</v>
      </c>
      <c r="H1838" s="2198" t="s">
        <v>3146</v>
      </c>
      <c r="L1838" s="2196"/>
      <c r="M1838" s="2200"/>
      <c r="T1838" s="2201"/>
      <c r="AT1838" s="2198" t="s">
        <v>3303</v>
      </c>
      <c r="AU1838" s="2198" t="s">
        <v>134</v>
      </c>
      <c r="AV1838" s="2195" t="s">
        <v>133</v>
      </c>
      <c r="AW1838" s="2195" t="s">
        <v>3171</v>
      </c>
      <c r="AX1838" s="2195" t="s">
        <v>3213</v>
      </c>
      <c r="AY1838" s="2198" t="s">
        <v>3285</v>
      </c>
    </row>
    <row r="1839" spans="2:65" s="2209" customFormat="1">
      <c r="B1839" s="2210"/>
      <c r="D1839" s="2197" t="s">
        <v>3303</v>
      </c>
      <c r="E1839" s="2211" t="s">
        <v>3146</v>
      </c>
      <c r="F1839" s="2212" t="s">
        <v>133</v>
      </c>
      <c r="H1839" s="2213">
        <v>1</v>
      </c>
      <c r="L1839" s="2210"/>
      <c r="M1839" s="2214"/>
      <c r="T1839" s="2215"/>
      <c r="AT1839" s="2211" t="s">
        <v>3303</v>
      </c>
      <c r="AU1839" s="2211" t="s">
        <v>134</v>
      </c>
      <c r="AV1839" s="2209" t="s">
        <v>134</v>
      </c>
      <c r="AW1839" s="2209" t="s">
        <v>3171</v>
      </c>
      <c r="AX1839" s="2209" t="s">
        <v>3213</v>
      </c>
      <c r="AY1839" s="2211" t="s">
        <v>3285</v>
      </c>
    </row>
    <row r="1840" spans="2:65" s="2195" customFormat="1">
      <c r="B1840" s="2196"/>
      <c r="D1840" s="2197" t="s">
        <v>3303</v>
      </c>
      <c r="E1840" s="2198" t="s">
        <v>3146</v>
      </c>
      <c r="F1840" s="2199" t="s">
        <v>5430</v>
      </c>
      <c r="H1840" s="2198" t="s">
        <v>3146</v>
      </c>
      <c r="L1840" s="2196"/>
      <c r="M1840" s="2200"/>
      <c r="T1840" s="2201"/>
      <c r="AT1840" s="2198" t="s">
        <v>3303</v>
      </c>
      <c r="AU1840" s="2198" t="s">
        <v>134</v>
      </c>
      <c r="AV1840" s="2195" t="s">
        <v>133</v>
      </c>
      <c r="AW1840" s="2195" t="s">
        <v>3171</v>
      </c>
      <c r="AX1840" s="2195" t="s">
        <v>3213</v>
      </c>
      <c r="AY1840" s="2198" t="s">
        <v>3285</v>
      </c>
    </row>
    <row r="1841" spans="2:65" s="2209" customFormat="1">
      <c r="B1841" s="2210"/>
      <c r="D1841" s="2197" t="s">
        <v>3303</v>
      </c>
      <c r="E1841" s="2211" t="s">
        <v>3146</v>
      </c>
      <c r="F1841" s="2212" t="s">
        <v>2894</v>
      </c>
      <c r="H1841" s="2213">
        <v>16</v>
      </c>
      <c r="L1841" s="2210"/>
      <c r="M1841" s="2214"/>
      <c r="T1841" s="2215"/>
      <c r="AT1841" s="2211" t="s">
        <v>3303</v>
      </c>
      <c r="AU1841" s="2211" t="s">
        <v>134</v>
      </c>
      <c r="AV1841" s="2209" t="s">
        <v>134</v>
      </c>
      <c r="AW1841" s="2209" t="s">
        <v>3171</v>
      </c>
      <c r="AX1841" s="2209" t="s">
        <v>3213</v>
      </c>
      <c r="AY1841" s="2211" t="s">
        <v>3285</v>
      </c>
    </row>
    <row r="1842" spans="2:65" s="2195" customFormat="1">
      <c r="B1842" s="2196"/>
      <c r="D1842" s="2197" t="s">
        <v>3303</v>
      </c>
      <c r="E1842" s="2198" t="s">
        <v>3146</v>
      </c>
      <c r="F1842" s="2199" t="s">
        <v>5432</v>
      </c>
      <c r="H1842" s="2198" t="s">
        <v>3146</v>
      </c>
      <c r="L1842" s="2196"/>
      <c r="M1842" s="2200"/>
      <c r="T1842" s="2201"/>
      <c r="AT1842" s="2198" t="s">
        <v>3303</v>
      </c>
      <c r="AU1842" s="2198" t="s">
        <v>134</v>
      </c>
      <c r="AV1842" s="2195" t="s">
        <v>133</v>
      </c>
      <c r="AW1842" s="2195" t="s">
        <v>3171</v>
      </c>
      <c r="AX1842" s="2195" t="s">
        <v>3213</v>
      </c>
      <c r="AY1842" s="2198" t="s">
        <v>3285</v>
      </c>
    </row>
    <row r="1843" spans="2:65" s="2209" customFormat="1">
      <c r="B1843" s="2210"/>
      <c r="D1843" s="2197" t="s">
        <v>3303</v>
      </c>
      <c r="E1843" s="2211" t="s">
        <v>3146</v>
      </c>
      <c r="F1843" s="2212" t="s">
        <v>133</v>
      </c>
      <c r="H1843" s="2213">
        <v>1</v>
      </c>
      <c r="L1843" s="2210"/>
      <c r="M1843" s="2214"/>
      <c r="T1843" s="2215"/>
      <c r="AT1843" s="2211" t="s">
        <v>3303</v>
      </c>
      <c r="AU1843" s="2211" t="s">
        <v>134</v>
      </c>
      <c r="AV1843" s="2209" t="s">
        <v>134</v>
      </c>
      <c r="AW1843" s="2209" t="s">
        <v>3171</v>
      </c>
      <c r="AX1843" s="2209" t="s">
        <v>3213</v>
      </c>
      <c r="AY1843" s="2211" t="s">
        <v>3285</v>
      </c>
    </row>
    <row r="1844" spans="2:65" s="2195" customFormat="1">
      <c r="B1844" s="2196"/>
      <c r="D1844" s="2197" t="s">
        <v>3303</v>
      </c>
      <c r="E1844" s="2198" t="s">
        <v>3146</v>
      </c>
      <c r="F1844" s="2199" t="s">
        <v>5433</v>
      </c>
      <c r="H1844" s="2198" t="s">
        <v>3146</v>
      </c>
      <c r="L1844" s="2196"/>
      <c r="M1844" s="2200"/>
      <c r="T1844" s="2201"/>
      <c r="AT1844" s="2198" t="s">
        <v>3303</v>
      </c>
      <c r="AU1844" s="2198" t="s">
        <v>134</v>
      </c>
      <c r="AV1844" s="2195" t="s">
        <v>133</v>
      </c>
      <c r="AW1844" s="2195" t="s">
        <v>3171</v>
      </c>
      <c r="AX1844" s="2195" t="s">
        <v>3213</v>
      </c>
      <c r="AY1844" s="2198" t="s">
        <v>3285</v>
      </c>
    </row>
    <row r="1845" spans="2:65" s="2209" customFormat="1">
      <c r="B1845" s="2210"/>
      <c r="D1845" s="2197" t="s">
        <v>3303</v>
      </c>
      <c r="E1845" s="2211" t="s">
        <v>3146</v>
      </c>
      <c r="F1845" s="2212" t="s">
        <v>854</v>
      </c>
      <c r="H1845" s="2213">
        <v>3</v>
      </c>
      <c r="L1845" s="2210"/>
      <c r="M1845" s="2214"/>
      <c r="T1845" s="2215"/>
      <c r="AT1845" s="2211" t="s">
        <v>3303</v>
      </c>
      <c r="AU1845" s="2211" t="s">
        <v>134</v>
      </c>
      <c r="AV1845" s="2209" t="s">
        <v>134</v>
      </c>
      <c r="AW1845" s="2209" t="s">
        <v>3171</v>
      </c>
      <c r="AX1845" s="2209" t="s">
        <v>3213</v>
      </c>
      <c r="AY1845" s="2211" t="s">
        <v>3285</v>
      </c>
    </row>
    <row r="1846" spans="2:65" s="2216" customFormat="1">
      <c r="B1846" s="2217"/>
      <c r="D1846" s="2197" t="s">
        <v>3303</v>
      </c>
      <c r="E1846" s="2218" t="s">
        <v>3146</v>
      </c>
      <c r="F1846" s="2219" t="s">
        <v>3306</v>
      </c>
      <c r="H1846" s="2220">
        <v>58</v>
      </c>
      <c r="L1846" s="2217"/>
      <c r="M1846" s="2221"/>
      <c r="T1846" s="2222"/>
      <c r="AT1846" s="2218" t="s">
        <v>3303</v>
      </c>
      <c r="AU1846" s="2218" t="s">
        <v>134</v>
      </c>
      <c r="AV1846" s="2216" t="s">
        <v>856</v>
      </c>
      <c r="AW1846" s="2216" t="s">
        <v>3171</v>
      </c>
      <c r="AX1846" s="2216" t="s">
        <v>133</v>
      </c>
      <c r="AY1846" s="2218" t="s">
        <v>3285</v>
      </c>
    </row>
    <row r="1847" spans="2:65" s="2070" customFormat="1" ht="33" customHeight="1">
      <c r="B1847" s="2164"/>
      <c r="C1847" s="4614" t="s">
        <v>11550</v>
      </c>
      <c r="D1847" s="4614" t="s">
        <v>135</v>
      </c>
      <c r="E1847" s="4615" t="s">
        <v>5779</v>
      </c>
      <c r="F1847" s="4616" t="s">
        <v>5780</v>
      </c>
      <c r="G1847" s="4617" t="s">
        <v>155</v>
      </c>
      <c r="H1847" s="4618">
        <v>58</v>
      </c>
      <c r="I1847" s="4619"/>
      <c r="J1847" s="4619">
        <f>ROUND(I1847*H1847,2)</f>
        <v>0</v>
      </c>
      <c r="K1847" s="4616" t="s">
        <v>142</v>
      </c>
      <c r="L1847" s="2223"/>
      <c r="M1847" s="2224" t="s">
        <v>3146</v>
      </c>
      <c r="N1847" s="2225" t="s">
        <v>3181</v>
      </c>
      <c r="O1847" s="2191">
        <v>0</v>
      </c>
      <c r="P1847" s="2191">
        <f>O1847*H1847</f>
        <v>0</v>
      </c>
      <c r="Q1847" s="2191">
        <v>1E-3</v>
      </c>
      <c r="R1847" s="2191">
        <f>Q1847*H1847</f>
        <v>5.8000000000000003E-2</v>
      </c>
      <c r="S1847" s="2191">
        <v>0</v>
      </c>
      <c r="T1847" s="2192">
        <f>S1847*H1847</f>
        <v>0</v>
      </c>
      <c r="AR1847" s="2193" t="s">
        <v>3389</v>
      </c>
      <c r="AT1847" s="2193" t="s">
        <v>135</v>
      </c>
      <c r="AU1847" s="2193" t="s">
        <v>134</v>
      </c>
      <c r="AY1847" s="2056" t="s">
        <v>3285</v>
      </c>
      <c r="BE1847" s="2194">
        <f>IF(N1847="základní",J1847,0)</f>
        <v>0</v>
      </c>
      <c r="BF1847" s="2194">
        <f>IF(N1847="snížená",J1847,0)</f>
        <v>0</v>
      </c>
      <c r="BG1847" s="2194">
        <f>IF(N1847="zákl. přenesená",J1847,0)</f>
        <v>0</v>
      </c>
      <c r="BH1847" s="2194">
        <f>IF(N1847="sníž. přenesená",J1847,0)</f>
        <v>0</v>
      </c>
      <c r="BI1847" s="2194">
        <f>IF(N1847="nulová",J1847,0)</f>
        <v>0</v>
      </c>
      <c r="BJ1847" s="2056" t="s">
        <v>134</v>
      </c>
      <c r="BK1847" s="2194">
        <f>ROUND(I1847*H1847,2)</f>
        <v>0</v>
      </c>
      <c r="BL1847" s="2056" t="s">
        <v>2894</v>
      </c>
      <c r="BM1847" s="2193" t="s">
        <v>5781</v>
      </c>
    </row>
    <row r="1848" spans="2:65" s="2070" customFormat="1" ht="16.5" customHeight="1">
      <c r="B1848" s="2164"/>
      <c r="C1848" s="4608" t="s">
        <v>11551</v>
      </c>
      <c r="D1848" s="4608" t="s">
        <v>3286</v>
      </c>
      <c r="E1848" s="4609" t="s">
        <v>5783</v>
      </c>
      <c r="F1848" s="4610" t="s">
        <v>5784</v>
      </c>
      <c r="G1848" s="4611" t="s">
        <v>155</v>
      </c>
      <c r="H1848" s="4612">
        <v>5</v>
      </c>
      <c r="I1848" s="4613"/>
      <c r="J1848" s="4613">
        <f>ROUND(I1848*H1848,2)</f>
        <v>0</v>
      </c>
      <c r="K1848" s="4610" t="s">
        <v>142</v>
      </c>
      <c r="L1848" s="2071"/>
      <c r="M1848" s="2190" t="s">
        <v>3146</v>
      </c>
      <c r="N1848" s="2163" t="s">
        <v>3181</v>
      </c>
      <c r="O1848" s="2191">
        <v>1.38</v>
      </c>
      <c r="P1848" s="2191">
        <f>O1848*H1848</f>
        <v>6.8999999999999995</v>
      </c>
      <c r="Q1848" s="2191">
        <v>0</v>
      </c>
      <c r="R1848" s="2191">
        <f>Q1848*H1848</f>
        <v>0</v>
      </c>
      <c r="S1848" s="2191">
        <v>0</v>
      </c>
      <c r="T1848" s="2192">
        <f>S1848*H1848</f>
        <v>0</v>
      </c>
      <c r="AR1848" s="2193" t="s">
        <v>2894</v>
      </c>
      <c r="AT1848" s="2193" t="s">
        <v>3286</v>
      </c>
      <c r="AU1848" s="2193" t="s">
        <v>134</v>
      </c>
      <c r="AY1848" s="2056" t="s">
        <v>3285</v>
      </c>
      <c r="BE1848" s="2194">
        <f>IF(N1848="základní",J1848,0)</f>
        <v>0</v>
      </c>
      <c r="BF1848" s="2194">
        <f>IF(N1848="snížená",J1848,0)</f>
        <v>0</v>
      </c>
      <c r="BG1848" s="2194">
        <f>IF(N1848="zákl. přenesená",J1848,0)</f>
        <v>0</v>
      </c>
      <c r="BH1848" s="2194">
        <f>IF(N1848="sníž. přenesená",J1848,0)</f>
        <v>0</v>
      </c>
      <c r="BI1848" s="2194">
        <f>IF(N1848="nulová",J1848,0)</f>
        <v>0</v>
      </c>
      <c r="BJ1848" s="2056" t="s">
        <v>134</v>
      </c>
      <c r="BK1848" s="2194">
        <f>ROUND(I1848*H1848,2)</f>
        <v>0</v>
      </c>
      <c r="BL1848" s="2056" t="s">
        <v>2894</v>
      </c>
      <c r="BM1848" s="2193" t="s">
        <v>5785</v>
      </c>
    </row>
    <row r="1849" spans="2:65" s="2195" customFormat="1">
      <c r="B1849" s="2196"/>
      <c r="D1849" s="2197" t="s">
        <v>3303</v>
      </c>
      <c r="E1849" s="2198" t="s">
        <v>3146</v>
      </c>
      <c r="F1849" s="2199" t="s">
        <v>5442</v>
      </c>
      <c r="H1849" s="2198" t="s">
        <v>3146</v>
      </c>
      <c r="L1849" s="2196"/>
      <c r="M1849" s="2200"/>
      <c r="T1849" s="2201"/>
      <c r="AT1849" s="2198" t="s">
        <v>3303</v>
      </c>
      <c r="AU1849" s="2198" t="s">
        <v>134</v>
      </c>
      <c r="AV1849" s="2195" t="s">
        <v>133</v>
      </c>
      <c r="AW1849" s="2195" t="s">
        <v>3171</v>
      </c>
      <c r="AX1849" s="2195" t="s">
        <v>3213</v>
      </c>
      <c r="AY1849" s="2198" t="s">
        <v>3285</v>
      </c>
    </row>
    <row r="1850" spans="2:65" s="2209" customFormat="1">
      <c r="B1850" s="2210"/>
      <c r="D1850" s="2197" t="s">
        <v>3303</v>
      </c>
      <c r="E1850" s="2211" t="s">
        <v>3146</v>
      </c>
      <c r="F1850" s="2212" t="s">
        <v>133</v>
      </c>
      <c r="H1850" s="2213">
        <v>1</v>
      </c>
      <c r="L1850" s="2210"/>
      <c r="M1850" s="2214"/>
      <c r="T1850" s="2215"/>
      <c r="AT1850" s="2211" t="s">
        <v>3303</v>
      </c>
      <c r="AU1850" s="2211" t="s">
        <v>134</v>
      </c>
      <c r="AV1850" s="2209" t="s">
        <v>134</v>
      </c>
      <c r="AW1850" s="2209" t="s">
        <v>3171</v>
      </c>
      <c r="AX1850" s="2209" t="s">
        <v>3213</v>
      </c>
      <c r="AY1850" s="2211" t="s">
        <v>3285</v>
      </c>
    </row>
    <row r="1851" spans="2:65" s="2195" customFormat="1">
      <c r="B1851" s="2196"/>
      <c r="D1851" s="2197" t="s">
        <v>3303</v>
      </c>
      <c r="E1851" s="2198" t="s">
        <v>3146</v>
      </c>
      <c r="F1851" s="2199" t="s">
        <v>5444</v>
      </c>
      <c r="H1851" s="2198" t="s">
        <v>3146</v>
      </c>
      <c r="L1851" s="2196"/>
      <c r="M1851" s="2200"/>
      <c r="T1851" s="2201"/>
      <c r="AT1851" s="2198" t="s">
        <v>3303</v>
      </c>
      <c r="AU1851" s="2198" t="s">
        <v>134</v>
      </c>
      <c r="AV1851" s="2195" t="s">
        <v>133</v>
      </c>
      <c r="AW1851" s="2195" t="s">
        <v>3171</v>
      </c>
      <c r="AX1851" s="2195" t="s">
        <v>3213</v>
      </c>
      <c r="AY1851" s="2198" t="s">
        <v>3285</v>
      </c>
    </row>
    <row r="1852" spans="2:65" s="2209" customFormat="1">
      <c r="B1852" s="2210"/>
      <c r="D1852" s="2197" t="s">
        <v>3303</v>
      </c>
      <c r="E1852" s="2211" t="s">
        <v>3146</v>
      </c>
      <c r="F1852" s="2212" t="s">
        <v>134</v>
      </c>
      <c r="H1852" s="2213">
        <v>2</v>
      </c>
      <c r="L1852" s="2210"/>
      <c r="M1852" s="2214"/>
      <c r="T1852" s="2215"/>
      <c r="AT1852" s="2211" t="s">
        <v>3303</v>
      </c>
      <c r="AU1852" s="2211" t="s">
        <v>134</v>
      </c>
      <c r="AV1852" s="2209" t="s">
        <v>134</v>
      </c>
      <c r="AW1852" s="2209" t="s">
        <v>3171</v>
      </c>
      <c r="AX1852" s="2209" t="s">
        <v>3213</v>
      </c>
      <c r="AY1852" s="2211" t="s">
        <v>3285</v>
      </c>
    </row>
    <row r="1853" spans="2:65" s="2195" customFormat="1">
      <c r="B1853" s="2196"/>
      <c r="D1853" s="2197" t="s">
        <v>3303</v>
      </c>
      <c r="E1853" s="2198" t="s">
        <v>3146</v>
      </c>
      <c r="F1853" s="2199" t="s">
        <v>5446</v>
      </c>
      <c r="H1853" s="2198" t="s">
        <v>3146</v>
      </c>
      <c r="L1853" s="2196"/>
      <c r="M1853" s="2200"/>
      <c r="T1853" s="2201"/>
      <c r="AT1853" s="2198" t="s">
        <v>3303</v>
      </c>
      <c r="AU1853" s="2198" t="s">
        <v>134</v>
      </c>
      <c r="AV1853" s="2195" t="s">
        <v>133</v>
      </c>
      <c r="AW1853" s="2195" t="s">
        <v>3171</v>
      </c>
      <c r="AX1853" s="2195" t="s">
        <v>3213</v>
      </c>
      <c r="AY1853" s="2198" t="s">
        <v>3285</v>
      </c>
    </row>
    <row r="1854" spans="2:65" s="2209" customFormat="1">
      <c r="B1854" s="2210"/>
      <c r="D1854" s="2197" t="s">
        <v>3303</v>
      </c>
      <c r="E1854" s="2211" t="s">
        <v>3146</v>
      </c>
      <c r="F1854" s="2212" t="s">
        <v>134</v>
      </c>
      <c r="H1854" s="2213">
        <v>2</v>
      </c>
      <c r="L1854" s="2210"/>
      <c r="M1854" s="2214"/>
      <c r="T1854" s="2215"/>
      <c r="AT1854" s="2211" t="s">
        <v>3303</v>
      </c>
      <c r="AU1854" s="2211" t="s">
        <v>134</v>
      </c>
      <c r="AV1854" s="2209" t="s">
        <v>134</v>
      </c>
      <c r="AW1854" s="2209" t="s">
        <v>3171</v>
      </c>
      <c r="AX1854" s="2209" t="s">
        <v>3213</v>
      </c>
      <c r="AY1854" s="2211" t="s">
        <v>3285</v>
      </c>
    </row>
    <row r="1855" spans="2:65" s="2216" customFormat="1">
      <c r="B1855" s="2217"/>
      <c r="D1855" s="2197" t="s">
        <v>3303</v>
      </c>
      <c r="E1855" s="2218" t="s">
        <v>3146</v>
      </c>
      <c r="F1855" s="2219" t="s">
        <v>3306</v>
      </c>
      <c r="H1855" s="2220">
        <v>5</v>
      </c>
      <c r="L1855" s="2217"/>
      <c r="M1855" s="2221"/>
      <c r="T1855" s="2222"/>
      <c r="AT1855" s="2218" t="s">
        <v>3303</v>
      </c>
      <c r="AU1855" s="2218" t="s">
        <v>134</v>
      </c>
      <c r="AV1855" s="2216" t="s">
        <v>856</v>
      </c>
      <c r="AW1855" s="2216" t="s">
        <v>3171</v>
      </c>
      <c r="AX1855" s="2216" t="s">
        <v>133</v>
      </c>
      <c r="AY1855" s="2218" t="s">
        <v>3285</v>
      </c>
    </row>
    <row r="1856" spans="2:65" s="2070" customFormat="1" ht="33" customHeight="1">
      <c r="B1856" s="2164"/>
      <c r="C1856" s="4614" t="s">
        <v>11552</v>
      </c>
      <c r="D1856" s="4614" t="s">
        <v>135</v>
      </c>
      <c r="E1856" s="4615" t="s">
        <v>5787</v>
      </c>
      <c r="F1856" s="4616" t="s">
        <v>5788</v>
      </c>
      <c r="G1856" s="4617" t="s">
        <v>155</v>
      </c>
      <c r="H1856" s="4618">
        <v>5</v>
      </c>
      <c r="I1856" s="4619"/>
      <c r="J1856" s="4619">
        <f>ROUND(I1856*H1856,2)</f>
        <v>0</v>
      </c>
      <c r="K1856" s="4616" t="s">
        <v>142</v>
      </c>
      <c r="L1856" s="2223"/>
      <c r="M1856" s="2224" t="s">
        <v>3146</v>
      </c>
      <c r="N1856" s="2225" t="s">
        <v>3181</v>
      </c>
      <c r="O1856" s="2191">
        <v>0</v>
      </c>
      <c r="P1856" s="2191">
        <f>O1856*H1856</f>
        <v>0</v>
      </c>
      <c r="Q1856" s="2191">
        <v>1E-3</v>
      </c>
      <c r="R1856" s="2191">
        <f>Q1856*H1856</f>
        <v>5.0000000000000001E-3</v>
      </c>
      <c r="S1856" s="2191">
        <v>0</v>
      </c>
      <c r="T1856" s="2192">
        <f>S1856*H1856</f>
        <v>0</v>
      </c>
      <c r="AR1856" s="2193" t="s">
        <v>3389</v>
      </c>
      <c r="AT1856" s="2193" t="s">
        <v>135</v>
      </c>
      <c r="AU1856" s="2193" t="s">
        <v>134</v>
      </c>
      <c r="AY1856" s="2056" t="s">
        <v>3285</v>
      </c>
      <c r="BE1856" s="2194">
        <f>IF(N1856="základní",J1856,0)</f>
        <v>0</v>
      </c>
      <c r="BF1856" s="2194">
        <f>IF(N1856="snížená",J1856,0)</f>
        <v>0</v>
      </c>
      <c r="BG1856" s="2194">
        <f>IF(N1856="zákl. přenesená",J1856,0)</f>
        <v>0</v>
      </c>
      <c r="BH1856" s="2194">
        <f>IF(N1856="sníž. přenesená",J1856,0)</f>
        <v>0</v>
      </c>
      <c r="BI1856" s="2194">
        <f>IF(N1856="nulová",J1856,0)</f>
        <v>0</v>
      </c>
      <c r="BJ1856" s="2056" t="s">
        <v>134</v>
      </c>
      <c r="BK1856" s="2194">
        <f>ROUND(I1856*H1856,2)</f>
        <v>0</v>
      </c>
      <c r="BL1856" s="2056" t="s">
        <v>2894</v>
      </c>
      <c r="BM1856" s="2193" t="s">
        <v>5789</v>
      </c>
    </row>
    <row r="1857" spans="2:65" s="2070" customFormat="1" ht="24.2" customHeight="1">
      <c r="B1857" s="2164"/>
      <c r="C1857" s="4608" t="s">
        <v>11553</v>
      </c>
      <c r="D1857" s="4608" t="s">
        <v>3286</v>
      </c>
      <c r="E1857" s="4609" t="s">
        <v>11554</v>
      </c>
      <c r="F1857" s="4610" t="s">
        <v>11555</v>
      </c>
      <c r="G1857" s="4611" t="s">
        <v>302</v>
      </c>
      <c r="H1857" s="4612">
        <v>0.54200000000000004</v>
      </c>
      <c r="I1857" s="4613"/>
      <c r="J1857" s="4613">
        <f>ROUND(I1857*H1857,2)</f>
        <v>0</v>
      </c>
      <c r="K1857" s="4610" t="s">
        <v>142</v>
      </c>
      <c r="L1857" s="2071"/>
      <c r="M1857" s="2190" t="s">
        <v>3146</v>
      </c>
      <c r="N1857" s="2163" t="s">
        <v>3181</v>
      </c>
      <c r="O1857" s="2191">
        <v>2.1059999999999999</v>
      </c>
      <c r="P1857" s="2191">
        <f>O1857*H1857</f>
        <v>1.1414519999999999</v>
      </c>
      <c r="Q1857" s="2191">
        <v>0</v>
      </c>
      <c r="R1857" s="2191">
        <f>Q1857*H1857</f>
        <v>0</v>
      </c>
      <c r="S1857" s="2191">
        <v>0</v>
      </c>
      <c r="T1857" s="2192">
        <f>S1857*H1857</f>
        <v>0</v>
      </c>
      <c r="AR1857" s="2193" t="s">
        <v>2894</v>
      </c>
      <c r="AT1857" s="2193" t="s">
        <v>3286</v>
      </c>
      <c r="AU1857" s="2193" t="s">
        <v>134</v>
      </c>
      <c r="AY1857" s="2056" t="s">
        <v>3285</v>
      </c>
      <c r="BE1857" s="2194">
        <f>IF(N1857="základní",J1857,0)</f>
        <v>0</v>
      </c>
      <c r="BF1857" s="2194">
        <f>IF(N1857="snížená",J1857,0)</f>
        <v>0</v>
      </c>
      <c r="BG1857" s="2194">
        <f>IF(N1857="zákl. přenesená",J1857,0)</f>
        <v>0</v>
      </c>
      <c r="BH1857" s="2194">
        <f>IF(N1857="sníž. přenesená",J1857,0)</f>
        <v>0</v>
      </c>
      <c r="BI1857" s="2194">
        <f>IF(N1857="nulová",J1857,0)</f>
        <v>0</v>
      </c>
      <c r="BJ1857" s="2056" t="s">
        <v>134</v>
      </c>
      <c r="BK1857" s="2194">
        <f>ROUND(I1857*H1857,2)</f>
        <v>0</v>
      </c>
      <c r="BL1857" s="2056" t="s">
        <v>2894</v>
      </c>
      <c r="BM1857" s="2193" t="s">
        <v>11556</v>
      </c>
    </row>
    <row r="1858" spans="2:65" s="2070" customFormat="1" ht="24.2" customHeight="1">
      <c r="B1858" s="2164"/>
      <c r="C1858" s="4608" t="s">
        <v>11557</v>
      </c>
      <c r="D1858" s="4608" t="s">
        <v>3286</v>
      </c>
      <c r="E1858" s="4609" t="s">
        <v>11558</v>
      </c>
      <c r="F1858" s="4610" t="s">
        <v>11559</v>
      </c>
      <c r="G1858" s="4611" t="s">
        <v>302</v>
      </c>
      <c r="H1858" s="4612">
        <v>0.54200000000000004</v>
      </c>
      <c r="I1858" s="4613"/>
      <c r="J1858" s="4613">
        <f>ROUND(I1858*H1858,2)</f>
        <v>0</v>
      </c>
      <c r="K1858" s="4610" t="s">
        <v>142</v>
      </c>
      <c r="L1858" s="2071"/>
      <c r="M1858" s="2190" t="s">
        <v>3146</v>
      </c>
      <c r="N1858" s="2163" t="s">
        <v>3181</v>
      </c>
      <c r="O1858" s="2191">
        <v>1.21</v>
      </c>
      <c r="P1858" s="2191">
        <f>O1858*H1858</f>
        <v>0.65582000000000007</v>
      </c>
      <c r="Q1858" s="2191">
        <v>0</v>
      </c>
      <c r="R1858" s="2191">
        <f>Q1858*H1858</f>
        <v>0</v>
      </c>
      <c r="S1858" s="2191">
        <v>0</v>
      </c>
      <c r="T1858" s="2192">
        <f>S1858*H1858</f>
        <v>0</v>
      </c>
      <c r="AR1858" s="2193" t="s">
        <v>2894</v>
      </c>
      <c r="AT1858" s="2193" t="s">
        <v>3286</v>
      </c>
      <c r="AU1858" s="2193" t="s">
        <v>134</v>
      </c>
      <c r="AY1858" s="2056" t="s">
        <v>3285</v>
      </c>
      <c r="BE1858" s="2194">
        <f>IF(N1858="základní",J1858,0)</f>
        <v>0</v>
      </c>
      <c r="BF1858" s="2194">
        <f>IF(N1858="snížená",J1858,0)</f>
        <v>0</v>
      </c>
      <c r="BG1858" s="2194">
        <f>IF(N1858="zákl. přenesená",J1858,0)</f>
        <v>0</v>
      </c>
      <c r="BH1858" s="2194">
        <f>IF(N1858="sníž. přenesená",J1858,0)</f>
        <v>0</v>
      </c>
      <c r="BI1858" s="2194">
        <f>IF(N1858="nulová",J1858,0)</f>
        <v>0</v>
      </c>
      <c r="BJ1858" s="2056" t="s">
        <v>134</v>
      </c>
      <c r="BK1858" s="2194">
        <f>ROUND(I1858*H1858,2)</f>
        <v>0</v>
      </c>
      <c r="BL1858" s="2056" t="s">
        <v>2894</v>
      </c>
      <c r="BM1858" s="2193" t="s">
        <v>11560</v>
      </c>
    </row>
    <row r="1859" spans="2:65" s="2178" customFormat="1" ht="22.9" customHeight="1">
      <c r="B1859" s="2179"/>
      <c r="D1859" s="2180" t="s">
        <v>3212</v>
      </c>
      <c r="E1859" s="2188" t="s">
        <v>5790</v>
      </c>
      <c r="F1859" s="2188" t="s">
        <v>5791</v>
      </c>
      <c r="J1859" s="2189">
        <f>BK1859</f>
        <v>0</v>
      </c>
      <c r="L1859" s="2179"/>
      <c r="M1859" s="2183"/>
      <c r="P1859" s="2184">
        <f>SUM(P1860:P1891)</f>
        <v>168.67574999999999</v>
      </c>
      <c r="R1859" s="2184">
        <f>SUM(R1860:R1891)</f>
        <v>4.0758402</v>
      </c>
      <c r="T1859" s="2185">
        <f>SUM(T1860:T1891)</f>
        <v>0</v>
      </c>
      <c r="AR1859" s="2180" t="s">
        <v>134</v>
      </c>
      <c r="AT1859" s="2186" t="s">
        <v>3212</v>
      </c>
      <c r="AU1859" s="2186" t="s">
        <v>133</v>
      </c>
      <c r="AY1859" s="2180" t="s">
        <v>3285</v>
      </c>
      <c r="BK1859" s="2187">
        <f>SUM(BK1860:BK1891)</f>
        <v>0</v>
      </c>
    </row>
    <row r="1860" spans="2:65" s="2070" customFormat="1" ht="37.9" customHeight="1">
      <c r="B1860" s="2164"/>
      <c r="C1860" s="4608" t="s">
        <v>11561</v>
      </c>
      <c r="D1860" s="4608" t="s">
        <v>3286</v>
      </c>
      <c r="E1860" s="4609" t="s">
        <v>5793</v>
      </c>
      <c r="F1860" s="4610" t="s">
        <v>5794</v>
      </c>
      <c r="G1860" s="4611" t="s">
        <v>611</v>
      </c>
      <c r="H1860" s="4612">
        <v>167.625</v>
      </c>
      <c r="I1860" s="4613"/>
      <c r="J1860" s="4613">
        <f>ROUND(I1860*H1860,2)</f>
        <v>0</v>
      </c>
      <c r="K1860" s="4610" t="s">
        <v>142</v>
      </c>
      <c r="L1860" s="2071"/>
      <c r="M1860" s="2190" t="s">
        <v>3146</v>
      </c>
      <c r="N1860" s="2163" t="s">
        <v>3181</v>
      </c>
      <c r="O1860" s="2191">
        <v>0.41799999999999998</v>
      </c>
      <c r="P1860" s="2191">
        <f>O1860*H1860</f>
        <v>70.067250000000001</v>
      </c>
      <c r="Q1860" s="2191">
        <v>2.384E-2</v>
      </c>
      <c r="R1860" s="2191">
        <f>Q1860*H1860</f>
        <v>3.9961799999999998</v>
      </c>
      <c r="S1860" s="2191">
        <v>0</v>
      </c>
      <c r="T1860" s="2192">
        <f>S1860*H1860</f>
        <v>0</v>
      </c>
      <c r="AR1860" s="2193" t="s">
        <v>2894</v>
      </c>
      <c r="AT1860" s="2193" t="s">
        <v>3286</v>
      </c>
      <c r="AU1860" s="2193" t="s">
        <v>134</v>
      </c>
      <c r="AY1860" s="2056" t="s">
        <v>3285</v>
      </c>
      <c r="BE1860" s="2194">
        <f>IF(N1860="základní",J1860,0)</f>
        <v>0</v>
      </c>
      <c r="BF1860" s="2194">
        <f>IF(N1860="snížená",J1860,0)</f>
        <v>0</v>
      </c>
      <c r="BG1860" s="2194">
        <f>IF(N1860="zákl. přenesená",J1860,0)</f>
        <v>0</v>
      </c>
      <c r="BH1860" s="2194">
        <f>IF(N1860="sníž. přenesená",J1860,0)</f>
        <v>0</v>
      </c>
      <c r="BI1860" s="2194">
        <f>IF(N1860="nulová",J1860,0)</f>
        <v>0</v>
      </c>
      <c r="BJ1860" s="2056" t="s">
        <v>134</v>
      </c>
      <c r="BK1860" s="2194">
        <f>ROUND(I1860*H1860,2)</f>
        <v>0</v>
      </c>
      <c r="BL1860" s="2056" t="s">
        <v>2894</v>
      </c>
      <c r="BM1860" s="2193" t="s">
        <v>5795</v>
      </c>
    </row>
    <row r="1861" spans="2:65" s="2209" customFormat="1">
      <c r="B1861" s="2210"/>
      <c r="D1861" s="2197" t="s">
        <v>3303</v>
      </c>
      <c r="E1861" s="2211" t="s">
        <v>3146</v>
      </c>
      <c r="F1861" s="2212" t="s">
        <v>5796</v>
      </c>
      <c r="H1861" s="2213">
        <v>45</v>
      </c>
      <c r="L1861" s="2210"/>
      <c r="M1861" s="2214"/>
      <c r="T1861" s="2215"/>
      <c r="AT1861" s="2211" t="s">
        <v>3303</v>
      </c>
      <c r="AU1861" s="2211" t="s">
        <v>134</v>
      </c>
      <c r="AV1861" s="2209" t="s">
        <v>134</v>
      </c>
      <c r="AW1861" s="2209" t="s">
        <v>3171</v>
      </c>
      <c r="AX1861" s="2209" t="s">
        <v>3213</v>
      </c>
      <c r="AY1861" s="2211" t="s">
        <v>3285</v>
      </c>
    </row>
    <row r="1862" spans="2:65" s="2209" customFormat="1">
      <c r="B1862" s="2210"/>
      <c r="D1862" s="2197" t="s">
        <v>3303</v>
      </c>
      <c r="E1862" s="2211" t="s">
        <v>3146</v>
      </c>
      <c r="F1862" s="2212" t="s">
        <v>5797</v>
      </c>
      <c r="H1862" s="2213">
        <v>1.25</v>
      </c>
      <c r="L1862" s="2210"/>
      <c r="M1862" s="2214"/>
      <c r="T1862" s="2215"/>
      <c r="AT1862" s="2211" t="s">
        <v>3303</v>
      </c>
      <c r="AU1862" s="2211" t="s">
        <v>134</v>
      </c>
      <c r="AV1862" s="2209" t="s">
        <v>134</v>
      </c>
      <c r="AW1862" s="2209" t="s">
        <v>3171</v>
      </c>
      <c r="AX1862" s="2209" t="s">
        <v>3213</v>
      </c>
      <c r="AY1862" s="2211" t="s">
        <v>3285</v>
      </c>
    </row>
    <row r="1863" spans="2:65" s="2209" customFormat="1">
      <c r="B1863" s="2210"/>
      <c r="D1863" s="2197" t="s">
        <v>3303</v>
      </c>
      <c r="E1863" s="2211" t="s">
        <v>3146</v>
      </c>
      <c r="F1863" s="2212" t="s">
        <v>5798</v>
      </c>
      <c r="H1863" s="2213">
        <v>2.5</v>
      </c>
      <c r="L1863" s="2210"/>
      <c r="M1863" s="2214"/>
      <c r="T1863" s="2215"/>
      <c r="AT1863" s="2211" t="s">
        <v>3303</v>
      </c>
      <c r="AU1863" s="2211" t="s">
        <v>134</v>
      </c>
      <c r="AV1863" s="2209" t="s">
        <v>134</v>
      </c>
      <c r="AW1863" s="2209" t="s">
        <v>3171</v>
      </c>
      <c r="AX1863" s="2209" t="s">
        <v>3213</v>
      </c>
      <c r="AY1863" s="2211" t="s">
        <v>3285</v>
      </c>
    </row>
    <row r="1864" spans="2:65" s="2209" customFormat="1">
      <c r="B1864" s="2210"/>
      <c r="D1864" s="2197" t="s">
        <v>3303</v>
      </c>
      <c r="E1864" s="2211" t="s">
        <v>3146</v>
      </c>
      <c r="F1864" s="2212" t="s">
        <v>5799</v>
      </c>
      <c r="H1864" s="2213">
        <v>5</v>
      </c>
      <c r="L1864" s="2210"/>
      <c r="M1864" s="2214"/>
      <c r="T1864" s="2215"/>
      <c r="AT1864" s="2211" t="s">
        <v>3303</v>
      </c>
      <c r="AU1864" s="2211" t="s">
        <v>134</v>
      </c>
      <c r="AV1864" s="2209" t="s">
        <v>134</v>
      </c>
      <c r="AW1864" s="2209" t="s">
        <v>3171</v>
      </c>
      <c r="AX1864" s="2209" t="s">
        <v>3213</v>
      </c>
      <c r="AY1864" s="2211" t="s">
        <v>3285</v>
      </c>
    </row>
    <row r="1865" spans="2:65" s="2209" customFormat="1">
      <c r="B1865" s="2210"/>
      <c r="D1865" s="2197" t="s">
        <v>3303</v>
      </c>
      <c r="E1865" s="2211" t="s">
        <v>3146</v>
      </c>
      <c r="F1865" s="2212" t="s">
        <v>5800</v>
      </c>
      <c r="H1865" s="2213">
        <v>37.5</v>
      </c>
      <c r="L1865" s="2210"/>
      <c r="M1865" s="2214"/>
      <c r="T1865" s="2215"/>
      <c r="AT1865" s="2211" t="s">
        <v>3303</v>
      </c>
      <c r="AU1865" s="2211" t="s">
        <v>134</v>
      </c>
      <c r="AV1865" s="2209" t="s">
        <v>134</v>
      </c>
      <c r="AW1865" s="2209" t="s">
        <v>3171</v>
      </c>
      <c r="AX1865" s="2209" t="s">
        <v>3213</v>
      </c>
      <c r="AY1865" s="2211" t="s">
        <v>3285</v>
      </c>
    </row>
    <row r="1866" spans="2:65" s="2209" customFormat="1">
      <c r="B1866" s="2210"/>
      <c r="D1866" s="2197" t="s">
        <v>3303</v>
      </c>
      <c r="E1866" s="2211" t="s">
        <v>3146</v>
      </c>
      <c r="F1866" s="2212" t="s">
        <v>5801</v>
      </c>
      <c r="H1866" s="2213">
        <v>1.5</v>
      </c>
      <c r="L1866" s="2210"/>
      <c r="M1866" s="2214"/>
      <c r="T1866" s="2215"/>
      <c r="AT1866" s="2211" t="s">
        <v>3303</v>
      </c>
      <c r="AU1866" s="2211" t="s">
        <v>134</v>
      </c>
      <c r="AV1866" s="2209" t="s">
        <v>134</v>
      </c>
      <c r="AW1866" s="2209" t="s">
        <v>3171</v>
      </c>
      <c r="AX1866" s="2209" t="s">
        <v>3213</v>
      </c>
      <c r="AY1866" s="2211" t="s">
        <v>3285</v>
      </c>
    </row>
    <row r="1867" spans="2:65" s="2209" customFormat="1">
      <c r="B1867" s="2210"/>
      <c r="D1867" s="2197" t="s">
        <v>3303</v>
      </c>
      <c r="E1867" s="2211" t="s">
        <v>3146</v>
      </c>
      <c r="F1867" s="2212" t="s">
        <v>5802</v>
      </c>
      <c r="H1867" s="2213">
        <v>7.5</v>
      </c>
      <c r="L1867" s="2210"/>
      <c r="M1867" s="2214"/>
      <c r="T1867" s="2215"/>
      <c r="AT1867" s="2211" t="s">
        <v>3303</v>
      </c>
      <c r="AU1867" s="2211" t="s">
        <v>134</v>
      </c>
      <c r="AV1867" s="2209" t="s">
        <v>134</v>
      </c>
      <c r="AW1867" s="2209" t="s">
        <v>3171</v>
      </c>
      <c r="AX1867" s="2209" t="s">
        <v>3213</v>
      </c>
      <c r="AY1867" s="2211" t="s">
        <v>3285</v>
      </c>
    </row>
    <row r="1868" spans="2:65" s="2209" customFormat="1">
      <c r="B1868" s="2210"/>
      <c r="D1868" s="2197" t="s">
        <v>3303</v>
      </c>
      <c r="E1868" s="2211" t="s">
        <v>3146</v>
      </c>
      <c r="F1868" s="2212" t="s">
        <v>5798</v>
      </c>
      <c r="H1868" s="2213">
        <v>2.5</v>
      </c>
      <c r="L1868" s="2210"/>
      <c r="M1868" s="2214"/>
      <c r="T1868" s="2215"/>
      <c r="AT1868" s="2211" t="s">
        <v>3303</v>
      </c>
      <c r="AU1868" s="2211" t="s">
        <v>134</v>
      </c>
      <c r="AV1868" s="2209" t="s">
        <v>134</v>
      </c>
      <c r="AW1868" s="2209" t="s">
        <v>3171</v>
      </c>
      <c r="AX1868" s="2209" t="s">
        <v>3213</v>
      </c>
      <c r="AY1868" s="2211" t="s">
        <v>3285</v>
      </c>
    </row>
    <row r="1869" spans="2:65" s="2209" customFormat="1">
      <c r="B1869" s="2210"/>
      <c r="D1869" s="2197" t="s">
        <v>3303</v>
      </c>
      <c r="E1869" s="2211" t="s">
        <v>3146</v>
      </c>
      <c r="F1869" s="2212" t="s">
        <v>5803</v>
      </c>
      <c r="H1869" s="2213">
        <v>2.5</v>
      </c>
      <c r="L1869" s="2210"/>
      <c r="M1869" s="2214"/>
      <c r="T1869" s="2215"/>
      <c r="AT1869" s="2211" t="s">
        <v>3303</v>
      </c>
      <c r="AU1869" s="2211" t="s">
        <v>134</v>
      </c>
      <c r="AV1869" s="2209" t="s">
        <v>134</v>
      </c>
      <c r="AW1869" s="2209" t="s">
        <v>3171</v>
      </c>
      <c r="AX1869" s="2209" t="s">
        <v>3213</v>
      </c>
      <c r="AY1869" s="2211" t="s">
        <v>3285</v>
      </c>
    </row>
    <row r="1870" spans="2:65" s="2209" customFormat="1">
      <c r="B1870" s="2210"/>
      <c r="D1870" s="2197" t="s">
        <v>3303</v>
      </c>
      <c r="E1870" s="2211" t="s">
        <v>3146</v>
      </c>
      <c r="F1870" s="2212" t="s">
        <v>5804</v>
      </c>
      <c r="H1870" s="2213">
        <v>12.5</v>
      </c>
      <c r="L1870" s="2210"/>
      <c r="M1870" s="2214"/>
      <c r="T1870" s="2215"/>
      <c r="AT1870" s="2211" t="s">
        <v>3303</v>
      </c>
      <c r="AU1870" s="2211" t="s">
        <v>134</v>
      </c>
      <c r="AV1870" s="2209" t="s">
        <v>134</v>
      </c>
      <c r="AW1870" s="2209" t="s">
        <v>3171</v>
      </c>
      <c r="AX1870" s="2209" t="s">
        <v>3213</v>
      </c>
      <c r="AY1870" s="2211" t="s">
        <v>3285</v>
      </c>
    </row>
    <row r="1871" spans="2:65" s="2209" customFormat="1">
      <c r="B1871" s="2210"/>
      <c r="D1871" s="2197" t="s">
        <v>3303</v>
      </c>
      <c r="E1871" s="2211" t="s">
        <v>3146</v>
      </c>
      <c r="F1871" s="2212" t="s">
        <v>5798</v>
      </c>
      <c r="H1871" s="2213">
        <v>2.5</v>
      </c>
      <c r="L1871" s="2210"/>
      <c r="M1871" s="2214"/>
      <c r="T1871" s="2215"/>
      <c r="AT1871" s="2211" t="s">
        <v>3303</v>
      </c>
      <c r="AU1871" s="2211" t="s">
        <v>134</v>
      </c>
      <c r="AV1871" s="2209" t="s">
        <v>134</v>
      </c>
      <c r="AW1871" s="2209" t="s">
        <v>3171</v>
      </c>
      <c r="AX1871" s="2209" t="s">
        <v>3213</v>
      </c>
      <c r="AY1871" s="2211" t="s">
        <v>3285</v>
      </c>
    </row>
    <row r="1872" spans="2:65" s="2209" customFormat="1">
      <c r="B1872" s="2210"/>
      <c r="D1872" s="2197" t="s">
        <v>3303</v>
      </c>
      <c r="E1872" s="2211" t="s">
        <v>3146</v>
      </c>
      <c r="F1872" s="2212" t="s">
        <v>5805</v>
      </c>
      <c r="H1872" s="2213">
        <v>20</v>
      </c>
      <c r="L1872" s="2210"/>
      <c r="M1872" s="2214"/>
      <c r="T1872" s="2215"/>
      <c r="AT1872" s="2211" t="s">
        <v>3303</v>
      </c>
      <c r="AU1872" s="2211" t="s">
        <v>134</v>
      </c>
      <c r="AV1872" s="2209" t="s">
        <v>134</v>
      </c>
      <c r="AW1872" s="2209" t="s">
        <v>3171</v>
      </c>
      <c r="AX1872" s="2209" t="s">
        <v>3213</v>
      </c>
      <c r="AY1872" s="2211" t="s">
        <v>3285</v>
      </c>
    </row>
    <row r="1873" spans="2:65" s="2209" customFormat="1">
      <c r="B1873" s="2210"/>
      <c r="D1873" s="2197" t="s">
        <v>3303</v>
      </c>
      <c r="E1873" s="2211" t="s">
        <v>3146</v>
      </c>
      <c r="F1873" s="2212" t="s">
        <v>5798</v>
      </c>
      <c r="H1873" s="2213">
        <v>2.5</v>
      </c>
      <c r="L1873" s="2210"/>
      <c r="M1873" s="2214"/>
      <c r="T1873" s="2215"/>
      <c r="AT1873" s="2211" t="s">
        <v>3303</v>
      </c>
      <c r="AU1873" s="2211" t="s">
        <v>134</v>
      </c>
      <c r="AV1873" s="2209" t="s">
        <v>134</v>
      </c>
      <c r="AW1873" s="2209" t="s">
        <v>3171</v>
      </c>
      <c r="AX1873" s="2209" t="s">
        <v>3213</v>
      </c>
      <c r="AY1873" s="2211" t="s">
        <v>3285</v>
      </c>
    </row>
    <row r="1874" spans="2:65" s="2209" customFormat="1">
      <c r="B1874" s="2210"/>
      <c r="D1874" s="2197" t="s">
        <v>3303</v>
      </c>
      <c r="E1874" s="2211" t="s">
        <v>3146</v>
      </c>
      <c r="F1874" s="2212" t="s">
        <v>5806</v>
      </c>
      <c r="H1874" s="2213">
        <v>3</v>
      </c>
      <c r="L1874" s="2210"/>
      <c r="M1874" s="2214"/>
      <c r="T1874" s="2215"/>
      <c r="AT1874" s="2211" t="s">
        <v>3303</v>
      </c>
      <c r="AU1874" s="2211" t="s">
        <v>134</v>
      </c>
      <c r="AV1874" s="2209" t="s">
        <v>134</v>
      </c>
      <c r="AW1874" s="2209" t="s">
        <v>3171</v>
      </c>
      <c r="AX1874" s="2209" t="s">
        <v>3213</v>
      </c>
      <c r="AY1874" s="2211" t="s">
        <v>3285</v>
      </c>
    </row>
    <row r="1875" spans="2:65" s="2209" customFormat="1">
      <c r="B1875" s="2210"/>
      <c r="D1875" s="2197" t="s">
        <v>3303</v>
      </c>
      <c r="E1875" s="2211" t="s">
        <v>3146</v>
      </c>
      <c r="F1875" s="2212" t="s">
        <v>5802</v>
      </c>
      <c r="H1875" s="2213">
        <v>7.5</v>
      </c>
      <c r="L1875" s="2210"/>
      <c r="M1875" s="2214"/>
      <c r="T1875" s="2215"/>
      <c r="AT1875" s="2211" t="s">
        <v>3303</v>
      </c>
      <c r="AU1875" s="2211" t="s">
        <v>134</v>
      </c>
      <c r="AV1875" s="2209" t="s">
        <v>134</v>
      </c>
      <c r="AW1875" s="2209" t="s">
        <v>3171</v>
      </c>
      <c r="AX1875" s="2209" t="s">
        <v>3213</v>
      </c>
      <c r="AY1875" s="2211" t="s">
        <v>3285</v>
      </c>
    </row>
    <row r="1876" spans="2:65" s="2209" customFormat="1">
      <c r="B1876" s="2210"/>
      <c r="D1876" s="2197" t="s">
        <v>3303</v>
      </c>
      <c r="E1876" s="2211" t="s">
        <v>3146</v>
      </c>
      <c r="F1876" s="2212" t="s">
        <v>5803</v>
      </c>
      <c r="H1876" s="2213">
        <v>2.5</v>
      </c>
      <c r="L1876" s="2210"/>
      <c r="M1876" s="2214"/>
      <c r="T1876" s="2215"/>
      <c r="AT1876" s="2211" t="s">
        <v>3303</v>
      </c>
      <c r="AU1876" s="2211" t="s">
        <v>134</v>
      </c>
      <c r="AV1876" s="2209" t="s">
        <v>134</v>
      </c>
      <c r="AW1876" s="2209" t="s">
        <v>3171</v>
      </c>
      <c r="AX1876" s="2209" t="s">
        <v>3213</v>
      </c>
      <c r="AY1876" s="2211" t="s">
        <v>3285</v>
      </c>
    </row>
    <row r="1877" spans="2:65" s="2209" customFormat="1">
      <c r="B1877" s="2210"/>
      <c r="D1877" s="2197" t="s">
        <v>3303</v>
      </c>
      <c r="E1877" s="2211" t="s">
        <v>3146</v>
      </c>
      <c r="F1877" s="2212" t="s">
        <v>5807</v>
      </c>
      <c r="H1877" s="2213">
        <v>9.375</v>
      </c>
      <c r="L1877" s="2210"/>
      <c r="M1877" s="2214"/>
      <c r="T1877" s="2215"/>
      <c r="AT1877" s="2211" t="s">
        <v>3303</v>
      </c>
      <c r="AU1877" s="2211" t="s">
        <v>134</v>
      </c>
      <c r="AV1877" s="2209" t="s">
        <v>134</v>
      </c>
      <c r="AW1877" s="2209" t="s">
        <v>3171</v>
      </c>
      <c r="AX1877" s="2209" t="s">
        <v>3213</v>
      </c>
      <c r="AY1877" s="2211" t="s">
        <v>3285</v>
      </c>
    </row>
    <row r="1878" spans="2:65" s="2209" customFormat="1">
      <c r="B1878" s="2210"/>
      <c r="D1878" s="2197" t="s">
        <v>3303</v>
      </c>
      <c r="E1878" s="2211" t="s">
        <v>3146</v>
      </c>
      <c r="F1878" s="2212" t="s">
        <v>5798</v>
      </c>
      <c r="H1878" s="2213">
        <v>2.5</v>
      </c>
      <c r="L1878" s="2210"/>
      <c r="M1878" s="2214"/>
      <c r="T1878" s="2215"/>
      <c r="AT1878" s="2211" t="s">
        <v>3303</v>
      </c>
      <c r="AU1878" s="2211" t="s">
        <v>134</v>
      </c>
      <c r="AV1878" s="2209" t="s">
        <v>134</v>
      </c>
      <c r="AW1878" s="2209" t="s">
        <v>3171</v>
      </c>
      <c r="AX1878" s="2209" t="s">
        <v>3213</v>
      </c>
      <c r="AY1878" s="2211" t="s">
        <v>3285</v>
      </c>
    </row>
    <row r="1879" spans="2:65" s="2216" customFormat="1">
      <c r="B1879" s="2217"/>
      <c r="D1879" s="2197" t="s">
        <v>3303</v>
      </c>
      <c r="E1879" s="2218" t="s">
        <v>3146</v>
      </c>
      <c r="F1879" s="2219" t="s">
        <v>3306</v>
      </c>
      <c r="H1879" s="2220">
        <v>167.625</v>
      </c>
      <c r="L1879" s="2217"/>
      <c r="M1879" s="2221"/>
      <c r="T1879" s="2222"/>
      <c r="AT1879" s="2218" t="s">
        <v>3303</v>
      </c>
      <c r="AU1879" s="2218" t="s">
        <v>134</v>
      </c>
      <c r="AV1879" s="2216" t="s">
        <v>856</v>
      </c>
      <c r="AW1879" s="2216" t="s">
        <v>3171</v>
      </c>
      <c r="AX1879" s="2216" t="s">
        <v>133</v>
      </c>
      <c r="AY1879" s="2218" t="s">
        <v>3285</v>
      </c>
    </row>
    <row r="1880" spans="2:65" s="2070" customFormat="1" ht="16.5" customHeight="1">
      <c r="B1880" s="2164"/>
      <c r="C1880" s="4608" t="s">
        <v>11562</v>
      </c>
      <c r="D1880" s="4608" t="s">
        <v>3286</v>
      </c>
      <c r="E1880" s="4609" t="s">
        <v>5809</v>
      </c>
      <c r="F1880" s="4610" t="s">
        <v>11563</v>
      </c>
      <c r="G1880" s="4611" t="s">
        <v>155</v>
      </c>
      <c r="H1880" s="4612">
        <v>8</v>
      </c>
      <c r="I1880" s="4613"/>
      <c r="J1880" s="4613">
        <f>ROUND(I1880*H1880,2)</f>
        <v>0</v>
      </c>
      <c r="K1880" s="4610" t="s">
        <v>3146</v>
      </c>
      <c r="L1880" s="2071"/>
      <c r="M1880" s="2190" t="s">
        <v>3146</v>
      </c>
      <c r="N1880" s="2163" t="s">
        <v>3181</v>
      </c>
      <c r="O1880" s="2191">
        <v>0</v>
      </c>
      <c r="P1880" s="2191">
        <f>O1880*H1880</f>
        <v>0</v>
      </c>
      <c r="Q1880" s="2191">
        <v>0</v>
      </c>
      <c r="R1880" s="2191">
        <f>Q1880*H1880</f>
        <v>0</v>
      </c>
      <c r="S1880" s="2191">
        <v>0</v>
      </c>
      <c r="T1880" s="2192">
        <f>S1880*H1880</f>
        <v>0</v>
      </c>
      <c r="AR1880" s="2193" t="s">
        <v>2894</v>
      </c>
      <c r="AT1880" s="2193" t="s">
        <v>3286</v>
      </c>
      <c r="AU1880" s="2193" t="s">
        <v>134</v>
      </c>
      <c r="AY1880" s="2056" t="s">
        <v>3285</v>
      </c>
      <c r="BE1880" s="2194">
        <f>IF(N1880="základní",J1880,0)</f>
        <v>0</v>
      </c>
      <c r="BF1880" s="2194">
        <f>IF(N1880="snížená",J1880,0)</f>
        <v>0</v>
      </c>
      <c r="BG1880" s="2194">
        <f>IF(N1880="zákl. přenesená",J1880,0)</f>
        <v>0</v>
      </c>
      <c r="BH1880" s="2194">
        <f>IF(N1880="sníž. přenesená",J1880,0)</f>
        <v>0</v>
      </c>
      <c r="BI1880" s="2194">
        <f>IF(N1880="nulová",J1880,0)</f>
        <v>0</v>
      </c>
      <c r="BJ1880" s="2056" t="s">
        <v>134</v>
      </c>
      <c r="BK1880" s="2194">
        <f>ROUND(I1880*H1880,2)</f>
        <v>0</v>
      </c>
      <c r="BL1880" s="2056" t="s">
        <v>2894</v>
      </c>
      <c r="BM1880" s="2193" t="s">
        <v>5810</v>
      </c>
    </row>
    <row r="1881" spans="2:65" s="2070" customFormat="1" ht="16.5" customHeight="1">
      <c r="B1881" s="2164"/>
      <c r="C1881" s="4608" t="s">
        <v>11564</v>
      </c>
      <c r="D1881" s="4608" t="s">
        <v>3286</v>
      </c>
      <c r="E1881" s="4609" t="s">
        <v>5812</v>
      </c>
      <c r="F1881" s="4610" t="s">
        <v>5813</v>
      </c>
      <c r="G1881" s="4611" t="s">
        <v>611</v>
      </c>
      <c r="H1881" s="4612">
        <v>128.9</v>
      </c>
      <c r="I1881" s="4613"/>
      <c r="J1881" s="4613">
        <f>ROUND(I1881*H1881,2)</f>
        <v>0</v>
      </c>
      <c r="K1881" s="4610" t="s">
        <v>142</v>
      </c>
      <c r="L1881" s="2071"/>
      <c r="M1881" s="2190" t="s">
        <v>3146</v>
      </c>
      <c r="N1881" s="2163" t="s">
        <v>3181</v>
      </c>
      <c r="O1881" s="2191">
        <v>0.76500000000000001</v>
      </c>
      <c r="P1881" s="2191">
        <f>O1881*H1881</f>
        <v>98.608500000000006</v>
      </c>
      <c r="Q1881" s="2191">
        <v>0</v>
      </c>
      <c r="R1881" s="2191">
        <f>Q1881*H1881</f>
        <v>0</v>
      </c>
      <c r="S1881" s="2191">
        <v>0</v>
      </c>
      <c r="T1881" s="2192">
        <f>S1881*H1881</f>
        <v>0</v>
      </c>
      <c r="AR1881" s="2193" t="s">
        <v>2894</v>
      </c>
      <c r="AT1881" s="2193" t="s">
        <v>3286</v>
      </c>
      <c r="AU1881" s="2193" t="s">
        <v>134</v>
      </c>
      <c r="AY1881" s="2056" t="s">
        <v>3285</v>
      </c>
      <c r="BE1881" s="2194">
        <f>IF(N1881="základní",J1881,0)</f>
        <v>0</v>
      </c>
      <c r="BF1881" s="2194">
        <f>IF(N1881="snížená",J1881,0)</f>
        <v>0</v>
      </c>
      <c r="BG1881" s="2194">
        <f>IF(N1881="zákl. přenesená",J1881,0)</f>
        <v>0</v>
      </c>
      <c r="BH1881" s="2194">
        <f>IF(N1881="sníž. přenesená",J1881,0)</f>
        <v>0</v>
      </c>
      <c r="BI1881" s="2194">
        <f>IF(N1881="nulová",J1881,0)</f>
        <v>0</v>
      </c>
      <c r="BJ1881" s="2056" t="s">
        <v>134</v>
      </c>
      <c r="BK1881" s="2194">
        <f>ROUND(I1881*H1881,2)</f>
        <v>0</v>
      </c>
      <c r="BL1881" s="2056" t="s">
        <v>2894</v>
      </c>
      <c r="BM1881" s="2193" t="s">
        <v>5814</v>
      </c>
    </row>
    <row r="1882" spans="2:65" s="2195" customFormat="1">
      <c r="B1882" s="2196"/>
      <c r="D1882" s="2197" t="s">
        <v>3303</v>
      </c>
      <c r="E1882" s="2198" t="s">
        <v>3146</v>
      </c>
      <c r="F1882" s="2199" t="s">
        <v>5815</v>
      </c>
      <c r="H1882" s="2198" t="s">
        <v>3146</v>
      </c>
      <c r="L1882" s="2196"/>
      <c r="M1882" s="2200"/>
      <c r="T1882" s="2201"/>
      <c r="AT1882" s="2198" t="s">
        <v>3303</v>
      </c>
      <c r="AU1882" s="2198" t="s">
        <v>134</v>
      </c>
      <c r="AV1882" s="2195" t="s">
        <v>133</v>
      </c>
      <c r="AW1882" s="2195" t="s">
        <v>3171</v>
      </c>
      <c r="AX1882" s="2195" t="s">
        <v>3213</v>
      </c>
      <c r="AY1882" s="2198" t="s">
        <v>3285</v>
      </c>
    </row>
    <row r="1883" spans="2:65" s="2209" customFormat="1">
      <c r="B1883" s="2210"/>
      <c r="D1883" s="2197" t="s">
        <v>3303</v>
      </c>
      <c r="E1883" s="2211" t="s">
        <v>3146</v>
      </c>
      <c r="F1883" s="2212" t="s">
        <v>5816</v>
      </c>
      <c r="H1883" s="2213">
        <v>12</v>
      </c>
      <c r="L1883" s="2210"/>
      <c r="M1883" s="2214"/>
      <c r="T1883" s="2215"/>
      <c r="AT1883" s="2211" t="s">
        <v>3303</v>
      </c>
      <c r="AU1883" s="2211" t="s">
        <v>134</v>
      </c>
      <c r="AV1883" s="2209" t="s">
        <v>134</v>
      </c>
      <c r="AW1883" s="2209" t="s">
        <v>3171</v>
      </c>
      <c r="AX1883" s="2209" t="s">
        <v>3213</v>
      </c>
      <c r="AY1883" s="2211" t="s">
        <v>3285</v>
      </c>
    </row>
    <row r="1884" spans="2:65" s="2209" customFormat="1">
      <c r="B1884" s="2210"/>
      <c r="D1884" s="2197" t="s">
        <v>3303</v>
      </c>
      <c r="E1884" s="2211" t="s">
        <v>3146</v>
      </c>
      <c r="F1884" s="2212" t="s">
        <v>5817</v>
      </c>
      <c r="H1884" s="2213">
        <v>28</v>
      </c>
      <c r="L1884" s="2210"/>
      <c r="M1884" s="2214"/>
      <c r="T1884" s="2215"/>
      <c r="AT1884" s="2211" t="s">
        <v>3303</v>
      </c>
      <c r="AU1884" s="2211" t="s">
        <v>134</v>
      </c>
      <c r="AV1884" s="2209" t="s">
        <v>134</v>
      </c>
      <c r="AW1884" s="2209" t="s">
        <v>3171</v>
      </c>
      <c r="AX1884" s="2209" t="s">
        <v>3213</v>
      </c>
      <c r="AY1884" s="2211" t="s">
        <v>3285</v>
      </c>
    </row>
    <row r="1885" spans="2:65" s="2202" customFormat="1">
      <c r="B1885" s="2203"/>
      <c r="D1885" s="2197" t="s">
        <v>3303</v>
      </c>
      <c r="E1885" s="2204" t="s">
        <v>3146</v>
      </c>
      <c r="F1885" s="2205" t="s">
        <v>3305</v>
      </c>
      <c r="H1885" s="2206">
        <v>40</v>
      </c>
      <c r="L1885" s="2203"/>
      <c r="M1885" s="2207"/>
      <c r="T1885" s="2208"/>
      <c r="AT1885" s="2204" t="s">
        <v>3303</v>
      </c>
      <c r="AU1885" s="2204" t="s">
        <v>134</v>
      </c>
      <c r="AV1885" s="2202" t="s">
        <v>854</v>
      </c>
      <c r="AW1885" s="2202" t="s">
        <v>3171</v>
      </c>
      <c r="AX1885" s="2202" t="s">
        <v>3213</v>
      </c>
      <c r="AY1885" s="2204" t="s">
        <v>3285</v>
      </c>
    </row>
    <row r="1886" spans="2:65" s="2195" customFormat="1">
      <c r="B1886" s="2196"/>
      <c r="D1886" s="2197" t="s">
        <v>3303</v>
      </c>
      <c r="E1886" s="2198" t="s">
        <v>3146</v>
      </c>
      <c r="F1886" s="2199" t="s">
        <v>5818</v>
      </c>
      <c r="H1886" s="2198" t="s">
        <v>3146</v>
      </c>
      <c r="L1886" s="2196"/>
      <c r="M1886" s="2200"/>
      <c r="T1886" s="2201"/>
      <c r="AT1886" s="2198" t="s">
        <v>3303</v>
      </c>
      <c r="AU1886" s="2198" t="s">
        <v>134</v>
      </c>
      <c r="AV1886" s="2195" t="s">
        <v>133</v>
      </c>
      <c r="AW1886" s="2195" t="s">
        <v>3171</v>
      </c>
      <c r="AX1886" s="2195" t="s">
        <v>3213</v>
      </c>
      <c r="AY1886" s="2198" t="s">
        <v>3285</v>
      </c>
    </row>
    <row r="1887" spans="2:65" s="2209" customFormat="1" ht="22.5">
      <c r="B1887" s="2210"/>
      <c r="D1887" s="2197" t="s">
        <v>3303</v>
      </c>
      <c r="E1887" s="2211" t="s">
        <v>3146</v>
      </c>
      <c r="F1887" s="2212" t="s">
        <v>5819</v>
      </c>
      <c r="H1887" s="2213">
        <v>88.9</v>
      </c>
      <c r="L1887" s="2210"/>
      <c r="M1887" s="2214"/>
      <c r="T1887" s="2215"/>
      <c r="AT1887" s="2211" t="s">
        <v>3303</v>
      </c>
      <c r="AU1887" s="2211" t="s">
        <v>134</v>
      </c>
      <c r="AV1887" s="2209" t="s">
        <v>134</v>
      </c>
      <c r="AW1887" s="2209" t="s">
        <v>3171</v>
      </c>
      <c r="AX1887" s="2209" t="s">
        <v>3213</v>
      </c>
      <c r="AY1887" s="2211" t="s">
        <v>3285</v>
      </c>
    </row>
    <row r="1888" spans="2:65" s="2202" customFormat="1">
      <c r="B1888" s="2203"/>
      <c r="D1888" s="2197" t="s">
        <v>3303</v>
      </c>
      <c r="E1888" s="2204" t="s">
        <v>3146</v>
      </c>
      <c r="F1888" s="2205" t="s">
        <v>3305</v>
      </c>
      <c r="H1888" s="2206">
        <v>88.9</v>
      </c>
      <c r="L1888" s="2203"/>
      <c r="M1888" s="2207"/>
      <c r="T1888" s="2208"/>
      <c r="AT1888" s="2204" t="s">
        <v>3303</v>
      </c>
      <c r="AU1888" s="2204" t="s">
        <v>134</v>
      </c>
      <c r="AV1888" s="2202" t="s">
        <v>854</v>
      </c>
      <c r="AW1888" s="2202" t="s">
        <v>3171</v>
      </c>
      <c r="AX1888" s="2202" t="s">
        <v>3213</v>
      </c>
      <c r="AY1888" s="2204" t="s">
        <v>3285</v>
      </c>
    </row>
    <row r="1889" spans="2:65" s="2216" customFormat="1">
      <c r="B1889" s="2217"/>
      <c r="D1889" s="2197" t="s">
        <v>3303</v>
      </c>
      <c r="E1889" s="2218" t="s">
        <v>3146</v>
      </c>
      <c r="F1889" s="2219" t="s">
        <v>3306</v>
      </c>
      <c r="H1889" s="2220">
        <v>128.9</v>
      </c>
      <c r="L1889" s="2217"/>
      <c r="M1889" s="2221"/>
      <c r="T1889" s="2222"/>
      <c r="AT1889" s="2218" t="s">
        <v>3303</v>
      </c>
      <c r="AU1889" s="2218" t="s">
        <v>134</v>
      </c>
      <c r="AV1889" s="2216" t="s">
        <v>856</v>
      </c>
      <c r="AW1889" s="2216" t="s">
        <v>3171</v>
      </c>
      <c r="AX1889" s="2216" t="s">
        <v>133</v>
      </c>
      <c r="AY1889" s="2218" t="s">
        <v>3285</v>
      </c>
    </row>
    <row r="1890" spans="2:65" s="2070" customFormat="1" ht="16.5" customHeight="1">
      <c r="B1890" s="2164"/>
      <c r="C1890" s="4614" t="s">
        <v>11565</v>
      </c>
      <c r="D1890" s="4614" t="s">
        <v>135</v>
      </c>
      <c r="E1890" s="4615" t="s">
        <v>5821</v>
      </c>
      <c r="F1890" s="4616" t="s">
        <v>5822</v>
      </c>
      <c r="G1890" s="4617" t="s">
        <v>611</v>
      </c>
      <c r="H1890" s="4618">
        <v>132.767</v>
      </c>
      <c r="I1890" s="4619"/>
      <c r="J1890" s="4619">
        <f>ROUND(I1890*H1890,2)</f>
        <v>0</v>
      </c>
      <c r="K1890" s="4616" t="s">
        <v>142</v>
      </c>
      <c r="L1890" s="2223"/>
      <c r="M1890" s="2224" t="s">
        <v>3146</v>
      </c>
      <c r="N1890" s="2225" t="s">
        <v>3181</v>
      </c>
      <c r="O1890" s="2191">
        <v>0</v>
      </c>
      <c r="P1890" s="2191">
        <f>O1890*H1890</f>
        <v>0</v>
      </c>
      <c r="Q1890" s="2191">
        <v>5.9999999999999995E-4</v>
      </c>
      <c r="R1890" s="2191">
        <f>Q1890*H1890</f>
        <v>7.9660199999999987E-2</v>
      </c>
      <c r="S1890" s="2191">
        <v>0</v>
      </c>
      <c r="T1890" s="2192">
        <f>S1890*H1890</f>
        <v>0</v>
      </c>
      <c r="AR1890" s="2193" t="s">
        <v>3389</v>
      </c>
      <c r="AT1890" s="2193" t="s">
        <v>135</v>
      </c>
      <c r="AU1890" s="2193" t="s">
        <v>134</v>
      </c>
      <c r="AY1890" s="2056" t="s">
        <v>3285</v>
      </c>
      <c r="BE1890" s="2194">
        <f>IF(N1890="základní",J1890,0)</f>
        <v>0</v>
      </c>
      <c r="BF1890" s="2194">
        <f>IF(N1890="snížená",J1890,0)</f>
        <v>0</v>
      </c>
      <c r="BG1890" s="2194">
        <f>IF(N1890="zákl. přenesená",J1890,0)</f>
        <v>0</v>
      </c>
      <c r="BH1890" s="2194">
        <f>IF(N1890="sníž. přenesená",J1890,0)</f>
        <v>0</v>
      </c>
      <c r="BI1890" s="2194">
        <f>IF(N1890="nulová",J1890,0)</f>
        <v>0</v>
      </c>
      <c r="BJ1890" s="2056" t="s">
        <v>134</v>
      </c>
      <c r="BK1890" s="2194">
        <f>ROUND(I1890*H1890,2)</f>
        <v>0</v>
      </c>
      <c r="BL1890" s="2056" t="s">
        <v>2894</v>
      </c>
      <c r="BM1890" s="2193" t="s">
        <v>5823</v>
      </c>
    </row>
    <row r="1891" spans="2:65" s="2209" customFormat="1">
      <c r="B1891" s="2210"/>
      <c r="D1891" s="2197" t="s">
        <v>3303</v>
      </c>
      <c r="F1891" s="2212" t="s">
        <v>5824</v>
      </c>
      <c r="H1891" s="2213">
        <v>132.767</v>
      </c>
      <c r="L1891" s="2210"/>
      <c r="M1891" s="2231"/>
      <c r="N1891" s="2232"/>
      <c r="O1891" s="2232"/>
      <c r="P1891" s="2232"/>
      <c r="Q1891" s="2232"/>
      <c r="R1891" s="2232"/>
      <c r="S1891" s="2232"/>
      <c r="T1891" s="2233"/>
      <c r="AT1891" s="2211" t="s">
        <v>3303</v>
      </c>
      <c r="AU1891" s="2211" t="s">
        <v>134</v>
      </c>
      <c r="AV1891" s="2209" t="s">
        <v>134</v>
      </c>
      <c r="AW1891" s="2209" t="s">
        <v>3148</v>
      </c>
      <c r="AX1891" s="2209" t="s">
        <v>133</v>
      </c>
      <c r="AY1891" s="2211" t="s">
        <v>3285</v>
      </c>
    </row>
    <row r="1892" spans="2:65" s="2070" customFormat="1" ht="6.95" customHeight="1">
      <c r="B1892" s="2084"/>
      <c r="C1892" s="2085"/>
      <c r="D1892" s="2085"/>
      <c r="E1892" s="2085"/>
      <c r="F1892" s="2085"/>
      <c r="G1892" s="2085"/>
      <c r="H1892" s="2085"/>
      <c r="I1892" s="2085"/>
      <c r="J1892" s="2085"/>
      <c r="K1892" s="2085"/>
      <c r="L1892" s="2071"/>
    </row>
  </sheetData>
  <autoFilter ref="C147:K1891" xr:uid="{00000000-0009-0000-0000-000003000000}"/>
  <mergeCells count="11">
    <mergeCell ref="D124:F124"/>
    <mergeCell ref="D125:F125"/>
    <mergeCell ref="D126:F126"/>
    <mergeCell ref="E138:H138"/>
    <mergeCell ref="E140:H140"/>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71" t="s">
        <v>10718</v>
      </c>
      <c r="M2" s="5672"/>
      <c r="N2" s="5672"/>
      <c r="O2" s="5672"/>
      <c r="P2" s="5672"/>
      <c r="Q2" s="5672"/>
      <c r="R2" s="5672"/>
      <c r="S2" s="5672"/>
      <c r="T2" s="5672"/>
      <c r="U2" s="5672"/>
      <c r="V2" s="5672"/>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13" t="str">
        <f>'Rekapitulace stavby'!K6</f>
        <v>Dostavba domova pro seniory ve Vrchlabí - PD</v>
      </c>
      <c r="F7" s="5714"/>
      <c r="G7" s="5714"/>
      <c r="H7" s="5714"/>
      <c r="L7" s="2059"/>
    </row>
    <row r="8" spans="2:46" s="2070" customFormat="1" ht="12" customHeight="1">
      <c r="B8" s="2071"/>
      <c r="D8" s="2065" t="s">
        <v>3239</v>
      </c>
      <c r="L8" s="2071"/>
    </row>
    <row r="9" spans="2:46" s="2070" customFormat="1" ht="16.5" customHeight="1">
      <c r="B9" s="2071"/>
      <c r="E9" s="5692" t="s">
        <v>5825</v>
      </c>
      <c r="F9" s="5712"/>
      <c r="G9" s="5712"/>
      <c r="H9" s="5712"/>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75" t="s">
        <v>3146</v>
      </c>
      <c r="F27" s="5675"/>
      <c r="G27" s="5675"/>
      <c r="H27" s="567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13" t="str">
        <f>E7</f>
        <v>Dostavba domova pro seniory ve Vrchlabí - PD</v>
      </c>
      <c r="F85" s="5714"/>
      <c r="G85" s="5714"/>
      <c r="H85" s="5714"/>
      <c r="L85" s="2071"/>
    </row>
    <row r="86" spans="2:47" s="2070" customFormat="1" ht="12" customHeight="1">
      <c r="B86" s="2071"/>
      <c r="C86" s="2065" t="s">
        <v>3239</v>
      </c>
      <c r="L86" s="2071"/>
    </row>
    <row r="87" spans="2:47" s="2070" customFormat="1" ht="16.5" customHeight="1">
      <c r="B87" s="2071"/>
      <c r="E87" s="5692" t="str">
        <f>E9</f>
        <v>01.3 - Gabionové stěny</v>
      </c>
      <c r="F87" s="5712"/>
      <c r="G87" s="5712"/>
      <c r="H87" s="5712"/>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715" t="s">
        <v>24</v>
      </c>
      <c r="E108" s="5715"/>
      <c r="F108" s="5715"/>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715" t="s">
        <v>25</v>
      </c>
      <c r="E109" s="5715"/>
      <c r="F109" s="5715"/>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15" t="s">
        <v>3272</v>
      </c>
      <c r="E110" s="5715"/>
      <c r="F110" s="5715"/>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713" t="str">
        <f>E7</f>
        <v>Dostavba domova pro seniory ve Vrchlabí - PD</v>
      </c>
      <c r="F122" s="5714"/>
      <c r="G122" s="5714"/>
      <c r="H122" s="5714"/>
      <c r="L122" s="2071"/>
    </row>
    <row r="123" spans="2:12" s="2070" customFormat="1" ht="12" customHeight="1">
      <c r="B123" s="2071"/>
      <c r="C123" s="2065" t="s">
        <v>3239</v>
      </c>
      <c r="L123" s="2071"/>
    </row>
    <row r="124" spans="2:12" s="2070" customFormat="1" ht="16.5" customHeight="1">
      <c r="B124" s="2071"/>
      <c r="E124" s="5692" t="str">
        <f>E9</f>
        <v>01.3 - Gabionové stěny</v>
      </c>
      <c r="F124" s="5712"/>
      <c r="G124" s="5712"/>
      <c r="H124" s="5712"/>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5826</v>
      </c>
      <c r="F135" s="4610" t="s">
        <v>5827</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5828</v>
      </c>
    </row>
    <row r="136" spans="2:65" s="2195" customFormat="1">
      <c r="B136" s="2196"/>
      <c r="D136" s="2197" t="s">
        <v>3303</v>
      </c>
      <c r="E136" s="2198" t="s">
        <v>3146</v>
      </c>
      <c r="F136" s="2199" t="s">
        <v>5829</v>
      </c>
      <c r="H136" s="2198" t="s">
        <v>3146</v>
      </c>
      <c r="L136" s="2196"/>
      <c r="M136" s="2200"/>
      <c r="T136" s="2201"/>
      <c r="AT136" s="2198" t="s">
        <v>3303</v>
      </c>
      <c r="AU136" s="2198" t="s">
        <v>134</v>
      </c>
      <c r="AV136" s="2195" t="s">
        <v>133</v>
      </c>
      <c r="AW136" s="2195" t="s">
        <v>3171</v>
      </c>
      <c r="AX136" s="2195" t="s">
        <v>3213</v>
      </c>
      <c r="AY136" s="2198" t="s">
        <v>3285</v>
      </c>
    </row>
    <row r="137" spans="2:65" s="2209" customFormat="1">
      <c r="B137" s="2210"/>
      <c r="D137" s="2197" t="s">
        <v>3303</v>
      </c>
      <c r="E137" s="2211" t="s">
        <v>3146</v>
      </c>
      <c r="F137" s="2212" t="s">
        <v>5830</v>
      </c>
      <c r="H137" s="2213">
        <v>23</v>
      </c>
      <c r="L137" s="2210"/>
      <c r="M137" s="2214"/>
      <c r="T137" s="2215"/>
      <c r="AT137" s="2211" t="s">
        <v>3303</v>
      </c>
      <c r="AU137" s="2211" t="s">
        <v>134</v>
      </c>
      <c r="AV137" s="2209" t="s">
        <v>134</v>
      </c>
      <c r="AW137" s="2209" t="s">
        <v>3171</v>
      </c>
      <c r="AX137" s="2209" t="s">
        <v>3213</v>
      </c>
      <c r="AY137" s="2211" t="s">
        <v>3285</v>
      </c>
    </row>
    <row r="138" spans="2:65" s="2209" customFormat="1">
      <c r="B138" s="2210"/>
      <c r="D138" s="2197" t="s">
        <v>3303</v>
      </c>
      <c r="E138" s="2211" t="s">
        <v>3146</v>
      </c>
      <c r="F138" s="2212" t="s">
        <v>5831</v>
      </c>
      <c r="H138" s="2213">
        <v>17.25</v>
      </c>
      <c r="L138" s="2210"/>
      <c r="M138" s="2214"/>
      <c r="T138" s="2215"/>
      <c r="AT138" s="2211" t="s">
        <v>3303</v>
      </c>
      <c r="AU138" s="2211" t="s">
        <v>134</v>
      </c>
      <c r="AV138" s="2209" t="s">
        <v>134</v>
      </c>
      <c r="AW138" s="2209" t="s">
        <v>3171</v>
      </c>
      <c r="AX138" s="2209" t="s">
        <v>3213</v>
      </c>
      <c r="AY138" s="2211" t="s">
        <v>3285</v>
      </c>
    </row>
    <row r="139" spans="2:65" s="2209" customFormat="1">
      <c r="B139" s="2210"/>
      <c r="D139" s="2197" t="s">
        <v>3303</v>
      </c>
      <c r="E139" s="2211" t="s">
        <v>3146</v>
      </c>
      <c r="F139" s="2212" t="s">
        <v>5832</v>
      </c>
      <c r="H139" s="2213">
        <v>13.9</v>
      </c>
      <c r="L139" s="2210"/>
      <c r="M139" s="2214"/>
      <c r="T139" s="2215"/>
      <c r="AT139" s="2211" t="s">
        <v>3303</v>
      </c>
      <c r="AU139" s="2211" t="s">
        <v>134</v>
      </c>
      <c r="AV139" s="2209" t="s">
        <v>134</v>
      </c>
      <c r="AW139" s="2209" t="s">
        <v>3171</v>
      </c>
      <c r="AX139" s="2209" t="s">
        <v>3213</v>
      </c>
      <c r="AY139" s="2211" t="s">
        <v>3285</v>
      </c>
    </row>
    <row r="140" spans="2:65" s="2209" customFormat="1">
      <c r="B140" s="2210"/>
      <c r="D140" s="2197" t="s">
        <v>3303</v>
      </c>
      <c r="E140" s="2211" t="s">
        <v>3146</v>
      </c>
      <c r="F140" s="2212" t="s">
        <v>5833</v>
      </c>
      <c r="H140" s="2213">
        <v>10.425000000000001</v>
      </c>
      <c r="L140" s="2210"/>
      <c r="M140" s="2214"/>
      <c r="T140" s="2215"/>
      <c r="AT140" s="2211" t="s">
        <v>3303</v>
      </c>
      <c r="AU140" s="2211" t="s">
        <v>134</v>
      </c>
      <c r="AV140" s="2209" t="s">
        <v>134</v>
      </c>
      <c r="AW140" s="2209" t="s">
        <v>3171</v>
      </c>
      <c r="AX140" s="2209" t="s">
        <v>3213</v>
      </c>
      <c r="AY140" s="2211" t="s">
        <v>3285</v>
      </c>
    </row>
    <row r="141" spans="2:65" s="2209" customFormat="1">
      <c r="B141" s="2210"/>
      <c r="D141" s="2197" t="s">
        <v>3303</v>
      </c>
      <c r="E141" s="2211" t="s">
        <v>3146</v>
      </c>
      <c r="F141" s="2212" t="s">
        <v>5834</v>
      </c>
      <c r="H141" s="2213">
        <v>24.3</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5835</v>
      </c>
      <c r="H142" s="2213">
        <v>18.225000000000001</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5836</v>
      </c>
      <c r="H143" s="2213">
        <v>23.75</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5837</v>
      </c>
      <c r="H144" s="2213">
        <v>17.812999999999999</v>
      </c>
      <c r="L144" s="2210"/>
      <c r="M144" s="2214"/>
      <c r="T144" s="2215"/>
      <c r="AT144" s="2211" t="s">
        <v>3303</v>
      </c>
      <c r="AU144" s="2211" t="s">
        <v>134</v>
      </c>
      <c r="AV144" s="2209" t="s">
        <v>134</v>
      </c>
      <c r="AW144" s="2209" t="s">
        <v>3171</v>
      </c>
      <c r="AX144" s="2209" t="s">
        <v>3213</v>
      </c>
      <c r="AY144" s="2211" t="s">
        <v>3285</v>
      </c>
    </row>
    <row r="145" spans="2:65" s="2202" customFormat="1">
      <c r="B145" s="2203"/>
      <c r="D145" s="2197" t="s">
        <v>3303</v>
      </c>
      <c r="E145" s="2204" t="s">
        <v>3146</v>
      </c>
      <c r="F145" s="2205" t="s">
        <v>3305</v>
      </c>
      <c r="H145" s="2206">
        <v>148.66299999999998</v>
      </c>
      <c r="L145" s="2203"/>
      <c r="M145" s="2207"/>
      <c r="T145" s="2208"/>
      <c r="AT145" s="2204" t="s">
        <v>3303</v>
      </c>
      <c r="AU145" s="2204" t="s">
        <v>134</v>
      </c>
      <c r="AV145" s="2202" t="s">
        <v>854</v>
      </c>
      <c r="AW145" s="2202" t="s">
        <v>3171</v>
      </c>
      <c r="AX145" s="2202" t="s">
        <v>3213</v>
      </c>
      <c r="AY145" s="2204" t="s">
        <v>3285</v>
      </c>
    </row>
    <row r="146" spans="2:65" s="2216" customFormat="1">
      <c r="B146" s="2217"/>
      <c r="D146" s="2197" t="s">
        <v>3303</v>
      </c>
      <c r="E146" s="2218" t="s">
        <v>3146</v>
      </c>
      <c r="F146" s="2219" t="s">
        <v>3306</v>
      </c>
      <c r="H146" s="2220">
        <v>148.66299999999998</v>
      </c>
      <c r="L146" s="2217"/>
      <c r="M146" s="2221"/>
      <c r="T146" s="2222"/>
      <c r="AT146" s="2218" t="s">
        <v>3303</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5838</v>
      </c>
      <c r="F147" s="4610" t="s">
        <v>5839</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5840</v>
      </c>
    </row>
    <row r="148" spans="2:65" s="2070" customFormat="1" ht="24.2" customHeight="1">
      <c r="B148" s="2164"/>
      <c r="C148" s="4608" t="s">
        <v>854</v>
      </c>
      <c r="D148" s="4608" t="s">
        <v>3286</v>
      </c>
      <c r="E148" s="4609" t="s">
        <v>3331</v>
      </c>
      <c r="F148" s="4610" t="s">
        <v>3332</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5841</v>
      </c>
    </row>
    <row r="149" spans="2:65" s="2070" customFormat="1" ht="24.2" customHeight="1">
      <c r="B149" s="2164"/>
      <c r="C149" s="4608" t="s">
        <v>856</v>
      </c>
      <c r="D149" s="4608" t="s">
        <v>3286</v>
      </c>
      <c r="E149" s="4609" t="s">
        <v>3341</v>
      </c>
      <c r="F149" s="4610" t="s">
        <v>3342</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5842</v>
      </c>
    </row>
    <row r="150" spans="2:65" s="2209" customFormat="1">
      <c r="B150" s="2210"/>
      <c r="D150" s="2197" t="s">
        <v>3303</v>
      </c>
      <c r="E150" s="2211" t="s">
        <v>3146</v>
      </c>
      <c r="F150" s="2212" t="s">
        <v>5843</v>
      </c>
      <c r="H150" s="2213">
        <v>38.228000000000002</v>
      </c>
      <c r="L150" s="2210"/>
      <c r="M150" s="2214"/>
      <c r="T150" s="2215"/>
      <c r="AT150" s="2211" t="s">
        <v>3303</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5844</v>
      </c>
      <c r="F151" s="4616" t="s">
        <v>5845</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5846</v>
      </c>
    </row>
    <row r="152" spans="2:65" s="2070" customFormat="1" ht="24.2" customHeight="1">
      <c r="B152" s="2164"/>
      <c r="C152" s="4608" t="s">
        <v>860</v>
      </c>
      <c r="D152" s="4608" t="s">
        <v>3286</v>
      </c>
      <c r="E152" s="4609" t="s">
        <v>3356</v>
      </c>
      <c r="F152" s="4610" t="s">
        <v>3357</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5847</v>
      </c>
    </row>
    <row r="153" spans="2:65" s="2209" customFormat="1">
      <c r="B153" s="2210"/>
      <c r="D153" s="2197" t="s">
        <v>3303</v>
      </c>
      <c r="E153" s="2211" t="s">
        <v>3146</v>
      </c>
      <c r="F153" s="2212" t="s">
        <v>5848</v>
      </c>
      <c r="H153" s="2213">
        <v>34.5</v>
      </c>
      <c r="L153" s="2210"/>
      <c r="M153" s="2214"/>
      <c r="T153" s="2215"/>
      <c r="AT153" s="2211" t="s">
        <v>3303</v>
      </c>
      <c r="AU153" s="2211" t="s">
        <v>134</v>
      </c>
      <c r="AV153" s="2209" t="s">
        <v>134</v>
      </c>
      <c r="AW153" s="2209" t="s">
        <v>3171</v>
      </c>
      <c r="AX153" s="2209" t="s">
        <v>3213</v>
      </c>
      <c r="AY153" s="2211" t="s">
        <v>3285</v>
      </c>
    </row>
    <row r="154" spans="2:65" s="2209" customFormat="1">
      <c r="B154" s="2210"/>
      <c r="D154" s="2197" t="s">
        <v>3303</v>
      </c>
      <c r="E154" s="2211" t="s">
        <v>3146</v>
      </c>
      <c r="F154" s="2212" t="s">
        <v>5849</v>
      </c>
      <c r="H154" s="2213">
        <v>20.85</v>
      </c>
      <c r="L154" s="2210"/>
      <c r="M154" s="2214"/>
      <c r="T154" s="2215"/>
      <c r="AT154" s="2211" t="s">
        <v>3303</v>
      </c>
      <c r="AU154" s="2211" t="s">
        <v>134</v>
      </c>
      <c r="AV154" s="2209" t="s">
        <v>134</v>
      </c>
      <c r="AW154" s="2209" t="s">
        <v>3171</v>
      </c>
      <c r="AX154" s="2209" t="s">
        <v>3213</v>
      </c>
      <c r="AY154" s="2211" t="s">
        <v>3285</v>
      </c>
    </row>
    <row r="155" spans="2:65" s="2209" customFormat="1">
      <c r="B155" s="2210"/>
      <c r="D155" s="2197" t="s">
        <v>3303</v>
      </c>
      <c r="E155" s="2211" t="s">
        <v>3146</v>
      </c>
      <c r="F155" s="2212" t="s">
        <v>5850</v>
      </c>
      <c r="H155" s="2213">
        <v>36.450000000000003</v>
      </c>
      <c r="L155" s="2210"/>
      <c r="M155" s="2214"/>
      <c r="T155" s="2215"/>
      <c r="AT155" s="2211" t="s">
        <v>3303</v>
      </c>
      <c r="AU155" s="2211" t="s">
        <v>134</v>
      </c>
      <c r="AV155" s="2209" t="s">
        <v>134</v>
      </c>
      <c r="AW155" s="2209" t="s">
        <v>3171</v>
      </c>
      <c r="AX155" s="2209" t="s">
        <v>3213</v>
      </c>
      <c r="AY155" s="2211" t="s">
        <v>3285</v>
      </c>
    </row>
    <row r="156" spans="2:65" s="2209" customFormat="1">
      <c r="B156" s="2210"/>
      <c r="D156" s="2197" t="s">
        <v>3303</v>
      </c>
      <c r="E156" s="2211" t="s">
        <v>3146</v>
      </c>
      <c r="F156" s="2212" t="s">
        <v>5851</v>
      </c>
      <c r="H156" s="2213">
        <v>35.625</v>
      </c>
      <c r="L156" s="2210"/>
      <c r="M156" s="2214"/>
      <c r="T156" s="2215"/>
      <c r="AT156" s="2211" t="s">
        <v>3303</v>
      </c>
      <c r="AU156" s="2211" t="s">
        <v>134</v>
      </c>
      <c r="AV156" s="2209" t="s">
        <v>134</v>
      </c>
      <c r="AW156" s="2209" t="s">
        <v>3171</v>
      </c>
      <c r="AX156" s="2209" t="s">
        <v>3213</v>
      </c>
      <c r="AY156" s="2211" t="s">
        <v>3285</v>
      </c>
    </row>
    <row r="157" spans="2:65" s="2209" customFormat="1">
      <c r="B157" s="2210"/>
      <c r="D157" s="2197" t="s">
        <v>3303</v>
      </c>
      <c r="E157" s="2211" t="s">
        <v>3146</v>
      </c>
      <c r="F157" s="2212" t="s">
        <v>5848</v>
      </c>
      <c r="H157" s="2213">
        <v>34.5</v>
      </c>
      <c r="L157" s="2210"/>
      <c r="M157" s="2214"/>
      <c r="T157" s="2215"/>
      <c r="AT157" s="2211" t="s">
        <v>3303</v>
      </c>
      <c r="AU157" s="2211" t="s">
        <v>134</v>
      </c>
      <c r="AV157" s="2209" t="s">
        <v>134</v>
      </c>
      <c r="AW157" s="2209" t="s">
        <v>3171</v>
      </c>
      <c r="AX157" s="2209" t="s">
        <v>3213</v>
      </c>
      <c r="AY157" s="2211" t="s">
        <v>3285</v>
      </c>
    </row>
    <row r="158" spans="2:65" s="2209" customFormat="1">
      <c r="B158" s="2210"/>
      <c r="D158" s="2197" t="s">
        <v>3303</v>
      </c>
      <c r="E158" s="2211" t="s">
        <v>3146</v>
      </c>
      <c r="F158" s="2212" t="s">
        <v>5849</v>
      </c>
      <c r="H158" s="2213">
        <v>20.85</v>
      </c>
      <c r="L158" s="2210"/>
      <c r="M158" s="2214"/>
      <c r="T158" s="2215"/>
      <c r="AT158" s="2211" t="s">
        <v>3303</v>
      </c>
      <c r="AU158" s="2211" t="s">
        <v>134</v>
      </c>
      <c r="AV158" s="2209" t="s">
        <v>134</v>
      </c>
      <c r="AW158" s="2209" t="s">
        <v>3171</v>
      </c>
      <c r="AX158" s="2209" t="s">
        <v>3213</v>
      </c>
      <c r="AY158" s="2211" t="s">
        <v>3285</v>
      </c>
    </row>
    <row r="159" spans="2:65" s="2209" customFormat="1">
      <c r="B159" s="2210"/>
      <c r="D159" s="2197" t="s">
        <v>3303</v>
      </c>
      <c r="E159" s="2211" t="s">
        <v>3146</v>
      </c>
      <c r="F159" s="2212" t="s">
        <v>5850</v>
      </c>
      <c r="H159" s="2213">
        <v>36.450000000000003</v>
      </c>
      <c r="L159" s="2210"/>
      <c r="M159" s="2214"/>
      <c r="T159" s="2215"/>
      <c r="AT159" s="2211" t="s">
        <v>3303</v>
      </c>
      <c r="AU159" s="2211" t="s">
        <v>134</v>
      </c>
      <c r="AV159" s="2209" t="s">
        <v>134</v>
      </c>
      <c r="AW159" s="2209" t="s">
        <v>3171</v>
      </c>
      <c r="AX159" s="2209" t="s">
        <v>3213</v>
      </c>
      <c r="AY159" s="2211" t="s">
        <v>3285</v>
      </c>
    </row>
    <row r="160" spans="2:65" s="2209" customFormat="1">
      <c r="B160" s="2210"/>
      <c r="D160" s="2197" t="s">
        <v>3303</v>
      </c>
      <c r="E160" s="2211" t="s">
        <v>3146</v>
      </c>
      <c r="F160" s="2212" t="s">
        <v>5851</v>
      </c>
      <c r="H160" s="2213">
        <v>35.625</v>
      </c>
      <c r="L160" s="2210"/>
      <c r="M160" s="2214"/>
      <c r="T160" s="2215"/>
      <c r="AT160" s="2211" t="s">
        <v>3303</v>
      </c>
      <c r="AU160" s="2211" t="s">
        <v>134</v>
      </c>
      <c r="AV160" s="2209" t="s">
        <v>134</v>
      </c>
      <c r="AW160" s="2209" t="s">
        <v>3171</v>
      </c>
      <c r="AX160" s="2209" t="s">
        <v>3213</v>
      </c>
      <c r="AY160" s="2211" t="s">
        <v>3285</v>
      </c>
    </row>
    <row r="161" spans="2:65" s="2216" customFormat="1">
      <c r="B161" s="2217"/>
      <c r="D161" s="2197" t="s">
        <v>3303</v>
      </c>
      <c r="E161" s="2218" t="s">
        <v>3146</v>
      </c>
      <c r="F161" s="2219" t="s">
        <v>3306</v>
      </c>
      <c r="H161" s="2220">
        <v>254.85000000000002</v>
      </c>
      <c r="L161" s="2217"/>
      <c r="M161" s="2221"/>
      <c r="T161" s="2222"/>
      <c r="AT161" s="2218" t="s">
        <v>3303</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5852</v>
      </c>
      <c r="F163" s="4610" t="s">
        <v>5853</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5854</v>
      </c>
    </row>
    <row r="164" spans="2:65" s="2209" customFormat="1">
      <c r="B164" s="2210"/>
      <c r="D164" s="2197" t="s">
        <v>3303</v>
      </c>
      <c r="E164" s="2211" t="s">
        <v>3146</v>
      </c>
      <c r="F164" s="2212" t="s">
        <v>5855</v>
      </c>
      <c r="H164" s="2213">
        <v>6.9</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5856</v>
      </c>
      <c r="H165" s="2213">
        <v>4.17</v>
      </c>
      <c r="L165" s="2210"/>
      <c r="M165" s="2214"/>
      <c r="T165" s="2215"/>
      <c r="AT165" s="2211" t="s">
        <v>3303</v>
      </c>
      <c r="AU165" s="2211" t="s">
        <v>134</v>
      </c>
      <c r="AV165" s="2209" t="s">
        <v>134</v>
      </c>
      <c r="AW165" s="2209" t="s">
        <v>3171</v>
      </c>
      <c r="AX165" s="2209" t="s">
        <v>3213</v>
      </c>
      <c r="AY165" s="2211" t="s">
        <v>3285</v>
      </c>
    </row>
    <row r="166" spans="2:65" s="2209" customFormat="1">
      <c r="B166" s="2210"/>
      <c r="D166" s="2197" t="s">
        <v>3303</v>
      </c>
      <c r="E166" s="2211" t="s">
        <v>3146</v>
      </c>
      <c r="F166" s="2212" t="s">
        <v>5857</v>
      </c>
      <c r="H166" s="2213">
        <v>7.29</v>
      </c>
      <c r="L166" s="2210"/>
      <c r="M166" s="2214"/>
      <c r="T166" s="2215"/>
      <c r="AT166" s="2211" t="s">
        <v>3303</v>
      </c>
      <c r="AU166" s="2211" t="s">
        <v>134</v>
      </c>
      <c r="AV166" s="2209" t="s">
        <v>134</v>
      </c>
      <c r="AW166" s="2209" t="s">
        <v>3171</v>
      </c>
      <c r="AX166" s="2209" t="s">
        <v>3213</v>
      </c>
      <c r="AY166" s="2211" t="s">
        <v>3285</v>
      </c>
    </row>
    <row r="167" spans="2:65" s="2209" customFormat="1">
      <c r="B167" s="2210"/>
      <c r="D167" s="2197" t="s">
        <v>3303</v>
      </c>
      <c r="E167" s="2211" t="s">
        <v>3146</v>
      </c>
      <c r="F167" s="2212" t="s">
        <v>5858</v>
      </c>
      <c r="H167" s="2213">
        <v>7.125</v>
      </c>
      <c r="L167" s="2210"/>
      <c r="M167" s="2214"/>
      <c r="T167" s="2215"/>
      <c r="AT167" s="2211" t="s">
        <v>3303</v>
      </c>
      <c r="AU167" s="2211" t="s">
        <v>134</v>
      </c>
      <c r="AV167" s="2209" t="s">
        <v>134</v>
      </c>
      <c r="AW167" s="2209" t="s">
        <v>3171</v>
      </c>
      <c r="AX167" s="2209" t="s">
        <v>3213</v>
      </c>
      <c r="AY167" s="2211" t="s">
        <v>3285</v>
      </c>
    </row>
    <row r="168" spans="2:65" s="2216" customFormat="1">
      <c r="B168" s="2217"/>
      <c r="D168" s="2197" t="s">
        <v>3303</v>
      </c>
      <c r="E168" s="2218" t="s">
        <v>3146</v>
      </c>
      <c r="F168" s="2219" t="s">
        <v>3306</v>
      </c>
      <c r="H168" s="2220">
        <v>25.484999999999999</v>
      </c>
      <c r="L168" s="2217"/>
      <c r="M168" s="2221"/>
      <c r="T168" s="2222"/>
      <c r="AT168" s="2218" t="s">
        <v>3303</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5859</v>
      </c>
      <c r="F170" s="4610" t="s">
        <v>5860</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5861</v>
      </c>
    </row>
    <row r="171" spans="2:65" s="2195" customFormat="1">
      <c r="B171" s="2196"/>
      <c r="D171" s="2197" t="s">
        <v>3303</v>
      </c>
      <c r="E171" s="2198" t="s">
        <v>3146</v>
      </c>
      <c r="F171" s="2199" t="s">
        <v>5829</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5830</v>
      </c>
      <c r="H172" s="2213">
        <v>23</v>
      </c>
      <c r="L172" s="2210"/>
      <c r="M172" s="2214"/>
      <c r="T172" s="2215"/>
      <c r="AT172" s="2211" t="s">
        <v>3303</v>
      </c>
      <c r="AU172" s="2211" t="s">
        <v>134</v>
      </c>
      <c r="AV172" s="2209" t="s">
        <v>134</v>
      </c>
      <c r="AW172" s="2209" t="s">
        <v>3171</v>
      </c>
      <c r="AX172" s="2209" t="s">
        <v>3213</v>
      </c>
      <c r="AY172" s="2211" t="s">
        <v>3285</v>
      </c>
    </row>
    <row r="173" spans="2:65" s="2209" customFormat="1">
      <c r="B173" s="2210"/>
      <c r="D173" s="2197" t="s">
        <v>3303</v>
      </c>
      <c r="E173" s="2211" t="s">
        <v>3146</v>
      </c>
      <c r="F173" s="2212" t="s">
        <v>5831</v>
      </c>
      <c r="H173" s="2213">
        <v>17.25</v>
      </c>
      <c r="L173" s="2210"/>
      <c r="M173" s="2214"/>
      <c r="T173" s="2215"/>
      <c r="AT173" s="2211" t="s">
        <v>3303</v>
      </c>
      <c r="AU173" s="2211" t="s">
        <v>134</v>
      </c>
      <c r="AV173" s="2209" t="s">
        <v>134</v>
      </c>
      <c r="AW173" s="2209" t="s">
        <v>3171</v>
      </c>
      <c r="AX173" s="2209" t="s">
        <v>3213</v>
      </c>
      <c r="AY173" s="2211" t="s">
        <v>3285</v>
      </c>
    </row>
    <row r="174" spans="2:65" s="2209" customFormat="1">
      <c r="B174" s="2210"/>
      <c r="D174" s="2197" t="s">
        <v>3303</v>
      </c>
      <c r="E174" s="2211" t="s">
        <v>3146</v>
      </c>
      <c r="F174" s="2212" t="s">
        <v>5832</v>
      </c>
      <c r="H174" s="2213">
        <v>13.9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5833</v>
      </c>
      <c r="H175" s="2213">
        <v>10.425000000000001</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5834</v>
      </c>
      <c r="H176" s="2213">
        <v>24.3</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5835</v>
      </c>
      <c r="H177" s="2213">
        <v>18.225000000000001</v>
      </c>
      <c r="L177" s="2210"/>
      <c r="M177" s="2214"/>
      <c r="T177" s="2215"/>
      <c r="AT177" s="2211" t="s">
        <v>3303</v>
      </c>
      <c r="AU177" s="2211" t="s">
        <v>134</v>
      </c>
      <c r="AV177" s="2209" t="s">
        <v>134</v>
      </c>
      <c r="AW177" s="2209" t="s">
        <v>3171</v>
      </c>
      <c r="AX177" s="2209" t="s">
        <v>3213</v>
      </c>
      <c r="AY177" s="2211" t="s">
        <v>3285</v>
      </c>
    </row>
    <row r="178" spans="2:65" s="2209" customFormat="1">
      <c r="B178" s="2210"/>
      <c r="D178" s="2197" t="s">
        <v>3303</v>
      </c>
      <c r="E178" s="2211" t="s">
        <v>3146</v>
      </c>
      <c r="F178" s="2212" t="s">
        <v>5836</v>
      </c>
      <c r="H178" s="2213">
        <v>23.75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5837</v>
      </c>
      <c r="H179" s="2213">
        <v>17.812999999999999</v>
      </c>
      <c r="L179" s="2210"/>
      <c r="M179" s="2214"/>
      <c r="T179" s="2215"/>
      <c r="AT179" s="2211" t="s">
        <v>3303</v>
      </c>
      <c r="AU179" s="2211" t="s">
        <v>134</v>
      </c>
      <c r="AV179" s="2209" t="s">
        <v>134</v>
      </c>
      <c r="AW179" s="2209" t="s">
        <v>3171</v>
      </c>
      <c r="AX179" s="2209" t="s">
        <v>3213</v>
      </c>
      <c r="AY179" s="2211" t="s">
        <v>3285</v>
      </c>
    </row>
    <row r="180" spans="2:65" s="2202" customFormat="1">
      <c r="B180" s="2203"/>
      <c r="D180" s="2197" t="s">
        <v>3303</v>
      </c>
      <c r="E180" s="2204" t="s">
        <v>3146</v>
      </c>
      <c r="F180" s="2205" t="s">
        <v>3305</v>
      </c>
      <c r="H180" s="2206">
        <v>148.66299999999998</v>
      </c>
      <c r="L180" s="2203"/>
      <c r="M180" s="2207"/>
      <c r="T180" s="2208"/>
      <c r="AT180" s="2204" t="s">
        <v>3303</v>
      </c>
      <c r="AU180" s="2204" t="s">
        <v>134</v>
      </c>
      <c r="AV180" s="2202" t="s">
        <v>854</v>
      </c>
      <c r="AW180" s="2202" t="s">
        <v>3171</v>
      </c>
      <c r="AX180" s="2202" t="s">
        <v>3213</v>
      </c>
      <c r="AY180" s="2204" t="s">
        <v>3285</v>
      </c>
    </row>
    <row r="181" spans="2:65" s="2195" customFormat="1">
      <c r="B181" s="2196"/>
      <c r="D181" s="2197" t="s">
        <v>3303</v>
      </c>
      <c r="E181" s="2198" t="s">
        <v>3146</v>
      </c>
      <c r="F181" s="2199" t="s">
        <v>5862</v>
      </c>
      <c r="H181" s="2198" t="s">
        <v>3146</v>
      </c>
      <c r="L181" s="2196"/>
      <c r="M181" s="2200"/>
      <c r="T181" s="2201"/>
      <c r="AT181" s="2198" t="s">
        <v>3303</v>
      </c>
      <c r="AU181" s="2198" t="s">
        <v>134</v>
      </c>
      <c r="AV181" s="2195" t="s">
        <v>133</v>
      </c>
      <c r="AW181" s="2195" t="s">
        <v>3171</v>
      </c>
      <c r="AX181" s="2195" t="s">
        <v>3213</v>
      </c>
      <c r="AY181" s="2198" t="s">
        <v>3285</v>
      </c>
    </row>
    <row r="182" spans="2:65" s="2209" customFormat="1">
      <c r="B182" s="2210"/>
      <c r="D182" s="2197" t="s">
        <v>3303</v>
      </c>
      <c r="E182" s="2211" t="s">
        <v>3146</v>
      </c>
      <c r="F182" s="2212" t="s">
        <v>5863</v>
      </c>
      <c r="H182" s="2213">
        <v>17.25</v>
      </c>
      <c r="L182" s="2210"/>
      <c r="M182" s="2214"/>
      <c r="T182" s="2215"/>
      <c r="AT182" s="2211" t="s">
        <v>3303</v>
      </c>
      <c r="AU182" s="2211" t="s">
        <v>134</v>
      </c>
      <c r="AV182" s="2209" t="s">
        <v>134</v>
      </c>
      <c r="AW182" s="2209" t="s">
        <v>3171</v>
      </c>
      <c r="AX182" s="2209" t="s">
        <v>3213</v>
      </c>
      <c r="AY182" s="2211" t="s">
        <v>3285</v>
      </c>
    </row>
    <row r="183" spans="2:65" s="2209" customFormat="1">
      <c r="B183" s="2210"/>
      <c r="D183" s="2197" t="s">
        <v>3303</v>
      </c>
      <c r="E183" s="2211" t="s">
        <v>3146</v>
      </c>
      <c r="F183" s="2212" t="s">
        <v>5864</v>
      </c>
      <c r="H183" s="2213">
        <v>10.425000000000001</v>
      </c>
      <c r="L183" s="2210"/>
      <c r="M183" s="2214"/>
      <c r="T183" s="2215"/>
      <c r="AT183" s="2211" t="s">
        <v>3303</v>
      </c>
      <c r="AU183" s="2211" t="s">
        <v>134</v>
      </c>
      <c r="AV183" s="2209" t="s">
        <v>134</v>
      </c>
      <c r="AW183" s="2209" t="s">
        <v>3171</v>
      </c>
      <c r="AX183" s="2209" t="s">
        <v>3213</v>
      </c>
      <c r="AY183" s="2211" t="s">
        <v>3285</v>
      </c>
    </row>
    <row r="184" spans="2:65" s="2209" customFormat="1">
      <c r="B184" s="2210"/>
      <c r="D184" s="2197" t="s">
        <v>3303</v>
      </c>
      <c r="E184" s="2211" t="s">
        <v>3146</v>
      </c>
      <c r="F184" s="2212" t="s">
        <v>5865</v>
      </c>
      <c r="H184" s="2213">
        <v>18.225000000000001</v>
      </c>
      <c r="L184" s="2210"/>
      <c r="M184" s="2214"/>
      <c r="T184" s="2215"/>
      <c r="AT184" s="2211" t="s">
        <v>3303</v>
      </c>
      <c r="AU184" s="2211" t="s">
        <v>134</v>
      </c>
      <c r="AV184" s="2209" t="s">
        <v>134</v>
      </c>
      <c r="AW184" s="2209" t="s">
        <v>3171</v>
      </c>
      <c r="AX184" s="2209" t="s">
        <v>3213</v>
      </c>
      <c r="AY184" s="2211" t="s">
        <v>3285</v>
      </c>
    </row>
    <row r="185" spans="2:65" s="2209" customFormat="1">
      <c r="B185" s="2210"/>
      <c r="D185" s="2197" t="s">
        <v>3303</v>
      </c>
      <c r="E185" s="2211" t="s">
        <v>3146</v>
      </c>
      <c r="F185" s="2212" t="s">
        <v>5866</v>
      </c>
      <c r="H185" s="2213">
        <v>17.812999999999999</v>
      </c>
      <c r="L185" s="2210"/>
      <c r="M185" s="2214"/>
      <c r="T185" s="2215"/>
      <c r="AT185" s="2211" t="s">
        <v>3303</v>
      </c>
      <c r="AU185" s="2211" t="s">
        <v>134</v>
      </c>
      <c r="AV185" s="2209" t="s">
        <v>134</v>
      </c>
      <c r="AW185" s="2209" t="s">
        <v>3171</v>
      </c>
      <c r="AX185" s="2209" t="s">
        <v>3213</v>
      </c>
      <c r="AY185" s="2211" t="s">
        <v>3285</v>
      </c>
    </row>
    <row r="186" spans="2:65" s="2202" customFormat="1">
      <c r="B186" s="2203"/>
      <c r="D186" s="2197" t="s">
        <v>3303</v>
      </c>
      <c r="E186" s="2204" t="s">
        <v>3146</v>
      </c>
      <c r="F186" s="2205" t="s">
        <v>3305</v>
      </c>
      <c r="H186" s="2206">
        <v>63.713000000000008</v>
      </c>
      <c r="L186" s="2203"/>
      <c r="M186" s="2207"/>
      <c r="T186" s="2208"/>
      <c r="AT186" s="2204" t="s">
        <v>3303</v>
      </c>
      <c r="AU186" s="2204" t="s">
        <v>134</v>
      </c>
      <c r="AV186" s="2202" t="s">
        <v>854</v>
      </c>
      <c r="AW186" s="2202" t="s">
        <v>3171</v>
      </c>
      <c r="AX186" s="2202" t="s">
        <v>3213</v>
      </c>
      <c r="AY186" s="2204" t="s">
        <v>3285</v>
      </c>
    </row>
    <row r="187" spans="2:65" s="2216" customFormat="1">
      <c r="B187" s="2217"/>
      <c r="D187" s="2197" t="s">
        <v>3303</v>
      </c>
      <c r="E187" s="2218" t="s">
        <v>3146</v>
      </c>
      <c r="F187" s="2219" t="s">
        <v>3306</v>
      </c>
      <c r="H187" s="2220">
        <v>212.37599999999998</v>
      </c>
      <c r="L187" s="2217"/>
      <c r="M187" s="2221"/>
      <c r="T187" s="2222"/>
      <c r="AT187" s="2218" t="s">
        <v>3303</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5867</v>
      </c>
      <c r="F188" s="4616" t="s">
        <v>5868</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5869</v>
      </c>
    </row>
    <row r="189" spans="2:65" s="2209" customFormat="1">
      <c r="B189" s="2210"/>
      <c r="D189" s="2197" t="s">
        <v>3303</v>
      </c>
      <c r="F189" s="2212" t="s">
        <v>5870</v>
      </c>
      <c r="H189" s="2213">
        <v>424.75200000000001</v>
      </c>
      <c r="L189" s="2210"/>
      <c r="M189" s="2214"/>
      <c r="T189" s="2215"/>
      <c r="AT189" s="2211" t="s">
        <v>3303</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5871</v>
      </c>
      <c r="F191" s="4610" t="s">
        <v>5872</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5873</v>
      </c>
    </row>
    <row r="192" spans="2:65" s="2209" customFormat="1">
      <c r="B192" s="2210"/>
      <c r="D192" s="2197" t="s">
        <v>3303</v>
      </c>
      <c r="E192" s="2211" t="s">
        <v>3146</v>
      </c>
      <c r="F192" s="2212" t="s">
        <v>5830</v>
      </c>
      <c r="H192" s="2213">
        <v>23</v>
      </c>
      <c r="L192" s="2210"/>
      <c r="M192" s="2214"/>
      <c r="T192" s="2215"/>
      <c r="AT192" s="2211" t="s">
        <v>3303</v>
      </c>
      <c r="AU192" s="2211" t="s">
        <v>134</v>
      </c>
      <c r="AV192" s="2209" t="s">
        <v>134</v>
      </c>
      <c r="AW192" s="2209" t="s">
        <v>3171</v>
      </c>
      <c r="AX192" s="2209" t="s">
        <v>3213</v>
      </c>
      <c r="AY192" s="2211" t="s">
        <v>3285</v>
      </c>
    </row>
    <row r="193" spans="2:65" s="2209" customFormat="1">
      <c r="B193" s="2210"/>
      <c r="D193" s="2197" t="s">
        <v>3303</v>
      </c>
      <c r="E193" s="2211" t="s">
        <v>3146</v>
      </c>
      <c r="F193" s="2212" t="s">
        <v>5874</v>
      </c>
      <c r="H193" s="2213">
        <v>67.849999999999994</v>
      </c>
      <c r="L193" s="2210"/>
      <c r="M193" s="2214"/>
      <c r="T193" s="2215"/>
      <c r="AT193" s="2211" t="s">
        <v>3303</v>
      </c>
      <c r="AU193" s="2211" t="s">
        <v>134</v>
      </c>
      <c r="AV193" s="2209" t="s">
        <v>134</v>
      </c>
      <c r="AW193" s="2209" t="s">
        <v>3171</v>
      </c>
      <c r="AX193" s="2209" t="s">
        <v>3213</v>
      </c>
      <c r="AY193" s="2211" t="s">
        <v>3285</v>
      </c>
    </row>
    <row r="194" spans="2:65" s="2209" customFormat="1">
      <c r="B194" s="2210"/>
      <c r="D194" s="2197" t="s">
        <v>3303</v>
      </c>
      <c r="E194" s="2211" t="s">
        <v>3146</v>
      </c>
      <c r="F194" s="2212" t="s">
        <v>5832</v>
      </c>
      <c r="H194" s="2213">
        <v>13.9</v>
      </c>
      <c r="L194" s="2210"/>
      <c r="M194" s="2214"/>
      <c r="T194" s="2215"/>
      <c r="AT194" s="2211" t="s">
        <v>3303</v>
      </c>
      <c r="AU194" s="2211" t="s">
        <v>134</v>
      </c>
      <c r="AV194" s="2209" t="s">
        <v>134</v>
      </c>
      <c r="AW194" s="2209" t="s">
        <v>3171</v>
      </c>
      <c r="AX194" s="2209" t="s">
        <v>3213</v>
      </c>
      <c r="AY194" s="2211" t="s">
        <v>3285</v>
      </c>
    </row>
    <row r="195" spans="2:65" s="2209" customFormat="1">
      <c r="B195" s="2210"/>
      <c r="D195" s="2197" t="s">
        <v>3303</v>
      </c>
      <c r="E195" s="2211" t="s">
        <v>3146</v>
      </c>
      <c r="F195" s="2212" t="s">
        <v>5875</v>
      </c>
      <c r="H195" s="2213">
        <v>41.005000000000003</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5834</v>
      </c>
      <c r="H196" s="2213">
        <v>24.3</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5876</v>
      </c>
      <c r="H197" s="2213">
        <v>71.685000000000002</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5836</v>
      </c>
      <c r="H198" s="2213">
        <v>23.75</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5877</v>
      </c>
      <c r="H199" s="2213">
        <v>70.063000000000002</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335.553</v>
      </c>
      <c r="L200" s="2217"/>
      <c r="M200" s="2221"/>
      <c r="T200" s="2222"/>
      <c r="AT200" s="2218" t="s">
        <v>3303</v>
      </c>
      <c r="AU200" s="2218" t="s">
        <v>134</v>
      </c>
      <c r="AV200" s="2216" t="s">
        <v>856</v>
      </c>
      <c r="AW200" s="2216" t="s">
        <v>3171</v>
      </c>
      <c r="AX200" s="2216" t="s">
        <v>133</v>
      </c>
      <c r="AY200" s="2218" t="s">
        <v>3285</v>
      </c>
    </row>
    <row r="201" spans="2:65" s="2178" customFormat="1" ht="22.9" customHeight="1">
      <c r="B201" s="2179"/>
      <c r="D201" s="2180" t="s">
        <v>3212</v>
      </c>
      <c r="E201" s="2188" t="s">
        <v>3923</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5878</v>
      </c>
      <c r="F202" s="4610" t="s">
        <v>5879</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5880</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5881</v>
      </c>
      <c r="F205" s="4610" t="s">
        <v>5882</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5883</v>
      </c>
    </row>
    <row r="206" spans="2:65" s="2195" customFormat="1">
      <c r="B206" s="2196"/>
      <c r="D206" s="2197" t="s">
        <v>3303</v>
      </c>
      <c r="E206" s="2198" t="s">
        <v>3146</v>
      </c>
      <c r="F206" s="2199" t="s">
        <v>5884</v>
      </c>
      <c r="H206" s="2198" t="s">
        <v>3146</v>
      </c>
      <c r="L206" s="2196"/>
      <c r="M206" s="2200"/>
      <c r="T206" s="2201"/>
      <c r="AT206" s="2198" t="s">
        <v>3303</v>
      </c>
      <c r="AU206" s="2198" t="s">
        <v>134</v>
      </c>
      <c r="AV206" s="2195" t="s">
        <v>133</v>
      </c>
      <c r="AW206" s="2195" t="s">
        <v>3171</v>
      </c>
      <c r="AX206" s="2195" t="s">
        <v>3213</v>
      </c>
      <c r="AY206" s="2198" t="s">
        <v>3285</v>
      </c>
    </row>
    <row r="207" spans="2:65" s="2209" customFormat="1">
      <c r="B207" s="2210"/>
      <c r="D207" s="2197" t="s">
        <v>3303</v>
      </c>
      <c r="E207" s="2211" t="s">
        <v>3146</v>
      </c>
      <c r="F207" s="2212" t="s">
        <v>5885</v>
      </c>
      <c r="H207" s="2213">
        <v>84.95</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84.95</v>
      </c>
      <c r="L208" s="2217"/>
      <c r="M208" s="2221"/>
      <c r="T208" s="2222"/>
      <c r="AT208" s="2218" t="s">
        <v>3303</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5886</v>
      </c>
      <c r="F209" s="4616" t="s">
        <v>5887</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3389</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5888</v>
      </c>
    </row>
    <row r="210" spans="2:65" s="2209" customFormat="1">
      <c r="B210" s="2210"/>
      <c r="D210" s="2197" t="s">
        <v>3303</v>
      </c>
      <c r="F210" s="2212" t="s">
        <v>5889</v>
      </c>
      <c r="H210" s="2213">
        <v>99.009</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5890</v>
      </c>
      <c r="F211" s="4610" t="s">
        <v>5891</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5892</v>
      </c>
    </row>
    <row r="212" spans="2:65" s="2195" customFormat="1">
      <c r="B212" s="2196"/>
      <c r="D212" s="2197" t="s">
        <v>3303</v>
      </c>
      <c r="E212" s="2198" t="s">
        <v>3146</v>
      </c>
      <c r="F212" s="2199" t="s">
        <v>5893</v>
      </c>
      <c r="H212" s="2198" t="s">
        <v>3146</v>
      </c>
      <c r="L212" s="2196"/>
      <c r="M212" s="2200"/>
      <c r="T212" s="2201"/>
      <c r="AT212" s="2198" t="s">
        <v>3303</v>
      </c>
      <c r="AU212" s="2198" t="s">
        <v>134</v>
      </c>
      <c r="AV212" s="2195" t="s">
        <v>133</v>
      </c>
      <c r="AW212" s="2195" t="s">
        <v>3171</v>
      </c>
      <c r="AX212" s="2195" t="s">
        <v>3213</v>
      </c>
      <c r="AY212" s="2198" t="s">
        <v>3285</v>
      </c>
    </row>
    <row r="213" spans="2:65" s="2209" customFormat="1">
      <c r="B213" s="2210"/>
      <c r="D213" s="2197" t="s">
        <v>3303</v>
      </c>
      <c r="E213" s="2211" t="s">
        <v>3146</v>
      </c>
      <c r="F213" s="2212" t="s">
        <v>5894</v>
      </c>
      <c r="H213" s="2213">
        <v>23</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5895</v>
      </c>
      <c r="H214" s="2213">
        <v>44.85</v>
      </c>
      <c r="L214" s="2210"/>
      <c r="M214" s="2214"/>
      <c r="T214" s="2215"/>
      <c r="AT214" s="2211" t="s">
        <v>3303</v>
      </c>
      <c r="AU214" s="2211" t="s">
        <v>134</v>
      </c>
      <c r="AV214" s="2209" t="s">
        <v>134</v>
      </c>
      <c r="AW214" s="2209" t="s">
        <v>3171</v>
      </c>
      <c r="AX214" s="2209" t="s">
        <v>3213</v>
      </c>
      <c r="AY214" s="2211" t="s">
        <v>3285</v>
      </c>
    </row>
    <row r="215" spans="2:65" s="2209" customFormat="1">
      <c r="B215" s="2210"/>
      <c r="D215" s="2197" t="s">
        <v>3303</v>
      </c>
      <c r="E215" s="2211" t="s">
        <v>3146</v>
      </c>
      <c r="F215" s="2212" t="s">
        <v>5896</v>
      </c>
      <c r="H215" s="2213">
        <v>13.9</v>
      </c>
      <c r="L215" s="2210"/>
      <c r="M215" s="2214"/>
      <c r="T215" s="2215"/>
      <c r="AT215" s="2211" t="s">
        <v>3303</v>
      </c>
      <c r="AU215" s="2211" t="s">
        <v>134</v>
      </c>
      <c r="AV215" s="2209" t="s">
        <v>134</v>
      </c>
      <c r="AW215" s="2209" t="s">
        <v>3171</v>
      </c>
      <c r="AX215" s="2209" t="s">
        <v>3213</v>
      </c>
      <c r="AY215" s="2211" t="s">
        <v>3285</v>
      </c>
    </row>
    <row r="216" spans="2:65" s="2209" customFormat="1">
      <c r="B216" s="2210"/>
      <c r="D216" s="2197" t="s">
        <v>3303</v>
      </c>
      <c r="E216" s="2211" t="s">
        <v>3146</v>
      </c>
      <c r="F216" s="2212" t="s">
        <v>5897</v>
      </c>
      <c r="H216" s="2213">
        <v>27.105</v>
      </c>
      <c r="L216" s="2210"/>
      <c r="M216" s="2214"/>
      <c r="T216" s="2215"/>
      <c r="AT216" s="2211" t="s">
        <v>3303</v>
      </c>
      <c r="AU216" s="2211" t="s">
        <v>134</v>
      </c>
      <c r="AV216" s="2209" t="s">
        <v>134</v>
      </c>
      <c r="AW216" s="2209" t="s">
        <v>3171</v>
      </c>
      <c r="AX216" s="2209" t="s">
        <v>3213</v>
      </c>
      <c r="AY216" s="2211" t="s">
        <v>3285</v>
      </c>
    </row>
    <row r="217" spans="2:65" s="2209" customFormat="1">
      <c r="B217" s="2210"/>
      <c r="D217" s="2197" t="s">
        <v>3303</v>
      </c>
      <c r="E217" s="2211" t="s">
        <v>3146</v>
      </c>
      <c r="F217" s="2212" t="s">
        <v>5898</v>
      </c>
      <c r="H217" s="2213">
        <v>24.3</v>
      </c>
      <c r="L217" s="2210"/>
      <c r="M217" s="2214"/>
      <c r="T217" s="2215"/>
      <c r="AT217" s="2211" t="s">
        <v>3303</v>
      </c>
      <c r="AU217" s="2211" t="s">
        <v>134</v>
      </c>
      <c r="AV217" s="2209" t="s">
        <v>134</v>
      </c>
      <c r="AW217" s="2209" t="s">
        <v>3171</v>
      </c>
      <c r="AX217" s="2209" t="s">
        <v>3213</v>
      </c>
      <c r="AY217" s="2211" t="s">
        <v>3285</v>
      </c>
    </row>
    <row r="218" spans="2:65" s="2209" customFormat="1">
      <c r="B218" s="2210"/>
      <c r="D218" s="2197" t="s">
        <v>3303</v>
      </c>
      <c r="E218" s="2211" t="s">
        <v>3146</v>
      </c>
      <c r="F218" s="2212" t="s">
        <v>5899</v>
      </c>
      <c r="H218" s="2213">
        <v>47.384999999999998</v>
      </c>
      <c r="L218" s="2210"/>
      <c r="M218" s="2214"/>
      <c r="T218" s="2215"/>
      <c r="AT218" s="2211" t="s">
        <v>3303</v>
      </c>
      <c r="AU218" s="2211" t="s">
        <v>134</v>
      </c>
      <c r="AV218" s="2209" t="s">
        <v>134</v>
      </c>
      <c r="AW218" s="2209" t="s">
        <v>3171</v>
      </c>
      <c r="AX218" s="2209" t="s">
        <v>3213</v>
      </c>
      <c r="AY218" s="2211" t="s">
        <v>3285</v>
      </c>
    </row>
    <row r="219" spans="2:65" s="2209" customFormat="1">
      <c r="B219" s="2210"/>
      <c r="D219" s="2197" t="s">
        <v>3303</v>
      </c>
      <c r="E219" s="2211" t="s">
        <v>3146</v>
      </c>
      <c r="F219" s="2212" t="s">
        <v>5900</v>
      </c>
      <c r="H219" s="2213">
        <v>23.75</v>
      </c>
      <c r="L219" s="2210"/>
      <c r="M219" s="2214"/>
      <c r="T219" s="2215"/>
      <c r="AT219" s="2211" t="s">
        <v>3303</v>
      </c>
      <c r="AU219" s="2211" t="s">
        <v>134</v>
      </c>
      <c r="AV219" s="2209" t="s">
        <v>134</v>
      </c>
      <c r="AW219" s="2209" t="s">
        <v>3171</v>
      </c>
      <c r="AX219" s="2209" t="s">
        <v>3213</v>
      </c>
      <c r="AY219" s="2211" t="s">
        <v>3285</v>
      </c>
    </row>
    <row r="220" spans="2:65" s="2209" customFormat="1">
      <c r="B220" s="2210"/>
      <c r="D220" s="2197" t="s">
        <v>3303</v>
      </c>
      <c r="E220" s="2211" t="s">
        <v>3146</v>
      </c>
      <c r="F220" s="2212" t="s">
        <v>5901</v>
      </c>
      <c r="H220" s="2213">
        <v>46.313000000000002</v>
      </c>
      <c r="L220" s="2210"/>
      <c r="M220" s="2214"/>
      <c r="T220" s="2215"/>
      <c r="AT220" s="2211" t="s">
        <v>3303</v>
      </c>
      <c r="AU220" s="2211" t="s">
        <v>134</v>
      </c>
      <c r="AV220" s="2209" t="s">
        <v>134</v>
      </c>
      <c r="AW220" s="2209" t="s">
        <v>3171</v>
      </c>
      <c r="AX220" s="2209" t="s">
        <v>3213</v>
      </c>
      <c r="AY220" s="2211" t="s">
        <v>3285</v>
      </c>
    </row>
    <row r="221" spans="2:65" s="2216" customFormat="1">
      <c r="B221" s="2217"/>
      <c r="D221" s="2197" t="s">
        <v>3303</v>
      </c>
      <c r="E221" s="2218" t="s">
        <v>3146</v>
      </c>
      <c r="F221" s="2219" t="s">
        <v>3306</v>
      </c>
      <c r="H221" s="2220">
        <v>250.60300000000001</v>
      </c>
      <c r="L221" s="2217"/>
      <c r="M221" s="2221"/>
      <c r="T221" s="2222"/>
      <c r="AT221" s="2218" t="s">
        <v>3303</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5886</v>
      </c>
      <c r="F222" s="4616" t="s">
        <v>5887</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3389</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5902</v>
      </c>
    </row>
    <row r="223" spans="2:65" s="2209" customFormat="1">
      <c r="B223" s="2210"/>
      <c r="D223" s="2197" t="s">
        <v>3303</v>
      </c>
      <c r="F223" s="2212" t="s">
        <v>5903</v>
      </c>
      <c r="H223" s="2213">
        <v>305.98599999999999</v>
      </c>
      <c r="L223" s="2210"/>
      <c r="M223" s="2214"/>
      <c r="T223" s="2215"/>
      <c r="AT223" s="2211" t="s">
        <v>3303</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3987</v>
      </c>
      <c r="F224" s="4610" t="s">
        <v>3988</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5904</v>
      </c>
    </row>
    <row r="225" spans="2:65" s="2195" customFormat="1">
      <c r="B225" s="2196"/>
      <c r="D225" s="2197" t="s">
        <v>3303</v>
      </c>
      <c r="E225" s="2198" t="s">
        <v>3146</v>
      </c>
      <c r="F225" s="2199" t="s">
        <v>5905</v>
      </c>
      <c r="H225" s="2198" t="s">
        <v>3146</v>
      </c>
      <c r="L225" s="2196"/>
      <c r="M225" s="2200"/>
      <c r="T225" s="2201"/>
      <c r="AT225" s="2198" t="s">
        <v>3303</v>
      </c>
      <c r="AU225" s="2198" t="s">
        <v>134</v>
      </c>
      <c r="AV225" s="2195" t="s">
        <v>133</v>
      </c>
      <c r="AW225" s="2195" t="s">
        <v>3171</v>
      </c>
      <c r="AX225" s="2195" t="s">
        <v>3213</v>
      </c>
      <c r="AY225" s="2198" t="s">
        <v>3285</v>
      </c>
    </row>
    <row r="226" spans="2:65" s="2209" customFormat="1">
      <c r="B226" s="2210"/>
      <c r="D226" s="2197" t="s">
        <v>3303</v>
      </c>
      <c r="E226" s="2211" t="s">
        <v>3146</v>
      </c>
      <c r="F226" s="2212" t="s">
        <v>5885</v>
      </c>
      <c r="H226" s="2213">
        <v>84.95</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2219" t="s">
        <v>3306</v>
      </c>
      <c r="H227" s="2220">
        <v>84.95</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5906</v>
      </c>
      <c r="F228" s="4616" t="s">
        <v>5907</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3389</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5908</v>
      </c>
    </row>
    <row r="229" spans="2:65" s="2209" customFormat="1">
      <c r="B229" s="2210"/>
      <c r="D229" s="2197" t="s">
        <v>3303</v>
      </c>
      <c r="F229" s="2212" t="s">
        <v>5909</v>
      </c>
      <c r="H229" s="2213">
        <v>97.692999999999998</v>
      </c>
      <c r="L229" s="2210"/>
      <c r="M229" s="2214"/>
      <c r="T229" s="2215"/>
      <c r="AT229" s="2211" t="s">
        <v>3303</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3998</v>
      </c>
      <c r="F230" s="4610" t="s">
        <v>3999</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5910</v>
      </c>
    </row>
    <row r="231" spans="2:65" s="2195" customFormat="1">
      <c r="B231" s="2196"/>
      <c r="D231" s="2197" t="s">
        <v>3303</v>
      </c>
      <c r="E231" s="2198" t="s">
        <v>3146</v>
      </c>
      <c r="F231" s="2199" t="s">
        <v>5911</v>
      </c>
      <c r="H231" s="2198" t="s">
        <v>3146</v>
      </c>
      <c r="L231" s="2196"/>
      <c r="M231" s="2200"/>
      <c r="T231" s="2201"/>
      <c r="AT231" s="2198" t="s">
        <v>3303</v>
      </c>
      <c r="AU231" s="2198" t="s">
        <v>134</v>
      </c>
      <c r="AV231" s="2195" t="s">
        <v>133</v>
      </c>
      <c r="AW231" s="2195" t="s">
        <v>3171</v>
      </c>
      <c r="AX231" s="2195" t="s">
        <v>3213</v>
      </c>
      <c r="AY231" s="2198" t="s">
        <v>3285</v>
      </c>
    </row>
    <row r="232" spans="2:65" s="2209" customFormat="1">
      <c r="B232" s="2210"/>
      <c r="D232" s="2197" t="s">
        <v>3303</v>
      </c>
      <c r="E232" s="2211" t="s">
        <v>3146</v>
      </c>
      <c r="F232" s="2212" t="s">
        <v>5894</v>
      </c>
      <c r="H232" s="2213">
        <v>23</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5895</v>
      </c>
      <c r="H233" s="2213">
        <v>44.85</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5896</v>
      </c>
      <c r="H234" s="2213">
        <v>13.9</v>
      </c>
      <c r="L234" s="2210"/>
      <c r="M234" s="2214"/>
      <c r="T234" s="2215"/>
      <c r="AT234" s="2211" t="s">
        <v>3303</v>
      </c>
      <c r="AU234" s="2211" t="s">
        <v>134</v>
      </c>
      <c r="AV234" s="2209" t="s">
        <v>134</v>
      </c>
      <c r="AW234" s="2209" t="s">
        <v>3171</v>
      </c>
      <c r="AX234" s="2209" t="s">
        <v>3213</v>
      </c>
      <c r="AY234" s="2211" t="s">
        <v>3285</v>
      </c>
    </row>
    <row r="235" spans="2:65" s="2209" customFormat="1">
      <c r="B235" s="2210"/>
      <c r="D235" s="2197" t="s">
        <v>3303</v>
      </c>
      <c r="E235" s="2211" t="s">
        <v>3146</v>
      </c>
      <c r="F235" s="2212" t="s">
        <v>5897</v>
      </c>
      <c r="H235" s="2213">
        <v>27.105</v>
      </c>
      <c r="L235" s="2210"/>
      <c r="M235" s="2214"/>
      <c r="T235" s="2215"/>
      <c r="AT235" s="2211" t="s">
        <v>3303</v>
      </c>
      <c r="AU235" s="2211" t="s">
        <v>134</v>
      </c>
      <c r="AV235" s="2209" t="s">
        <v>134</v>
      </c>
      <c r="AW235" s="2209" t="s">
        <v>3171</v>
      </c>
      <c r="AX235" s="2209" t="s">
        <v>3213</v>
      </c>
      <c r="AY235" s="2211" t="s">
        <v>3285</v>
      </c>
    </row>
    <row r="236" spans="2:65" s="2209" customFormat="1">
      <c r="B236" s="2210"/>
      <c r="D236" s="2197" t="s">
        <v>3303</v>
      </c>
      <c r="E236" s="2211" t="s">
        <v>3146</v>
      </c>
      <c r="F236" s="2212" t="s">
        <v>5898</v>
      </c>
      <c r="H236" s="2213">
        <v>24.3</v>
      </c>
      <c r="L236" s="2210"/>
      <c r="M236" s="2214"/>
      <c r="T236" s="2215"/>
      <c r="AT236" s="2211" t="s">
        <v>3303</v>
      </c>
      <c r="AU236" s="2211" t="s">
        <v>134</v>
      </c>
      <c r="AV236" s="2209" t="s">
        <v>134</v>
      </c>
      <c r="AW236" s="2209" t="s">
        <v>3171</v>
      </c>
      <c r="AX236" s="2209" t="s">
        <v>3213</v>
      </c>
      <c r="AY236" s="2211" t="s">
        <v>3285</v>
      </c>
    </row>
    <row r="237" spans="2:65" s="2209" customFormat="1">
      <c r="B237" s="2210"/>
      <c r="D237" s="2197" t="s">
        <v>3303</v>
      </c>
      <c r="E237" s="2211" t="s">
        <v>3146</v>
      </c>
      <c r="F237" s="2212" t="s">
        <v>5899</v>
      </c>
      <c r="H237" s="2213">
        <v>47.384999999999998</v>
      </c>
      <c r="L237" s="2210"/>
      <c r="M237" s="2214"/>
      <c r="T237" s="2215"/>
      <c r="AT237" s="2211" t="s">
        <v>3303</v>
      </c>
      <c r="AU237" s="2211" t="s">
        <v>134</v>
      </c>
      <c r="AV237" s="2209" t="s">
        <v>134</v>
      </c>
      <c r="AW237" s="2209" t="s">
        <v>3171</v>
      </c>
      <c r="AX237" s="2209" t="s">
        <v>3213</v>
      </c>
      <c r="AY237" s="2211" t="s">
        <v>3285</v>
      </c>
    </row>
    <row r="238" spans="2:65" s="2209" customFormat="1">
      <c r="B238" s="2210"/>
      <c r="D238" s="2197" t="s">
        <v>3303</v>
      </c>
      <c r="E238" s="2211" t="s">
        <v>3146</v>
      </c>
      <c r="F238" s="2212" t="s">
        <v>5900</v>
      </c>
      <c r="H238" s="2213">
        <v>23.75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5901</v>
      </c>
      <c r="H239" s="2213">
        <v>46.313000000000002</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v>250.60300000000001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5906</v>
      </c>
      <c r="F241" s="4616" t="s">
        <v>5907</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3389</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5912</v>
      </c>
    </row>
    <row r="242" spans="2:65" s="2209" customFormat="1">
      <c r="B242" s="2210"/>
      <c r="D242" s="2197" t="s">
        <v>3303</v>
      </c>
      <c r="F242" s="2212" t="s">
        <v>5913</v>
      </c>
      <c r="H242" s="2213">
        <v>313.25400000000002</v>
      </c>
      <c r="L242" s="2210"/>
      <c r="M242" s="2214"/>
      <c r="T242" s="2215"/>
      <c r="AT242" s="2211" t="s">
        <v>3303</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4002</v>
      </c>
      <c r="F243" s="4610" t="s">
        <v>4003</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5914</v>
      </c>
    </row>
    <row r="244" spans="2:65" s="2070" customFormat="1" ht="24.2" customHeight="1">
      <c r="B244" s="2164"/>
      <c r="C244" s="4608" t="s">
        <v>989</v>
      </c>
      <c r="D244" s="4608" t="s">
        <v>3286</v>
      </c>
      <c r="E244" s="4609" t="s">
        <v>4006</v>
      </c>
      <c r="F244" s="4610" t="s">
        <v>4007</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5915</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D108:F108"/>
    <mergeCell ref="D109:F109"/>
    <mergeCell ref="D110:F110"/>
    <mergeCell ref="E122:H122"/>
    <mergeCell ref="E124:H124"/>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71" t="s">
        <v>10718</v>
      </c>
      <c r="M2" s="5672"/>
      <c r="N2" s="5672"/>
      <c r="O2" s="5672"/>
      <c r="P2" s="5672"/>
      <c r="Q2" s="5672"/>
      <c r="R2" s="5672"/>
      <c r="S2" s="5672"/>
      <c r="T2" s="5672"/>
      <c r="U2" s="5672"/>
      <c r="V2" s="5672"/>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13" t="str">
        <f>'Rekapitulace stavby'!K6</f>
        <v>Dostavba domova pro seniory ve Vrchlabí - PD</v>
      </c>
      <c r="F7" s="5714"/>
      <c r="G7" s="5714"/>
      <c r="H7" s="5714"/>
      <c r="L7" s="2059"/>
    </row>
    <row r="8" spans="2:46" s="2070" customFormat="1" ht="12" customHeight="1">
      <c r="B8" s="2071"/>
      <c r="D8" s="2065" t="s">
        <v>3239</v>
      </c>
      <c r="L8" s="2071"/>
    </row>
    <row r="9" spans="2:46" s="2070" customFormat="1" ht="16.5" customHeight="1">
      <c r="B9" s="2071"/>
      <c r="E9" s="5692" t="s">
        <v>5916</v>
      </c>
      <c r="F9" s="5712"/>
      <c r="G9" s="5712"/>
      <c r="H9" s="5712"/>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75" t="s">
        <v>3146</v>
      </c>
      <c r="F27" s="5675"/>
      <c r="G27" s="5675"/>
      <c r="H27" s="567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SUM(BE133:BE319)),  2)</f>
        <v>0</v>
      </c>
      <c r="I35" s="2141">
        <v>0.21</v>
      </c>
      <c r="J35" s="2140">
        <f>ROUND(((SUM(BE108:BE113) + SUM(BE133:BE319))*I35),  2)</f>
        <v>0</v>
      </c>
      <c r="L35" s="2071"/>
    </row>
    <row r="36" spans="2:12" s="2070" customFormat="1" ht="14.45" customHeight="1">
      <c r="B36" s="2071"/>
      <c r="E36" s="2065" t="s">
        <v>3181</v>
      </c>
      <c r="F36" s="2140">
        <f>ROUND((SUM(BF108:BF113) + SUM(BF133:BF319)),  2)</f>
        <v>0</v>
      </c>
      <c r="I36" s="2141">
        <v>0.15</v>
      </c>
      <c r="J36" s="2140">
        <f>ROUND(((SUM(BF108:BF113) + SUM(BF133:BF319))*I36),  2)</f>
        <v>0</v>
      </c>
      <c r="L36" s="2071"/>
    </row>
    <row r="37" spans="2:12" s="2070" customFormat="1" ht="14.45" hidden="1" customHeight="1">
      <c r="B37" s="2071"/>
      <c r="E37" s="2065" t="s">
        <v>3182</v>
      </c>
      <c r="F37" s="2140">
        <f>ROUND((SUM(BG108:BG113) + SUM(BG133:BG319)),  2)</f>
        <v>0</v>
      </c>
      <c r="I37" s="2141">
        <v>0.21</v>
      </c>
      <c r="J37" s="2140">
        <f>0</f>
        <v>0</v>
      </c>
      <c r="L37" s="2071"/>
    </row>
    <row r="38" spans="2:12" s="2070" customFormat="1" ht="14.45" hidden="1" customHeight="1">
      <c r="B38" s="2071"/>
      <c r="E38" s="2065" t="s">
        <v>3183</v>
      </c>
      <c r="F38" s="2140">
        <f>ROUND((SUM(BH108:BH113) + SUM(BH133:BH319)),  2)</f>
        <v>0</v>
      </c>
      <c r="I38" s="2141">
        <v>0.15</v>
      </c>
      <c r="J38" s="2140">
        <f>0</f>
        <v>0</v>
      </c>
      <c r="L38" s="2071"/>
    </row>
    <row r="39" spans="2:12" s="2070" customFormat="1" ht="14.45" hidden="1" customHeight="1">
      <c r="B39" s="2071"/>
      <c r="E39" s="2065" t="s">
        <v>3184</v>
      </c>
      <c r="F39" s="2140">
        <f>ROUND((SUM(BI108:BI113) + SUM(BI133:BI319)),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13" t="str">
        <f>E7</f>
        <v>Dostavba domova pro seniory ve Vrchlabí - PD</v>
      </c>
      <c r="F85" s="5714"/>
      <c r="G85" s="5714"/>
      <c r="H85" s="5714"/>
      <c r="L85" s="2071"/>
    </row>
    <row r="86" spans="2:47" s="2070" customFormat="1" ht="12" customHeight="1">
      <c r="B86" s="2071"/>
      <c r="C86" s="2065" t="s">
        <v>3239</v>
      </c>
      <c r="L86" s="2071"/>
    </row>
    <row r="87" spans="2:47" s="2070" customFormat="1" ht="16.5" customHeight="1">
      <c r="B87" s="2071"/>
      <c r="E87" s="5692" t="str">
        <f>E9</f>
        <v>01.4 - Opěrná stěna schodiště a rampy</v>
      </c>
      <c r="F87" s="5712"/>
      <c r="G87" s="5712"/>
      <c r="H87" s="5712"/>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J237</f>
        <v>0</v>
      </c>
      <c r="L100" s="2158"/>
    </row>
    <row r="101" spans="2:65" s="2157" customFormat="1" ht="19.899999999999999" customHeight="1">
      <c r="B101" s="2158"/>
      <c r="D101" s="2159" t="s">
        <v>4564</v>
      </c>
      <c r="E101" s="2160"/>
      <c r="F101" s="2160"/>
      <c r="G101" s="2160"/>
      <c r="H101" s="2160"/>
      <c r="I101" s="2160"/>
      <c r="J101" s="2161">
        <f>J260</f>
        <v>0</v>
      </c>
      <c r="L101" s="2158"/>
    </row>
    <row r="102" spans="2:65" s="2157" customFormat="1" ht="19.899999999999999" customHeight="1">
      <c r="B102" s="2158"/>
      <c r="D102" s="2159" t="s">
        <v>3256</v>
      </c>
      <c r="E102" s="2160"/>
      <c r="F102" s="2160"/>
      <c r="G102" s="2160"/>
      <c r="H102" s="2160"/>
      <c r="I102" s="2160"/>
      <c r="J102" s="2161">
        <f>J274</f>
        <v>0</v>
      </c>
      <c r="L102" s="2158"/>
    </row>
    <row r="103" spans="2:65" s="2152" customFormat="1" ht="24.95" customHeight="1">
      <c r="B103" s="2153"/>
      <c r="D103" s="2154" t="s">
        <v>3257</v>
      </c>
      <c r="E103" s="2155"/>
      <c r="F103" s="2155"/>
      <c r="G103" s="2155"/>
      <c r="H103" s="2155"/>
      <c r="I103" s="2155"/>
      <c r="J103" s="2156">
        <f>J276</f>
        <v>0</v>
      </c>
      <c r="L103" s="2153"/>
    </row>
    <row r="104" spans="2:65" s="2157" customFormat="1" ht="19.899999999999999" customHeight="1">
      <c r="B104" s="2158"/>
      <c r="D104" s="2159" t="s">
        <v>3258</v>
      </c>
      <c r="E104" s="2160"/>
      <c r="F104" s="2160"/>
      <c r="G104" s="2160"/>
      <c r="H104" s="2160"/>
      <c r="I104" s="2160"/>
      <c r="J104" s="2161">
        <f>J277</f>
        <v>0</v>
      </c>
      <c r="L104" s="2158"/>
    </row>
    <row r="105" spans="2:65" s="2157" customFormat="1" ht="19.899999999999999" customHeight="1">
      <c r="B105" s="2158"/>
      <c r="D105" s="2159" t="s">
        <v>3264</v>
      </c>
      <c r="E105" s="2160"/>
      <c r="F105" s="2160"/>
      <c r="G105" s="2160"/>
      <c r="H105" s="2160"/>
      <c r="I105" s="2160"/>
      <c r="J105" s="2161">
        <f>J302</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715" t="s">
        <v>24</v>
      </c>
      <c r="E109" s="5715"/>
      <c r="F109" s="5715"/>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15" t="s">
        <v>25</v>
      </c>
      <c r="E110" s="5715"/>
      <c r="F110" s="5715"/>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715" t="s">
        <v>3272</v>
      </c>
      <c r="E111" s="5715"/>
      <c r="F111" s="571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713" t="str">
        <f>E7</f>
        <v>Dostavba domova pro seniory ve Vrchlabí - PD</v>
      </c>
      <c r="F123" s="5714"/>
      <c r="G123" s="5714"/>
      <c r="H123" s="5714"/>
      <c r="L123" s="2071"/>
    </row>
    <row r="124" spans="2:12" s="2070" customFormat="1" ht="12" customHeight="1">
      <c r="B124" s="2071"/>
      <c r="C124" s="2065" t="s">
        <v>3239</v>
      </c>
      <c r="L124" s="2071"/>
    </row>
    <row r="125" spans="2:12" s="2070" customFormat="1" ht="16.5" customHeight="1">
      <c r="B125" s="2071"/>
      <c r="E125" s="5692" t="str">
        <f>E9</f>
        <v>01.4 - Opěrná stěna schodiště a rampy</v>
      </c>
      <c r="F125" s="5712"/>
      <c r="G125" s="5712"/>
      <c r="H125" s="5712"/>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P134+P276</f>
        <v>1010.5209440000001</v>
      </c>
      <c r="Q133" s="2095"/>
      <c r="R133" s="2175">
        <f>R134+R276</f>
        <v>335.60617005</v>
      </c>
      <c r="S133" s="2095"/>
      <c r="T133" s="2176">
        <f>T134+T276</f>
        <v>0</v>
      </c>
      <c r="AT133" s="2056" t="s">
        <v>3212</v>
      </c>
      <c r="AU133" s="2056" t="s">
        <v>3247</v>
      </c>
      <c r="BK133" s="2177">
        <f>BK134+BK276</f>
        <v>0</v>
      </c>
    </row>
    <row r="134" spans="2:65" s="2178" customFormat="1" ht="25.9" customHeight="1">
      <c r="B134" s="2179"/>
      <c r="D134" s="2180" t="s">
        <v>3212</v>
      </c>
      <c r="E134" s="2181" t="s">
        <v>847</v>
      </c>
      <c r="F134" s="2181" t="s">
        <v>848</v>
      </c>
      <c r="J134" s="2182">
        <f>BK134</f>
        <v>0</v>
      </c>
      <c r="L134" s="2179"/>
      <c r="M134" s="2183"/>
      <c r="P134" s="2184">
        <f>P135+P169+P237+P260+P274</f>
        <v>874.16374400000007</v>
      </c>
      <c r="R134" s="2184">
        <f>R135+R169+R237+R260+R274</f>
        <v>333.64690797000003</v>
      </c>
      <c r="T134" s="2185">
        <f>T135+T169+T237+T260+T274</f>
        <v>0</v>
      </c>
      <c r="AR134" s="2180" t="s">
        <v>133</v>
      </c>
      <c r="AT134" s="2186" t="s">
        <v>3212</v>
      </c>
      <c r="AU134" s="2186" t="s">
        <v>3213</v>
      </c>
      <c r="AY134" s="2180" t="s">
        <v>3285</v>
      </c>
      <c r="BK134" s="2187">
        <f>BK135+BK169+BK237+BK260+BK274</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5917</v>
      </c>
      <c r="F136" s="4610" t="s">
        <v>5918</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5919</v>
      </c>
    </row>
    <row r="137" spans="2:65" s="2195" customFormat="1">
      <c r="B137" s="2196"/>
      <c r="D137" s="2197" t="s">
        <v>3303</v>
      </c>
      <c r="E137" s="2198" t="s">
        <v>3146</v>
      </c>
      <c r="F137" s="2199" t="s">
        <v>5920</v>
      </c>
      <c r="H137" s="2198" t="s">
        <v>3146</v>
      </c>
      <c r="L137" s="2196"/>
      <c r="M137" s="2200"/>
      <c r="T137" s="2201"/>
      <c r="AT137" s="2198" t="s">
        <v>3303</v>
      </c>
      <c r="AU137" s="2198" t="s">
        <v>134</v>
      </c>
      <c r="AV137" s="2195" t="s">
        <v>133</v>
      </c>
      <c r="AW137" s="2195" t="s">
        <v>3171</v>
      </c>
      <c r="AX137" s="2195" t="s">
        <v>3213</v>
      </c>
      <c r="AY137" s="2198" t="s">
        <v>3285</v>
      </c>
    </row>
    <row r="138" spans="2:65" s="2209" customFormat="1">
      <c r="B138" s="2210"/>
      <c r="D138" s="2197" t="s">
        <v>3303</v>
      </c>
      <c r="E138" s="2211" t="s">
        <v>3146</v>
      </c>
      <c r="F138" s="2212" t="s">
        <v>5921</v>
      </c>
      <c r="H138" s="2213">
        <v>54.08</v>
      </c>
      <c r="L138" s="2210"/>
      <c r="M138" s="2214"/>
      <c r="T138" s="2215"/>
      <c r="AT138" s="2211" t="s">
        <v>3303</v>
      </c>
      <c r="AU138" s="2211" t="s">
        <v>134</v>
      </c>
      <c r="AV138" s="2209" t="s">
        <v>134</v>
      </c>
      <c r="AW138" s="2209" t="s">
        <v>3171</v>
      </c>
      <c r="AX138" s="2209" t="s">
        <v>3213</v>
      </c>
      <c r="AY138" s="2211" t="s">
        <v>3285</v>
      </c>
    </row>
    <row r="139" spans="2:65" s="2202" customFormat="1">
      <c r="B139" s="2203"/>
      <c r="D139" s="2197" t="s">
        <v>3303</v>
      </c>
      <c r="E139" s="2204" t="s">
        <v>3146</v>
      </c>
      <c r="F139" s="2205" t="s">
        <v>3305</v>
      </c>
      <c r="H139" s="2206">
        <v>54.08</v>
      </c>
      <c r="L139" s="2203"/>
      <c r="M139" s="2207"/>
      <c r="T139" s="2208"/>
      <c r="AT139" s="2204" t="s">
        <v>3303</v>
      </c>
      <c r="AU139" s="2204" t="s">
        <v>134</v>
      </c>
      <c r="AV139" s="2202" t="s">
        <v>854</v>
      </c>
      <c r="AW139" s="2202" t="s">
        <v>3171</v>
      </c>
      <c r="AX139" s="2202" t="s">
        <v>3213</v>
      </c>
      <c r="AY139" s="2204" t="s">
        <v>3285</v>
      </c>
    </row>
    <row r="140" spans="2:65" s="2195" customFormat="1">
      <c r="B140" s="2196"/>
      <c r="D140" s="2197" t="s">
        <v>3303</v>
      </c>
      <c r="E140" s="2198" t="s">
        <v>3146</v>
      </c>
      <c r="F140" s="2199" t="s">
        <v>5922</v>
      </c>
      <c r="H140" s="2198" t="s">
        <v>3146</v>
      </c>
      <c r="L140" s="2196"/>
      <c r="M140" s="2200"/>
      <c r="T140" s="2201"/>
      <c r="AT140" s="2198" t="s">
        <v>3303</v>
      </c>
      <c r="AU140" s="2198" t="s">
        <v>134</v>
      </c>
      <c r="AV140" s="2195" t="s">
        <v>133</v>
      </c>
      <c r="AW140" s="2195" t="s">
        <v>3171</v>
      </c>
      <c r="AX140" s="2195" t="s">
        <v>3213</v>
      </c>
      <c r="AY140" s="2198" t="s">
        <v>3285</v>
      </c>
    </row>
    <row r="141" spans="2:65" s="2209" customFormat="1">
      <c r="B141" s="2210"/>
      <c r="D141" s="2197" t="s">
        <v>3303</v>
      </c>
      <c r="E141" s="2211" t="s">
        <v>3146</v>
      </c>
      <c r="F141" s="2212" t="s">
        <v>5923</v>
      </c>
      <c r="H141" s="2213">
        <v>3.6720000000000002</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5924</v>
      </c>
      <c r="H142" s="2213">
        <v>3.3</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5925</v>
      </c>
      <c r="H143" s="2213">
        <v>7.68</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5926</v>
      </c>
      <c r="H144" s="2213">
        <v>2.0920000000000001</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5927</v>
      </c>
      <c r="H145" s="2213">
        <v>1.32</v>
      </c>
      <c r="L145" s="2210"/>
      <c r="M145" s="2214"/>
      <c r="T145" s="2215"/>
      <c r="AT145" s="2211" t="s">
        <v>3303</v>
      </c>
      <c r="AU145" s="2211" t="s">
        <v>134</v>
      </c>
      <c r="AV145" s="2209" t="s">
        <v>134</v>
      </c>
      <c r="AW145" s="2209" t="s">
        <v>3171</v>
      </c>
      <c r="AX145" s="2209" t="s">
        <v>3213</v>
      </c>
      <c r="AY145" s="2211" t="s">
        <v>3285</v>
      </c>
    </row>
    <row r="146" spans="2:65" s="2202" customFormat="1">
      <c r="B146" s="2203"/>
      <c r="D146" s="2197" t="s">
        <v>3303</v>
      </c>
      <c r="E146" s="2204" t="s">
        <v>3146</v>
      </c>
      <c r="F146" s="2205" t="s">
        <v>3305</v>
      </c>
      <c r="H146" s="2206">
        <v>18.064</v>
      </c>
      <c r="L146" s="2203"/>
      <c r="M146" s="2207"/>
      <c r="T146" s="2208"/>
      <c r="AT146" s="2204" t="s">
        <v>3303</v>
      </c>
      <c r="AU146" s="2204" t="s">
        <v>134</v>
      </c>
      <c r="AV146" s="2202" t="s">
        <v>854</v>
      </c>
      <c r="AW146" s="2202" t="s">
        <v>3171</v>
      </c>
      <c r="AX146" s="2202" t="s">
        <v>3213</v>
      </c>
      <c r="AY146" s="2204" t="s">
        <v>3285</v>
      </c>
    </row>
    <row r="147" spans="2:65" s="2195" customFormat="1">
      <c r="B147" s="2196"/>
      <c r="D147" s="2197" t="s">
        <v>3303</v>
      </c>
      <c r="E147" s="2198" t="s">
        <v>3146</v>
      </c>
      <c r="F147" s="2199" t="s">
        <v>5928</v>
      </c>
      <c r="H147" s="2198" t="s">
        <v>3146</v>
      </c>
      <c r="L147" s="2196"/>
      <c r="M147" s="2200"/>
      <c r="T147" s="2201"/>
      <c r="AT147" s="2198" t="s">
        <v>3303</v>
      </c>
      <c r="AU147" s="2198" t="s">
        <v>134</v>
      </c>
      <c r="AV147" s="2195" t="s">
        <v>133</v>
      </c>
      <c r="AW147" s="2195" t="s">
        <v>3171</v>
      </c>
      <c r="AX147" s="2195" t="s">
        <v>3213</v>
      </c>
      <c r="AY147" s="2198" t="s">
        <v>3285</v>
      </c>
    </row>
    <row r="148" spans="2:65" s="2209" customFormat="1">
      <c r="B148" s="2210"/>
      <c r="D148" s="2197" t="s">
        <v>3303</v>
      </c>
      <c r="E148" s="2211" t="s">
        <v>3146</v>
      </c>
      <c r="F148" s="2212" t="s">
        <v>5929</v>
      </c>
      <c r="H148" s="2213">
        <v>8.2080000000000002</v>
      </c>
      <c r="L148" s="2210"/>
      <c r="M148" s="2214"/>
      <c r="T148" s="2215"/>
      <c r="AT148" s="2211" t="s">
        <v>3303</v>
      </c>
      <c r="AU148" s="2211" t="s">
        <v>134</v>
      </c>
      <c r="AV148" s="2209" t="s">
        <v>134</v>
      </c>
      <c r="AW148" s="2209" t="s">
        <v>3171</v>
      </c>
      <c r="AX148" s="2209" t="s">
        <v>3213</v>
      </c>
      <c r="AY148" s="2211" t="s">
        <v>3285</v>
      </c>
    </row>
    <row r="149" spans="2:65" s="2209" customFormat="1">
      <c r="B149" s="2210"/>
      <c r="D149" s="2197" t="s">
        <v>3303</v>
      </c>
      <c r="E149" s="2211" t="s">
        <v>3146</v>
      </c>
      <c r="F149" s="2212" t="s">
        <v>5930</v>
      </c>
      <c r="H149" s="2213">
        <v>4.7519999999999998</v>
      </c>
      <c r="L149" s="2210"/>
      <c r="M149" s="2214"/>
      <c r="T149" s="2215"/>
      <c r="AT149" s="2211" t="s">
        <v>3303</v>
      </c>
      <c r="AU149" s="2211" t="s">
        <v>134</v>
      </c>
      <c r="AV149" s="2209" t="s">
        <v>134</v>
      </c>
      <c r="AW149" s="2209" t="s">
        <v>3171</v>
      </c>
      <c r="AX149" s="2209" t="s">
        <v>3213</v>
      </c>
      <c r="AY149" s="2211" t="s">
        <v>3285</v>
      </c>
    </row>
    <row r="150" spans="2:65" s="2209" customFormat="1">
      <c r="B150" s="2210"/>
      <c r="D150" s="2197" t="s">
        <v>3303</v>
      </c>
      <c r="E150" s="2211" t="s">
        <v>3146</v>
      </c>
      <c r="F150" s="2212" t="s">
        <v>5931</v>
      </c>
      <c r="H150" s="2213">
        <v>3.2669999999999999</v>
      </c>
      <c r="L150" s="2210"/>
      <c r="M150" s="2214"/>
      <c r="T150" s="2215"/>
      <c r="AT150" s="2211" t="s">
        <v>3303</v>
      </c>
      <c r="AU150" s="2211" t="s">
        <v>134</v>
      </c>
      <c r="AV150" s="2209" t="s">
        <v>134</v>
      </c>
      <c r="AW150" s="2209" t="s">
        <v>3171</v>
      </c>
      <c r="AX150" s="2209" t="s">
        <v>3213</v>
      </c>
      <c r="AY150" s="2211" t="s">
        <v>3285</v>
      </c>
    </row>
    <row r="151" spans="2:65" s="2202" customFormat="1">
      <c r="B151" s="2203"/>
      <c r="D151" s="2197" t="s">
        <v>3303</v>
      </c>
      <c r="E151" s="2204" t="s">
        <v>3146</v>
      </c>
      <c r="F151" s="2205" t="s">
        <v>3305</v>
      </c>
      <c r="H151" s="2206">
        <v>16.227</v>
      </c>
      <c r="L151" s="2203"/>
      <c r="M151" s="2207"/>
      <c r="T151" s="2208"/>
      <c r="AT151" s="2204" t="s">
        <v>3303</v>
      </c>
      <c r="AU151" s="2204" t="s">
        <v>134</v>
      </c>
      <c r="AV151" s="2202" t="s">
        <v>854</v>
      </c>
      <c r="AW151" s="2202" t="s">
        <v>3171</v>
      </c>
      <c r="AX151" s="2202" t="s">
        <v>3213</v>
      </c>
      <c r="AY151" s="2204" t="s">
        <v>3285</v>
      </c>
    </row>
    <row r="152" spans="2:65" s="2209" customFormat="1">
      <c r="B152" s="2210"/>
      <c r="D152" s="2197" t="s">
        <v>3303</v>
      </c>
      <c r="E152" s="2211" t="s">
        <v>3146</v>
      </c>
      <c r="F152" s="2212" t="s">
        <v>5932</v>
      </c>
      <c r="H152" s="2213">
        <v>0.9</v>
      </c>
      <c r="L152" s="2210"/>
      <c r="M152" s="2214"/>
      <c r="T152" s="2215"/>
      <c r="AT152" s="2211" t="s">
        <v>3303</v>
      </c>
      <c r="AU152" s="2211" t="s">
        <v>134</v>
      </c>
      <c r="AV152" s="2209" t="s">
        <v>134</v>
      </c>
      <c r="AW152" s="2209" t="s">
        <v>3171</v>
      </c>
      <c r="AX152" s="2209" t="s">
        <v>3213</v>
      </c>
      <c r="AY152" s="2211" t="s">
        <v>3285</v>
      </c>
    </row>
    <row r="153" spans="2:65" s="2209" customFormat="1">
      <c r="B153" s="2210"/>
      <c r="D153" s="2197" t="s">
        <v>3303</v>
      </c>
      <c r="E153" s="2211" t="s">
        <v>3146</v>
      </c>
      <c r="F153" s="2212" t="s">
        <v>5933</v>
      </c>
      <c r="H153" s="2213">
        <v>1.7</v>
      </c>
      <c r="L153" s="2210"/>
      <c r="M153" s="2214"/>
      <c r="T153" s="2215"/>
      <c r="AT153" s="2211" t="s">
        <v>3303</v>
      </c>
      <c r="AU153" s="2211" t="s">
        <v>134</v>
      </c>
      <c r="AV153" s="2209" t="s">
        <v>134</v>
      </c>
      <c r="AW153" s="2209" t="s">
        <v>3171</v>
      </c>
      <c r="AX153" s="2209" t="s">
        <v>3213</v>
      </c>
      <c r="AY153" s="2211" t="s">
        <v>3285</v>
      </c>
    </row>
    <row r="154" spans="2:65" s="2202" customFormat="1">
      <c r="B154" s="2203"/>
      <c r="D154" s="2197" t="s">
        <v>3303</v>
      </c>
      <c r="E154" s="2204" t="s">
        <v>3146</v>
      </c>
      <c r="F154" s="2205" t="s">
        <v>3305</v>
      </c>
      <c r="H154" s="2206">
        <v>2.6</v>
      </c>
      <c r="L154" s="2203"/>
      <c r="M154" s="2207"/>
      <c r="T154" s="2208"/>
      <c r="AT154" s="2204" t="s">
        <v>3303</v>
      </c>
      <c r="AU154" s="2204" t="s">
        <v>134</v>
      </c>
      <c r="AV154" s="2202" t="s">
        <v>854</v>
      </c>
      <c r="AW154" s="2202" t="s">
        <v>3171</v>
      </c>
      <c r="AX154" s="2202" t="s">
        <v>3213</v>
      </c>
      <c r="AY154" s="2204" t="s">
        <v>3285</v>
      </c>
    </row>
    <row r="155" spans="2:65" s="2209" customFormat="1">
      <c r="B155" s="2210"/>
      <c r="D155" s="2197" t="s">
        <v>3303</v>
      </c>
      <c r="E155" s="2211" t="s">
        <v>3146</v>
      </c>
      <c r="F155" s="2212" t="s">
        <v>5934</v>
      </c>
      <c r="H155" s="2213">
        <v>0.8</v>
      </c>
      <c r="L155" s="2210"/>
      <c r="M155" s="2214"/>
      <c r="T155" s="2215"/>
      <c r="AT155" s="2211" t="s">
        <v>3303</v>
      </c>
      <c r="AU155" s="2211" t="s">
        <v>134</v>
      </c>
      <c r="AV155" s="2209" t="s">
        <v>134</v>
      </c>
      <c r="AW155" s="2209" t="s">
        <v>3171</v>
      </c>
      <c r="AX155" s="2209" t="s">
        <v>3213</v>
      </c>
      <c r="AY155" s="2211" t="s">
        <v>3285</v>
      </c>
    </row>
    <row r="156" spans="2:65" s="2202" customFormat="1">
      <c r="B156" s="2203"/>
      <c r="D156" s="2197" t="s">
        <v>3303</v>
      </c>
      <c r="E156" s="2204" t="s">
        <v>3146</v>
      </c>
      <c r="F156" s="2205" t="s">
        <v>3305</v>
      </c>
      <c r="H156" s="2206">
        <v>0.8</v>
      </c>
      <c r="L156" s="2203"/>
      <c r="M156" s="2207"/>
      <c r="T156" s="2208"/>
      <c r="AT156" s="2204" t="s">
        <v>3303</v>
      </c>
      <c r="AU156" s="2204" t="s">
        <v>134</v>
      </c>
      <c r="AV156" s="2202" t="s">
        <v>854</v>
      </c>
      <c r="AW156" s="2202" t="s">
        <v>3171</v>
      </c>
      <c r="AX156" s="2202" t="s">
        <v>3213</v>
      </c>
      <c r="AY156" s="2204" t="s">
        <v>3285</v>
      </c>
    </row>
    <row r="157" spans="2:65" s="2209" customFormat="1">
      <c r="B157" s="2210"/>
      <c r="D157" s="2197" t="s">
        <v>3303</v>
      </c>
      <c r="E157" s="2211" t="s">
        <v>3146</v>
      </c>
      <c r="F157" s="2212" t="s">
        <v>5935</v>
      </c>
      <c r="H157" s="2213">
        <v>1.6</v>
      </c>
      <c r="L157" s="2210"/>
      <c r="M157" s="2214"/>
      <c r="T157" s="2215"/>
      <c r="AT157" s="2211" t="s">
        <v>3303</v>
      </c>
      <c r="AU157" s="2211" t="s">
        <v>134</v>
      </c>
      <c r="AV157" s="2209" t="s">
        <v>134</v>
      </c>
      <c r="AW157" s="2209" t="s">
        <v>3171</v>
      </c>
      <c r="AX157" s="2209" t="s">
        <v>3213</v>
      </c>
      <c r="AY157" s="2211" t="s">
        <v>3285</v>
      </c>
    </row>
    <row r="158" spans="2:65" s="2216" customFormat="1">
      <c r="B158" s="2217"/>
      <c r="D158" s="2197" t="s">
        <v>3303</v>
      </c>
      <c r="E158" s="2218" t="s">
        <v>3146</v>
      </c>
      <c r="F158" s="2219" t="s">
        <v>3306</v>
      </c>
      <c r="H158" s="2220">
        <v>93.370999999999995</v>
      </c>
      <c r="L158" s="2217"/>
      <c r="M158" s="2221"/>
      <c r="T158" s="2222"/>
      <c r="AT158" s="2218" t="s">
        <v>3303</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5936</v>
      </c>
      <c r="F159" s="4610" t="s">
        <v>5937</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5938</v>
      </c>
    </row>
    <row r="160" spans="2:65" s="2070" customFormat="1" ht="37.9" customHeight="1">
      <c r="B160" s="2164"/>
      <c r="C160" s="4608" t="s">
        <v>854</v>
      </c>
      <c r="D160" s="4608" t="s">
        <v>3286</v>
      </c>
      <c r="E160" s="4609" t="s">
        <v>5838</v>
      </c>
      <c r="F160" s="4610" t="s">
        <v>5839</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5939</v>
      </c>
    </row>
    <row r="161" spans="2:65" s="2209" customFormat="1">
      <c r="B161" s="2210"/>
      <c r="D161" s="2197" t="s">
        <v>3303</v>
      </c>
      <c r="E161" s="2211" t="s">
        <v>3146</v>
      </c>
      <c r="F161" s="2212" t="s">
        <v>5940</v>
      </c>
      <c r="H161" s="2213">
        <v>54.871000000000002</v>
      </c>
      <c r="L161" s="2210"/>
      <c r="M161" s="2214"/>
      <c r="T161" s="2215"/>
      <c r="AT161" s="2211" t="s">
        <v>3303</v>
      </c>
      <c r="AU161" s="2211" t="s">
        <v>134</v>
      </c>
      <c r="AV161" s="2209" t="s">
        <v>134</v>
      </c>
      <c r="AW161" s="2209" t="s">
        <v>3171</v>
      </c>
      <c r="AX161" s="2209" t="s">
        <v>3213</v>
      </c>
      <c r="AY161" s="2211" t="s">
        <v>3285</v>
      </c>
    </row>
    <row r="162" spans="2:65" s="2216" customFormat="1">
      <c r="B162" s="2217"/>
      <c r="D162" s="2197" t="s">
        <v>3303</v>
      </c>
      <c r="E162" s="2218" t="s">
        <v>3146</v>
      </c>
      <c r="F162" s="2219" t="s">
        <v>3306</v>
      </c>
      <c r="H162" s="2220">
        <v>54.871000000000002</v>
      </c>
      <c r="L162" s="2217"/>
      <c r="M162" s="2221"/>
      <c r="T162" s="2222"/>
      <c r="AT162" s="2218" t="s">
        <v>3303</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5941</v>
      </c>
      <c r="F163" s="4610" t="s">
        <v>5942</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5943</v>
      </c>
    </row>
    <row r="164" spans="2:65" s="2070" customFormat="1" ht="33" customHeight="1">
      <c r="B164" s="2164"/>
      <c r="C164" s="4608" t="s">
        <v>858</v>
      </c>
      <c r="D164" s="4608" t="s">
        <v>3286</v>
      </c>
      <c r="E164" s="4609" t="s">
        <v>3338</v>
      </c>
      <c r="F164" s="4610" t="s">
        <v>3339</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5944</v>
      </c>
    </row>
    <row r="165" spans="2:65" s="2209" customFormat="1">
      <c r="B165" s="2210"/>
      <c r="D165" s="2197" t="s">
        <v>3303</v>
      </c>
      <c r="E165" s="2211" t="s">
        <v>3146</v>
      </c>
      <c r="F165" s="2212" t="s">
        <v>5945</v>
      </c>
      <c r="H165" s="2213">
        <v>54.871000000000002</v>
      </c>
      <c r="L165" s="2210"/>
      <c r="M165" s="2214"/>
      <c r="T165" s="2215"/>
      <c r="AT165" s="2211" t="s">
        <v>3303</v>
      </c>
      <c r="AU165" s="2211" t="s">
        <v>134</v>
      </c>
      <c r="AV165" s="2209" t="s">
        <v>134</v>
      </c>
      <c r="AW165" s="2209" t="s">
        <v>3171</v>
      </c>
      <c r="AX165" s="2209" t="s">
        <v>133</v>
      </c>
      <c r="AY165" s="2211" t="s">
        <v>3285</v>
      </c>
    </row>
    <row r="166" spans="2:65" s="2209" customFormat="1">
      <c r="B166" s="2210"/>
      <c r="D166" s="2197" t="s">
        <v>3303</v>
      </c>
      <c r="F166" s="2212" t="s">
        <v>5946</v>
      </c>
      <c r="H166" s="2213">
        <v>109.742</v>
      </c>
      <c r="L166" s="2210"/>
      <c r="M166" s="2214"/>
      <c r="T166" s="2215"/>
      <c r="AT166" s="2211" t="s">
        <v>3303</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5947</v>
      </c>
      <c r="F167" s="4610" t="s">
        <v>5948</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5949</v>
      </c>
    </row>
    <row r="168" spans="2:65" s="2209" customFormat="1">
      <c r="B168" s="2210"/>
      <c r="D168" s="2197" t="s">
        <v>3303</v>
      </c>
      <c r="E168" s="2211" t="s">
        <v>3146</v>
      </c>
      <c r="F168" s="2212" t="s">
        <v>5950</v>
      </c>
      <c r="H168" s="2213">
        <v>38.5</v>
      </c>
      <c r="L168" s="2210"/>
      <c r="M168" s="2214"/>
      <c r="T168" s="2215"/>
      <c r="AT168" s="2211" t="s">
        <v>3303</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SUM(P170:P233)</f>
        <v>183.384041</v>
      </c>
      <c r="R169" s="2184">
        <f>SUM(R170:R233)</f>
        <v>247.20508271000003</v>
      </c>
      <c r="T169" s="2185">
        <f>SUM(T170:T233)</f>
        <v>0</v>
      </c>
      <c r="AR169" s="2180" t="s">
        <v>133</v>
      </c>
      <c r="AT169" s="2186" t="s">
        <v>3212</v>
      </c>
      <c r="AU169" s="2186" t="s">
        <v>133</v>
      </c>
      <c r="AY169" s="2180" t="s">
        <v>3285</v>
      </c>
      <c r="BK169" s="2187">
        <f>SUM(BK170:BK234)</f>
        <v>0</v>
      </c>
    </row>
    <row r="170" spans="2:65" s="2070" customFormat="1" ht="24.2" customHeight="1">
      <c r="B170" s="2164"/>
      <c r="C170" s="4608" t="s">
        <v>2097</v>
      </c>
      <c r="D170" s="4608" t="s">
        <v>3286</v>
      </c>
      <c r="E170" s="4609" t="s">
        <v>5852</v>
      </c>
      <c r="F170" s="4610" t="s">
        <v>5853</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5951</v>
      </c>
    </row>
    <row r="171" spans="2:65" s="2195" customFormat="1">
      <c r="B171" s="2196"/>
      <c r="D171" s="2197" t="s">
        <v>3303</v>
      </c>
      <c r="E171" s="2198" t="s">
        <v>3146</v>
      </c>
      <c r="F171" s="2199" t="s">
        <v>5920</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5921</v>
      </c>
      <c r="H172" s="2213">
        <v>54.08</v>
      </c>
      <c r="L172" s="2210"/>
      <c r="M172" s="2214"/>
      <c r="T172" s="2215"/>
      <c r="AT172" s="2211" t="s">
        <v>3303</v>
      </c>
      <c r="AU172" s="2211" t="s">
        <v>134</v>
      </c>
      <c r="AV172" s="2209" t="s">
        <v>134</v>
      </c>
      <c r="AW172" s="2209" t="s">
        <v>3171</v>
      </c>
      <c r="AX172" s="2209" t="s">
        <v>3213</v>
      </c>
      <c r="AY172" s="2211" t="s">
        <v>3285</v>
      </c>
    </row>
    <row r="173" spans="2:65" s="2202" customFormat="1">
      <c r="B173" s="2203"/>
      <c r="D173" s="2197" t="s">
        <v>3303</v>
      </c>
      <c r="E173" s="2204" t="s">
        <v>3146</v>
      </c>
      <c r="F173" s="2205" t="s">
        <v>3305</v>
      </c>
      <c r="H173" s="2206">
        <v>54.08</v>
      </c>
      <c r="L173" s="2203"/>
      <c r="M173" s="2207"/>
      <c r="T173" s="2208"/>
      <c r="AT173" s="2204" t="s">
        <v>3303</v>
      </c>
      <c r="AU173" s="2204" t="s">
        <v>134</v>
      </c>
      <c r="AV173" s="2202" t="s">
        <v>854</v>
      </c>
      <c r="AW173" s="2202" t="s">
        <v>3171</v>
      </c>
      <c r="AX173" s="2202" t="s">
        <v>3213</v>
      </c>
      <c r="AY173" s="2204" t="s">
        <v>3285</v>
      </c>
    </row>
    <row r="174" spans="2:65" s="2195" customFormat="1">
      <c r="B174" s="2196"/>
      <c r="D174" s="2197" t="s">
        <v>3303</v>
      </c>
      <c r="E174" s="2198" t="s">
        <v>3146</v>
      </c>
      <c r="F174" s="2199" t="s">
        <v>5920</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2212" t="s">
        <v>5952</v>
      </c>
      <c r="H175" s="2213">
        <v>2.0409999999999999</v>
      </c>
      <c r="L175" s="2210"/>
      <c r="M175" s="2214"/>
      <c r="T175" s="2215"/>
      <c r="AT175" s="2211" t="s">
        <v>3303</v>
      </c>
      <c r="AU175" s="2211" t="s">
        <v>134</v>
      </c>
      <c r="AV175" s="2209" t="s">
        <v>134</v>
      </c>
      <c r="AW175" s="2209" t="s">
        <v>3171</v>
      </c>
      <c r="AX175" s="2209" t="s">
        <v>3213</v>
      </c>
      <c r="AY175" s="2211" t="s">
        <v>3285</v>
      </c>
    </row>
    <row r="176" spans="2:65" s="2195" customFormat="1">
      <c r="B176" s="2196"/>
      <c r="D176" s="2197" t="s">
        <v>3303</v>
      </c>
      <c r="E176" s="2198" t="s">
        <v>3146</v>
      </c>
      <c r="F176" s="2199" t="s">
        <v>5922</v>
      </c>
      <c r="H176" s="2198" t="s">
        <v>3146</v>
      </c>
      <c r="L176" s="2196"/>
      <c r="M176" s="2200"/>
      <c r="T176" s="2201"/>
      <c r="AT176" s="2198" t="s">
        <v>3303</v>
      </c>
      <c r="AU176" s="2198" t="s">
        <v>134</v>
      </c>
      <c r="AV176" s="2195" t="s">
        <v>133</v>
      </c>
      <c r="AW176" s="2195" t="s">
        <v>3171</v>
      </c>
      <c r="AX176" s="2195" t="s">
        <v>3213</v>
      </c>
      <c r="AY176" s="2198" t="s">
        <v>3285</v>
      </c>
    </row>
    <row r="177" spans="2:51" s="2209" customFormat="1">
      <c r="B177" s="2210"/>
      <c r="D177" s="2197" t="s">
        <v>3303</v>
      </c>
      <c r="E177" s="2211" t="s">
        <v>3146</v>
      </c>
      <c r="F177" s="2212" t="s">
        <v>5953</v>
      </c>
      <c r="H177" s="2213">
        <v>0.61199999999999999</v>
      </c>
      <c r="L177" s="2210"/>
      <c r="M177" s="2214"/>
      <c r="T177" s="2215"/>
      <c r="AT177" s="2211" t="s">
        <v>3303</v>
      </c>
      <c r="AU177" s="2211" t="s">
        <v>134</v>
      </c>
      <c r="AV177" s="2209" t="s">
        <v>134</v>
      </c>
      <c r="AW177" s="2209" t="s">
        <v>3171</v>
      </c>
      <c r="AX177" s="2209" t="s">
        <v>3213</v>
      </c>
      <c r="AY177" s="2211" t="s">
        <v>3285</v>
      </c>
    </row>
    <row r="178" spans="2:51" s="2209" customFormat="1">
      <c r="B178" s="2210"/>
      <c r="D178" s="2197" t="s">
        <v>3303</v>
      </c>
      <c r="E178" s="2211" t="s">
        <v>3146</v>
      </c>
      <c r="F178" s="2212" t="s">
        <v>5954</v>
      </c>
      <c r="H178" s="2213">
        <v>0.55000000000000004</v>
      </c>
      <c r="L178" s="2210"/>
      <c r="M178" s="2214"/>
      <c r="T178" s="2215"/>
      <c r="AT178" s="2211" t="s">
        <v>3303</v>
      </c>
      <c r="AU178" s="2211" t="s">
        <v>134</v>
      </c>
      <c r="AV178" s="2209" t="s">
        <v>134</v>
      </c>
      <c r="AW178" s="2209" t="s">
        <v>3171</v>
      </c>
      <c r="AX178" s="2209" t="s">
        <v>3213</v>
      </c>
      <c r="AY178" s="2211" t="s">
        <v>3285</v>
      </c>
    </row>
    <row r="179" spans="2:51" s="2209" customFormat="1">
      <c r="B179" s="2210"/>
      <c r="D179" s="2197" t="s">
        <v>3303</v>
      </c>
      <c r="E179" s="2211" t="s">
        <v>3146</v>
      </c>
      <c r="F179" s="2212" t="s">
        <v>5955</v>
      </c>
      <c r="H179" s="2213">
        <v>1.28</v>
      </c>
      <c r="L179" s="2210"/>
      <c r="M179" s="2214"/>
      <c r="T179" s="2215"/>
      <c r="AT179" s="2211" t="s">
        <v>3303</v>
      </c>
      <c r="AU179" s="2211" t="s">
        <v>134</v>
      </c>
      <c r="AV179" s="2209" t="s">
        <v>134</v>
      </c>
      <c r="AW179" s="2209" t="s">
        <v>3171</v>
      </c>
      <c r="AX179" s="2209" t="s">
        <v>3213</v>
      </c>
      <c r="AY179" s="2211" t="s">
        <v>3285</v>
      </c>
    </row>
    <row r="180" spans="2:51" s="2209" customFormat="1">
      <c r="B180" s="2210"/>
      <c r="D180" s="2197" t="s">
        <v>3303</v>
      </c>
      <c r="E180" s="2211" t="s">
        <v>3146</v>
      </c>
      <c r="F180" s="2212" t="s">
        <v>5956</v>
      </c>
      <c r="H180" s="2213">
        <v>0.34899999999999998</v>
      </c>
      <c r="L180" s="2210"/>
      <c r="M180" s="2214"/>
      <c r="T180" s="2215"/>
      <c r="AT180" s="2211" t="s">
        <v>3303</v>
      </c>
      <c r="AU180" s="2211" t="s">
        <v>134</v>
      </c>
      <c r="AV180" s="2209" t="s">
        <v>134</v>
      </c>
      <c r="AW180" s="2209" t="s">
        <v>3171</v>
      </c>
      <c r="AX180" s="2209" t="s">
        <v>3213</v>
      </c>
      <c r="AY180" s="2211" t="s">
        <v>3285</v>
      </c>
    </row>
    <row r="181" spans="2:51" s="2209" customFormat="1">
      <c r="B181" s="2210"/>
      <c r="D181" s="2197" t="s">
        <v>3303</v>
      </c>
      <c r="E181" s="2211" t="s">
        <v>3146</v>
      </c>
      <c r="F181" s="2212" t="s">
        <v>5957</v>
      </c>
      <c r="H181" s="2213">
        <v>0.22</v>
      </c>
      <c r="L181" s="2210"/>
      <c r="M181" s="2214"/>
      <c r="T181" s="2215"/>
      <c r="AT181" s="2211" t="s">
        <v>3303</v>
      </c>
      <c r="AU181" s="2211" t="s">
        <v>134</v>
      </c>
      <c r="AV181" s="2209" t="s">
        <v>134</v>
      </c>
      <c r="AW181" s="2209" t="s">
        <v>3171</v>
      </c>
      <c r="AX181" s="2209" t="s">
        <v>3213</v>
      </c>
      <c r="AY181" s="2211" t="s">
        <v>3285</v>
      </c>
    </row>
    <row r="182" spans="2:51" s="2202" customFormat="1">
      <c r="B182" s="2203"/>
      <c r="D182" s="2197" t="s">
        <v>3303</v>
      </c>
      <c r="E182" s="2204" t="s">
        <v>3146</v>
      </c>
      <c r="F182" s="2205" t="s">
        <v>3305</v>
      </c>
      <c r="H182" s="2206">
        <v>5.0519999999999996</v>
      </c>
      <c r="L182" s="2203"/>
      <c r="M182" s="2207"/>
      <c r="T182" s="2208"/>
      <c r="AT182" s="2204" t="s">
        <v>3303</v>
      </c>
      <c r="AU182" s="2204" t="s">
        <v>134</v>
      </c>
      <c r="AV182" s="2202" t="s">
        <v>854</v>
      </c>
      <c r="AW182" s="2202" t="s">
        <v>3171</v>
      </c>
      <c r="AX182" s="2202" t="s">
        <v>3213</v>
      </c>
      <c r="AY182" s="2204" t="s">
        <v>3285</v>
      </c>
    </row>
    <row r="183" spans="2:51" s="2209" customFormat="1">
      <c r="B183" s="2210"/>
      <c r="D183" s="2197" t="s">
        <v>3303</v>
      </c>
      <c r="E183" s="2211" t="s">
        <v>3146</v>
      </c>
      <c r="F183" s="2212" t="s">
        <v>5958</v>
      </c>
      <c r="H183" s="2213">
        <v>3.82</v>
      </c>
      <c r="L183" s="2210"/>
      <c r="M183" s="2214"/>
      <c r="T183" s="2215"/>
      <c r="AT183" s="2211" t="s">
        <v>3303</v>
      </c>
      <c r="AU183" s="2211" t="s">
        <v>134</v>
      </c>
      <c r="AV183" s="2209" t="s">
        <v>134</v>
      </c>
      <c r="AW183" s="2209" t="s">
        <v>3171</v>
      </c>
      <c r="AX183" s="2209" t="s">
        <v>3213</v>
      </c>
      <c r="AY183" s="2211" t="s">
        <v>3285</v>
      </c>
    </row>
    <row r="184" spans="2:51" s="2202" customFormat="1">
      <c r="B184" s="2203"/>
      <c r="D184" s="2197" t="s">
        <v>3303</v>
      </c>
      <c r="E184" s="2204" t="s">
        <v>3146</v>
      </c>
      <c r="F184" s="2205" t="s">
        <v>3305</v>
      </c>
      <c r="H184" s="2206">
        <v>3.82</v>
      </c>
      <c r="L184" s="2203"/>
      <c r="M184" s="2207"/>
      <c r="T184" s="2208"/>
      <c r="AT184" s="2204" t="s">
        <v>3303</v>
      </c>
      <c r="AU184" s="2204" t="s">
        <v>134</v>
      </c>
      <c r="AV184" s="2202" t="s">
        <v>854</v>
      </c>
      <c r="AW184" s="2202" t="s">
        <v>3171</v>
      </c>
      <c r="AX184" s="2202" t="s">
        <v>3213</v>
      </c>
      <c r="AY184" s="2204" t="s">
        <v>3285</v>
      </c>
    </row>
    <row r="185" spans="2:51" s="2195" customFormat="1">
      <c r="B185" s="2196"/>
      <c r="D185" s="2197" t="s">
        <v>3303</v>
      </c>
      <c r="E185" s="2198" t="s">
        <v>3146</v>
      </c>
      <c r="F185" s="2199" t="s">
        <v>5928</v>
      </c>
      <c r="H185" s="2198" t="s">
        <v>3146</v>
      </c>
      <c r="L185" s="2196"/>
      <c r="M185" s="2200"/>
      <c r="T185" s="2201"/>
      <c r="AT185" s="2198" t="s">
        <v>3303</v>
      </c>
      <c r="AU185" s="2198" t="s">
        <v>134</v>
      </c>
      <c r="AV185" s="2195" t="s">
        <v>133</v>
      </c>
      <c r="AW185" s="2195" t="s">
        <v>3171</v>
      </c>
      <c r="AX185" s="2195" t="s">
        <v>3213</v>
      </c>
      <c r="AY185" s="2198" t="s">
        <v>3285</v>
      </c>
    </row>
    <row r="186" spans="2:51" s="2209" customFormat="1">
      <c r="B186" s="2210"/>
      <c r="D186" s="2197" t="s">
        <v>3303</v>
      </c>
      <c r="E186" s="2211" t="s">
        <v>3146</v>
      </c>
      <c r="F186" s="2212" t="s">
        <v>5959</v>
      </c>
      <c r="H186" s="2213">
        <v>1.3680000000000001</v>
      </c>
      <c r="L186" s="2210"/>
      <c r="M186" s="2214"/>
      <c r="T186" s="2215"/>
      <c r="AT186" s="2211" t="s">
        <v>3303</v>
      </c>
      <c r="AU186" s="2211" t="s">
        <v>134</v>
      </c>
      <c r="AV186" s="2209" t="s">
        <v>134</v>
      </c>
      <c r="AW186" s="2209" t="s">
        <v>3171</v>
      </c>
      <c r="AX186" s="2209" t="s">
        <v>3213</v>
      </c>
      <c r="AY186" s="2211" t="s">
        <v>3285</v>
      </c>
    </row>
    <row r="187" spans="2:51" s="2209" customFormat="1">
      <c r="B187" s="2210"/>
      <c r="D187" s="2197" t="s">
        <v>3303</v>
      </c>
      <c r="E187" s="2211" t="s">
        <v>3146</v>
      </c>
      <c r="F187" s="2212" t="s">
        <v>5960</v>
      </c>
      <c r="H187" s="2213">
        <v>0.79200000000000004</v>
      </c>
      <c r="L187" s="2210"/>
      <c r="M187" s="2214"/>
      <c r="T187" s="2215"/>
      <c r="AT187" s="2211" t="s">
        <v>3303</v>
      </c>
      <c r="AU187" s="2211" t="s">
        <v>134</v>
      </c>
      <c r="AV187" s="2209" t="s">
        <v>134</v>
      </c>
      <c r="AW187" s="2209" t="s">
        <v>3171</v>
      </c>
      <c r="AX187" s="2209" t="s">
        <v>3213</v>
      </c>
      <c r="AY187" s="2211" t="s">
        <v>3285</v>
      </c>
    </row>
    <row r="188" spans="2:51" s="2209" customFormat="1">
      <c r="B188" s="2210"/>
      <c r="D188" s="2197" t="s">
        <v>3303</v>
      </c>
      <c r="E188" s="2211" t="s">
        <v>3146</v>
      </c>
      <c r="F188" s="2212" t="s">
        <v>5961</v>
      </c>
      <c r="H188" s="2213">
        <v>0.54500000000000004</v>
      </c>
      <c r="L188" s="2210"/>
      <c r="M188" s="2214"/>
      <c r="T188" s="2215"/>
      <c r="AT188" s="2211" t="s">
        <v>3303</v>
      </c>
      <c r="AU188" s="2211" t="s">
        <v>134</v>
      </c>
      <c r="AV188" s="2209" t="s">
        <v>134</v>
      </c>
      <c r="AW188" s="2209" t="s">
        <v>3171</v>
      </c>
      <c r="AX188" s="2209" t="s">
        <v>3213</v>
      </c>
      <c r="AY188" s="2211" t="s">
        <v>3285</v>
      </c>
    </row>
    <row r="189" spans="2:51" s="2202" customFormat="1">
      <c r="B189" s="2203"/>
      <c r="D189" s="2197" t="s">
        <v>3303</v>
      </c>
      <c r="E189" s="2204" t="s">
        <v>3146</v>
      </c>
      <c r="F189" s="2205" t="s">
        <v>3305</v>
      </c>
      <c r="H189" s="2206">
        <v>2.7050000000000001</v>
      </c>
      <c r="L189" s="2203"/>
      <c r="M189" s="2207"/>
      <c r="T189" s="2208"/>
      <c r="AT189" s="2204" t="s">
        <v>3303</v>
      </c>
      <c r="AU189" s="2204" t="s">
        <v>134</v>
      </c>
      <c r="AV189" s="2202" t="s">
        <v>854</v>
      </c>
      <c r="AW189" s="2202" t="s">
        <v>3171</v>
      </c>
      <c r="AX189" s="2202" t="s">
        <v>3213</v>
      </c>
      <c r="AY189" s="2204" t="s">
        <v>3285</v>
      </c>
    </row>
    <row r="190" spans="2:51" s="2209" customFormat="1">
      <c r="B190" s="2210"/>
      <c r="D190" s="2197" t="s">
        <v>3303</v>
      </c>
      <c r="E190" s="2211" t="s">
        <v>3146</v>
      </c>
      <c r="F190" s="2212" t="s">
        <v>5962</v>
      </c>
      <c r="H190" s="2213">
        <v>0.09</v>
      </c>
      <c r="L190" s="2210"/>
      <c r="M190" s="2214"/>
      <c r="T190" s="2215"/>
      <c r="AT190" s="2211" t="s">
        <v>3303</v>
      </c>
      <c r="AU190" s="2211" t="s">
        <v>134</v>
      </c>
      <c r="AV190" s="2209" t="s">
        <v>134</v>
      </c>
      <c r="AW190" s="2209" t="s">
        <v>3171</v>
      </c>
      <c r="AX190" s="2209" t="s">
        <v>3213</v>
      </c>
      <c r="AY190" s="2211" t="s">
        <v>3285</v>
      </c>
    </row>
    <row r="191" spans="2:51" s="2209" customFormat="1">
      <c r="B191" s="2210"/>
      <c r="D191" s="2197" t="s">
        <v>3303</v>
      </c>
      <c r="E191" s="2211" t="s">
        <v>3146</v>
      </c>
      <c r="F191" s="2212" t="s">
        <v>5963</v>
      </c>
      <c r="H191" s="2213">
        <v>0.17</v>
      </c>
      <c r="L191" s="2210"/>
      <c r="M191" s="2214"/>
      <c r="T191" s="2215"/>
      <c r="AT191" s="2211" t="s">
        <v>3303</v>
      </c>
      <c r="AU191" s="2211" t="s">
        <v>134</v>
      </c>
      <c r="AV191" s="2209" t="s">
        <v>134</v>
      </c>
      <c r="AW191" s="2209" t="s">
        <v>3171</v>
      </c>
      <c r="AX191" s="2209" t="s">
        <v>3213</v>
      </c>
      <c r="AY191" s="2211" t="s">
        <v>3285</v>
      </c>
    </row>
    <row r="192" spans="2:51" s="2202" customFormat="1">
      <c r="B192" s="2203"/>
      <c r="D192" s="2197" t="s">
        <v>3303</v>
      </c>
      <c r="E192" s="2204" t="s">
        <v>3146</v>
      </c>
      <c r="F192" s="2205" t="s">
        <v>3305</v>
      </c>
      <c r="H192" s="2206">
        <v>0.26</v>
      </c>
      <c r="L192" s="2203"/>
      <c r="M192" s="2207"/>
      <c r="T192" s="2208"/>
      <c r="AT192" s="2204" t="s">
        <v>3303</v>
      </c>
      <c r="AU192" s="2204" t="s">
        <v>134</v>
      </c>
      <c r="AV192" s="2202" t="s">
        <v>854</v>
      </c>
      <c r="AW192" s="2202" t="s">
        <v>3171</v>
      </c>
      <c r="AX192" s="2202" t="s">
        <v>3213</v>
      </c>
      <c r="AY192" s="2204" t="s">
        <v>3285</v>
      </c>
    </row>
    <row r="193" spans="2:65" s="2209" customFormat="1">
      <c r="B193" s="2210"/>
      <c r="D193" s="2197" t="s">
        <v>3303</v>
      </c>
      <c r="E193" s="2211" t="s">
        <v>3146</v>
      </c>
      <c r="F193" s="2212" t="s">
        <v>5964</v>
      </c>
      <c r="H193" s="2213">
        <v>0.08</v>
      </c>
      <c r="L193" s="2210"/>
      <c r="M193" s="2214"/>
      <c r="T193" s="2215"/>
      <c r="AT193" s="2211" t="s">
        <v>3303</v>
      </c>
      <c r="AU193" s="2211" t="s">
        <v>134</v>
      </c>
      <c r="AV193" s="2209" t="s">
        <v>134</v>
      </c>
      <c r="AW193" s="2209" t="s">
        <v>3171</v>
      </c>
      <c r="AX193" s="2209" t="s">
        <v>3213</v>
      </c>
      <c r="AY193" s="2211" t="s">
        <v>3285</v>
      </c>
    </row>
    <row r="194" spans="2:65" s="2202" customFormat="1">
      <c r="B194" s="2203"/>
      <c r="D194" s="2197" t="s">
        <v>3303</v>
      </c>
      <c r="E194" s="2204" t="s">
        <v>3146</v>
      </c>
      <c r="F194" s="2205" t="s">
        <v>3305</v>
      </c>
      <c r="H194" s="2206">
        <v>0.08</v>
      </c>
      <c r="L194" s="2203"/>
      <c r="M194" s="2207"/>
      <c r="T194" s="2208"/>
      <c r="AT194" s="2204" t="s">
        <v>3303</v>
      </c>
      <c r="AU194" s="2204" t="s">
        <v>134</v>
      </c>
      <c r="AV194" s="2202" t="s">
        <v>854</v>
      </c>
      <c r="AW194" s="2202" t="s">
        <v>3171</v>
      </c>
      <c r="AX194" s="2202" t="s">
        <v>3213</v>
      </c>
      <c r="AY194" s="2204" t="s">
        <v>3285</v>
      </c>
    </row>
    <row r="195" spans="2:65" s="2209" customFormat="1">
      <c r="B195" s="2210"/>
      <c r="D195" s="2197" t="s">
        <v>3303</v>
      </c>
      <c r="E195" s="2211" t="s">
        <v>3146</v>
      </c>
      <c r="F195" s="2212" t="s">
        <v>5965</v>
      </c>
      <c r="H195" s="2213">
        <v>0.16</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66.156999999999996</v>
      </c>
      <c r="L196" s="2217"/>
      <c r="M196" s="2221"/>
      <c r="T196" s="2222"/>
      <c r="AT196" s="2218" t="s">
        <v>3303</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3435</v>
      </c>
      <c r="F197" s="4610" t="s">
        <v>3436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5966</v>
      </c>
    </row>
    <row r="198" spans="2:65" s="2209" customFormat="1">
      <c r="B198" s="2210"/>
      <c r="D198" s="2197" t="s">
        <v>3303</v>
      </c>
      <c r="E198" s="2211" t="s">
        <v>3146</v>
      </c>
      <c r="F198" s="2212" t="s">
        <v>5967</v>
      </c>
      <c r="H198" s="2213">
        <v>2.5640000000000001</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5968</v>
      </c>
      <c r="H199" s="2213">
        <v>3.82</v>
      </c>
      <c r="L199" s="2210"/>
      <c r="M199" s="2214"/>
      <c r="T199" s="2215"/>
      <c r="AT199" s="2211" t="s">
        <v>3303</v>
      </c>
      <c r="AU199" s="2211" t="s">
        <v>134</v>
      </c>
      <c r="AV199" s="2209" t="s">
        <v>134</v>
      </c>
      <c r="AW199" s="2209" t="s">
        <v>3171</v>
      </c>
      <c r="AX199" s="2209" t="s">
        <v>3213</v>
      </c>
      <c r="AY199" s="2211" t="s">
        <v>3285</v>
      </c>
    </row>
    <row r="200" spans="2:65" s="2195" customFormat="1">
      <c r="B200" s="2196"/>
      <c r="D200" s="2197" t="s">
        <v>3303</v>
      </c>
      <c r="E200" s="2198" t="s">
        <v>3146</v>
      </c>
      <c r="F200" s="2199" t="s">
        <v>5969</v>
      </c>
      <c r="H200" s="2198" t="s">
        <v>3146</v>
      </c>
      <c r="L200" s="2196"/>
      <c r="M200" s="2200"/>
      <c r="T200" s="2201"/>
      <c r="AT200" s="2198" t="s">
        <v>3303</v>
      </c>
      <c r="AU200" s="2198" t="s">
        <v>134</v>
      </c>
      <c r="AV200" s="2195" t="s">
        <v>133</v>
      </c>
      <c r="AW200" s="2195" t="s">
        <v>3171</v>
      </c>
      <c r="AX200" s="2195" t="s">
        <v>3213</v>
      </c>
      <c r="AY200" s="2198" t="s">
        <v>3285</v>
      </c>
    </row>
    <row r="201" spans="2:65" s="2209" customFormat="1">
      <c r="B201" s="2210"/>
      <c r="D201" s="2197" t="s">
        <v>3303</v>
      </c>
      <c r="E201" s="2211" t="s">
        <v>3146</v>
      </c>
      <c r="F201" s="2212" t="s">
        <v>5970</v>
      </c>
      <c r="H201" s="2213">
        <v>3.37</v>
      </c>
      <c r="L201" s="2210"/>
      <c r="M201" s="2214"/>
      <c r="T201" s="2215"/>
      <c r="AT201" s="2211" t="s">
        <v>3303</v>
      </c>
      <c r="AU201" s="2211" t="s">
        <v>134</v>
      </c>
      <c r="AV201" s="2209" t="s">
        <v>134</v>
      </c>
      <c r="AW201" s="2209" t="s">
        <v>3171</v>
      </c>
      <c r="AX201" s="2209" t="s">
        <v>3213</v>
      </c>
      <c r="AY201" s="2211" t="s">
        <v>3285</v>
      </c>
    </row>
    <row r="202" spans="2:65" s="2209" customFormat="1">
      <c r="B202" s="2210"/>
      <c r="D202" s="2197" t="s">
        <v>3303</v>
      </c>
      <c r="E202" s="2211" t="s">
        <v>3146</v>
      </c>
      <c r="F202" s="2212" t="s">
        <v>5971</v>
      </c>
      <c r="H202" s="2213">
        <v>0.161</v>
      </c>
      <c r="L202" s="2210"/>
      <c r="M202" s="2214"/>
      <c r="T202" s="2215"/>
      <c r="AT202" s="2211" t="s">
        <v>3303</v>
      </c>
      <c r="AU202" s="2211" t="s">
        <v>134</v>
      </c>
      <c r="AV202" s="2209" t="s">
        <v>134</v>
      </c>
      <c r="AW202" s="2209" t="s">
        <v>3171</v>
      </c>
      <c r="AX202" s="2209" t="s">
        <v>3213</v>
      </c>
      <c r="AY202" s="2211" t="s">
        <v>3285</v>
      </c>
    </row>
    <row r="203" spans="2:65" s="2216" customFormat="1">
      <c r="B203" s="2217"/>
      <c r="D203" s="2197" t="s">
        <v>3303</v>
      </c>
      <c r="E203" s="2218" t="s">
        <v>3146</v>
      </c>
      <c r="F203" s="2219" t="s">
        <v>3306</v>
      </c>
      <c r="H203" s="2220">
        <v>9.9150000000000009</v>
      </c>
      <c r="L203" s="2217"/>
      <c r="M203" s="2221"/>
      <c r="T203" s="2222"/>
      <c r="AT203" s="2218" t="s">
        <v>3303</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5972</v>
      </c>
      <c r="F204" s="4610" t="s">
        <v>5973</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5974</v>
      </c>
    </row>
    <row r="205" spans="2:65" s="2209" customFormat="1">
      <c r="B205" s="2210"/>
      <c r="D205" s="2197" t="s">
        <v>3303</v>
      </c>
      <c r="E205" s="2211" t="s">
        <v>3146</v>
      </c>
      <c r="F205" s="2212" t="s">
        <v>5975</v>
      </c>
      <c r="H205" s="2213">
        <v>12.042999999999999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5976</v>
      </c>
      <c r="H206" s="2213">
        <v>9.8279999999999994</v>
      </c>
      <c r="L206" s="2210"/>
      <c r="M206" s="2214"/>
      <c r="T206" s="2215"/>
      <c r="AT206" s="2211" t="s">
        <v>3303</v>
      </c>
      <c r="AU206" s="2211" t="s">
        <v>134</v>
      </c>
      <c r="AV206" s="2209" t="s">
        <v>134</v>
      </c>
      <c r="AW206" s="2209" t="s">
        <v>3171</v>
      </c>
      <c r="AX206" s="2209" t="s">
        <v>3213</v>
      </c>
      <c r="AY206" s="2211" t="s">
        <v>3285</v>
      </c>
    </row>
    <row r="207" spans="2:65" s="2209" customFormat="1">
      <c r="B207" s="2210"/>
      <c r="D207" s="2197" t="s">
        <v>3303</v>
      </c>
      <c r="E207" s="2211" t="s">
        <v>3146</v>
      </c>
      <c r="F207" s="2212" t="s">
        <v>5977</v>
      </c>
      <c r="H207" s="2213">
        <v>6.1219999999999999</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27.992999999999999</v>
      </c>
      <c r="L208" s="2217"/>
      <c r="M208" s="2221"/>
      <c r="T208" s="2222"/>
      <c r="AT208" s="2218" t="s">
        <v>3303</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3451</v>
      </c>
      <c r="F209" s="4610" t="s">
        <v>3452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5978</v>
      </c>
    </row>
    <row r="210" spans="2:65" s="2209" customFormat="1">
      <c r="B210" s="2210"/>
      <c r="D210" s="2197" t="s">
        <v>3303</v>
      </c>
      <c r="E210" s="2211" t="s">
        <v>3146</v>
      </c>
      <c r="F210" s="2212" t="s">
        <v>5979</v>
      </c>
      <c r="H210" s="2213">
        <v>24.616</v>
      </c>
      <c r="L210" s="2210"/>
      <c r="M210" s="2214"/>
      <c r="T210" s="2215"/>
      <c r="AT210" s="2211" t="s">
        <v>3303</v>
      </c>
      <c r="AU210" s="2211" t="s">
        <v>134</v>
      </c>
      <c r="AV210" s="2209" t="s">
        <v>134</v>
      </c>
      <c r="AW210" s="2209" t="s">
        <v>3171</v>
      </c>
      <c r="AX210" s="2209" t="s">
        <v>3213</v>
      </c>
      <c r="AY210" s="2211" t="s">
        <v>3285</v>
      </c>
    </row>
    <row r="211" spans="2:65" s="2209" customFormat="1">
      <c r="B211" s="2210"/>
      <c r="D211" s="2197" t="s">
        <v>3303</v>
      </c>
      <c r="E211" s="2211" t="s">
        <v>3146</v>
      </c>
      <c r="F211" s="2212" t="s">
        <v>5980</v>
      </c>
      <c r="H211" s="2213">
        <v>17.8</v>
      </c>
      <c r="L211" s="2210"/>
      <c r="M211" s="2214"/>
      <c r="T211" s="2215"/>
      <c r="AT211" s="2211" t="s">
        <v>3303</v>
      </c>
      <c r="AU211" s="2211" t="s">
        <v>134</v>
      </c>
      <c r="AV211" s="2209" t="s">
        <v>134</v>
      </c>
      <c r="AW211" s="2209" t="s">
        <v>3171</v>
      </c>
      <c r="AX211" s="2209" t="s">
        <v>3213</v>
      </c>
      <c r="AY211" s="2211" t="s">
        <v>3285</v>
      </c>
    </row>
    <row r="212" spans="2:65" s="2209" customFormat="1">
      <c r="B212" s="2210"/>
      <c r="D212" s="2197" t="s">
        <v>3303</v>
      </c>
      <c r="E212" s="2211" t="s">
        <v>3146</v>
      </c>
      <c r="F212" s="2212" t="s">
        <v>5981</v>
      </c>
      <c r="H212" s="2213">
        <v>8.49</v>
      </c>
      <c r="L212" s="2210"/>
      <c r="M212" s="2214"/>
      <c r="T212" s="2215"/>
      <c r="AT212" s="2211" t="s">
        <v>3303</v>
      </c>
      <c r="AU212" s="2211" t="s">
        <v>134</v>
      </c>
      <c r="AV212" s="2209" t="s">
        <v>134</v>
      </c>
      <c r="AW212" s="2209" t="s">
        <v>3171</v>
      </c>
      <c r="AX212" s="2209" t="s">
        <v>3213</v>
      </c>
      <c r="AY212" s="2211" t="s">
        <v>3285</v>
      </c>
    </row>
    <row r="213" spans="2:65" s="2216" customFormat="1">
      <c r="B213" s="2217"/>
      <c r="D213" s="2197" t="s">
        <v>3303</v>
      </c>
      <c r="E213" s="2218" t="s">
        <v>3146</v>
      </c>
      <c r="F213" s="2219" t="s">
        <v>3306</v>
      </c>
      <c r="H213" s="2220">
        <v>50.905999999999999</v>
      </c>
      <c r="L213" s="2217"/>
      <c r="M213" s="2221"/>
      <c r="T213" s="2222"/>
      <c r="AT213" s="2218" t="s">
        <v>3303</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3469</v>
      </c>
      <c r="F214" s="4610" t="s">
        <v>3470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5982</v>
      </c>
    </row>
    <row r="215" spans="2:65" s="2070" customFormat="1" ht="21.75" customHeight="1">
      <c r="B215" s="2164"/>
      <c r="C215" s="4608" t="s">
        <v>874</v>
      </c>
      <c r="D215" s="4608" t="s">
        <v>3286</v>
      </c>
      <c r="E215" s="4609" t="s">
        <v>5983</v>
      </c>
      <c r="F215" s="4610" t="s">
        <v>5984</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5985</v>
      </c>
    </row>
    <row r="216" spans="2:65" s="2209" customFormat="1">
      <c r="B216" s="2210"/>
      <c r="D216" s="2197" t="s">
        <v>3303</v>
      </c>
      <c r="E216" s="2211" t="s">
        <v>3146</v>
      </c>
      <c r="F216" s="2212" t="s">
        <v>5986</v>
      </c>
      <c r="H216" s="2213">
        <v>2.4060000000000001</v>
      </c>
      <c r="L216" s="2210"/>
      <c r="M216" s="2214"/>
      <c r="T216" s="2215"/>
      <c r="AT216" s="2211" t="s">
        <v>3303</v>
      </c>
      <c r="AU216" s="2211" t="s">
        <v>134</v>
      </c>
      <c r="AV216" s="2209" t="s">
        <v>134</v>
      </c>
      <c r="AW216" s="2209" t="s">
        <v>3171</v>
      </c>
      <c r="AX216" s="2209" t="s">
        <v>3213</v>
      </c>
      <c r="AY216" s="2211" t="s">
        <v>3285</v>
      </c>
    </row>
    <row r="217" spans="2:65" s="2216" customFormat="1">
      <c r="B217" s="2217"/>
      <c r="D217" s="2197" t="s">
        <v>3303</v>
      </c>
      <c r="E217" s="2218" t="s">
        <v>3146</v>
      </c>
      <c r="F217" s="2219" t="s">
        <v>3306</v>
      </c>
      <c r="H217" s="2220">
        <v>2.4060000000000001</v>
      </c>
      <c r="L217" s="2217"/>
      <c r="M217" s="2221"/>
      <c r="T217" s="2222"/>
      <c r="AT217" s="2218" t="s">
        <v>3303</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5987</v>
      </c>
      <c r="F218" s="4610" t="s">
        <v>5988</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5989</v>
      </c>
    </row>
    <row r="219" spans="2:65" s="2209" customFormat="1">
      <c r="B219" s="2210"/>
      <c r="D219" s="2197" t="s">
        <v>3303</v>
      </c>
      <c r="E219" s="2211" t="s">
        <v>3146</v>
      </c>
      <c r="F219" s="2212" t="s">
        <v>5990</v>
      </c>
      <c r="H219" s="2213">
        <v>2.6</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2.6</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3473</v>
      </c>
      <c r="F221" s="4610" t="s">
        <v>3474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5991</v>
      </c>
    </row>
    <row r="222" spans="2:65" s="2209" customFormat="1">
      <c r="B222" s="2210"/>
      <c r="D222" s="2197" t="s">
        <v>3303</v>
      </c>
      <c r="E222" s="2211" t="s">
        <v>3146</v>
      </c>
      <c r="F222" s="2212" t="s">
        <v>5992</v>
      </c>
      <c r="H222" s="2213">
        <v>14.6</v>
      </c>
      <c r="L222" s="2210"/>
      <c r="M222" s="2214"/>
      <c r="T222" s="2215"/>
      <c r="AT222" s="2211" t="s">
        <v>3303</v>
      </c>
      <c r="AU222" s="2211" t="s">
        <v>134</v>
      </c>
      <c r="AV222" s="2209" t="s">
        <v>134</v>
      </c>
      <c r="AW222" s="2209" t="s">
        <v>3171</v>
      </c>
      <c r="AX222" s="2209" t="s">
        <v>3213</v>
      </c>
      <c r="AY222" s="2211" t="s">
        <v>3285</v>
      </c>
    </row>
    <row r="223" spans="2:65" s="2216" customFormat="1">
      <c r="B223" s="2217"/>
      <c r="D223" s="2197" t="s">
        <v>3303</v>
      </c>
      <c r="E223" s="2218" t="s">
        <v>3146</v>
      </c>
      <c r="F223" s="2219" t="s">
        <v>3306</v>
      </c>
      <c r="H223" s="2220">
        <v>14.6</v>
      </c>
      <c r="L223" s="2217"/>
      <c r="M223" s="2221"/>
      <c r="T223" s="2222"/>
      <c r="AT223" s="2218" t="s">
        <v>3303</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5993</v>
      </c>
      <c r="F224" s="4610" t="s">
        <v>5994</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5995</v>
      </c>
    </row>
    <row r="225" spans="2:65" s="2070" customFormat="1" ht="21.75" customHeight="1">
      <c r="B225" s="2164"/>
      <c r="C225" s="5561" t="s">
        <v>892</v>
      </c>
      <c r="D225" s="5561" t="s">
        <v>3286</v>
      </c>
      <c r="E225" s="5567" t="s">
        <v>11693</v>
      </c>
      <c r="F225" s="5566" t="s">
        <v>11694</v>
      </c>
      <c r="G225" s="5570" t="s">
        <v>302</v>
      </c>
      <c r="H225" s="5568">
        <f>H227</f>
        <v>0.20800000000000002</v>
      </c>
      <c r="I225" s="5571"/>
      <c r="J225" s="5571">
        <f>ROUND(I225*H225,2)</f>
        <v>0</v>
      </c>
      <c r="K225" s="5566" t="s">
        <v>142</v>
      </c>
      <c r="L225" s="2071"/>
      <c r="M225" s="2190" t="s">
        <v>3146</v>
      </c>
      <c r="N225" s="2163" t="s">
        <v>3181</v>
      </c>
      <c r="O225" s="2191">
        <v>23.968</v>
      </c>
      <c r="P225" s="2191">
        <f>O225*H225</f>
        <v>4.9853440000000004</v>
      </c>
      <c r="Q225" s="2191">
        <v>1.0606199999999999</v>
      </c>
      <c r="R225" s="2191">
        <f>Q225*H225</f>
        <v>0.22060895999999999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5985</v>
      </c>
    </row>
    <row r="226" spans="2:65" s="2209" customFormat="1">
      <c r="B226" s="2210"/>
      <c r="D226" s="2197" t="s">
        <v>3303</v>
      </c>
      <c r="E226" s="2211" t="s">
        <v>3146</v>
      </c>
      <c r="F226" s="5560" t="s">
        <v>11714</v>
      </c>
      <c r="G226" s="5574"/>
      <c r="H226" s="5569">
        <f>2.6*80*0.001</f>
        <v>0.20800000000000002</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5560" t="s">
        <v>3306</v>
      </c>
      <c r="G227" s="5574"/>
      <c r="H227" s="5569">
        <f>H226</f>
        <v>0.20800000000000002</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08" t="s">
        <v>2894</v>
      </c>
      <c r="D228" s="4608" t="s">
        <v>3286</v>
      </c>
      <c r="E228" s="4609" t="s">
        <v>5996</v>
      </c>
      <c r="F228" s="4610" t="s">
        <v>5997</v>
      </c>
      <c r="G228" s="4611" t="s">
        <v>221</v>
      </c>
      <c r="H228" s="4612">
        <v>0.8</v>
      </c>
      <c r="I228" s="4613"/>
      <c r="J228" s="4613">
        <f>ROUND(I228*H228,2)</f>
        <v>0</v>
      </c>
      <c r="K228" s="4610" t="s">
        <v>142</v>
      </c>
      <c r="L228" s="2071"/>
      <c r="M228" s="2190" t="s">
        <v>3146</v>
      </c>
      <c r="N228" s="2163" t="s">
        <v>3181</v>
      </c>
      <c r="O228" s="2191">
        <v>0.629</v>
      </c>
      <c r="P228" s="2191">
        <f>O228*H228</f>
        <v>0.50319999999999998</v>
      </c>
      <c r="Q228" s="2191">
        <v>2.5018699999999998</v>
      </c>
      <c r="R228" s="2191">
        <f>Q228*H228</f>
        <v>2.0014959999999999</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5998</v>
      </c>
    </row>
    <row r="229" spans="2:65" s="2209" customFormat="1">
      <c r="B229" s="2210"/>
      <c r="D229" s="2197" t="s">
        <v>3303</v>
      </c>
      <c r="E229" s="2211" t="s">
        <v>3146</v>
      </c>
      <c r="F229" s="2212" t="s">
        <v>5934</v>
      </c>
      <c r="H229" s="2213">
        <v>0.8</v>
      </c>
      <c r="L229" s="2210"/>
      <c r="M229" s="2214"/>
      <c r="T229" s="2215"/>
      <c r="AT229" s="2211" t="s">
        <v>3303</v>
      </c>
      <c r="AU229" s="2211" t="s">
        <v>134</v>
      </c>
      <c r="AV229" s="2209" t="s">
        <v>134</v>
      </c>
      <c r="AW229" s="2209" t="s">
        <v>3171</v>
      </c>
      <c r="AX229" s="2209" t="s">
        <v>3213</v>
      </c>
      <c r="AY229" s="2211" t="s">
        <v>3285</v>
      </c>
    </row>
    <row r="230" spans="2:65" s="2216" customFormat="1">
      <c r="B230" s="2217"/>
      <c r="D230" s="2197" t="s">
        <v>3303</v>
      </c>
      <c r="E230" s="2218" t="s">
        <v>3146</v>
      </c>
      <c r="F230" s="2219" t="s">
        <v>3306</v>
      </c>
      <c r="H230" s="2220">
        <v>0.8</v>
      </c>
      <c r="L230" s="2217"/>
      <c r="M230" s="2221"/>
      <c r="T230" s="2222"/>
      <c r="AT230" s="2218" t="s">
        <v>3303</v>
      </c>
      <c r="AU230" s="2218" t="s">
        <v>134</v>
      </c>
      <c r="AV230" s="2216" t="s">
        <v>856</v>
      </c>
      <c r="AW230" s="2216" t="s">
        <v>3171</v>
      </c>
      <c r="AX230" s="2216" t="s">
        <v>133</v>
      </c>
      <c r="AY230" s="2218" t="s">
        <v>3285</v>
      </c>
    </row>
    <row r="231" spans="2:65" s="2070" customFormat="1" ht="16.5" customHeight="1">
      <c r="B231" s="2164"/>
      <c r="C231" s="4608" t="s">
        <v>2897</v>
      </c>
      <c r="D231" s="4608" t="s">
        <v>3286</v>
      </c>
      <c r="E231" s="4609" t="s">
        <v>3483</v>
      </c>
      <c r="F231" s="4610" t="s">
        <v>2276</v>
      </c>
      <c r="G231" s="4611" t="s">
        <v>611</v>
      </c>
      <c r="H231" s="4612">
        <v>4.8</v>
      </c>
      <c r="I231" s="4613"/>
      <c r="J231" s="4613">
        <f>ROUND(I231*H231,2)</f>
        <v>0</v>
      </c>
      <c r="K231" s="4610" t="s">
        <v>142</v>
      </c>
      <c r="L231" s="2071"/>
      <c r="M231" s="2190" t="s">
        <v>3146</v>
      </c>
      <c r="N231" s="2163" t="s">
        <v>3181</v>
      </c>
      <c r="O231" s="2191">
        <v>0.27400000000000002</v>
      </c>
      <c r="P231" s="2191">
        <f>O231*H231</f>
        <v>1.3152000000000001</v>
      </c>
      <c r="Q231" s="2191">
        <v>2.64E-3</v>
      </c>
      <c r="R231" s="2191">
        <f>Q231*H231</f>
        <v>1.2671999999999999E-2</v>
      </c>
      <c r="S231" s="2191">
        <v>0</v>
      </c>
      <c r="T231" s="2192">
        <f>S231*H231</f>
        <v>0</v>
      </c>
      <c r="AR231" s="2193" t="s">
        <v>856</v>
      </c>
      <c r="AT231" s="2193" t="s">
        <v>3286</v>
      </c>
      <c r="AU231" s="2193" t="s">
        <v>134</v>
      </c>
      <c r="AY231" s="2056" t="s">
        <v>3285</v>
      </c>
      <c r="BE231" s="2194">
        <f>IF(N231="základní",J231,0)</f>
        <v>0</v>
      </c>
      <c r="BF231" s="2194">
        <f>IF(N231="snížená",J231,0)</f>
        <v>0</v>
      </c>
      <c r="BG231" s="2194">
        <f>IF(N231="zákl. přenesená",J231,0)</f>
        <v>0</v>
      </c>
      <c r="BH231" s="2194">
        <f>IF(N231="sníž. přenesená",J231,0)</f>
        <v>0</v>
      </c>
      <c r="BI231" s="2194">
        <f>IF(N231="nulová",J231,0)</f>
        <v>0</v>
      </c>
      <c r="BJ231" s="2056" t="s">
        <v>134</v>
      </c>
      <c r="BK231" s="2194">
        <f>ROUND(I231*H231,2)</f>
        <v>0</v>
      </c>
      <c r="BL231" s="2056" t="s">
        <v>856</v>
      </c>
      <c r="BM231" s="2193" t="s">
        <v>5999</v>
      </c>
    </row>
    <row r="232" spans="2:65" s="2209" customFormat="1">
      <c r="B232" s="2210"/>
      <c r="D232" s="2197" t="s">
        <v>3303</v>
      </c>
      <c r="E232" s="2211" t="s">
        <v>3146</v>
      </c>
      <c r="F232" s="2212" t="s">
        <v>6000</v>
      </c>
      <c r="H232" s="2213">
        <v>4.8</v>
      </c>
      <c r="L232" s="2210"/>
      <c r="M232" s="2214"/>
      <c r="T232" s="2215"/>
      <c r="AT232" s="2211" t="s">
        <v>3303</v>
      </c>
      <c r="AU232" s="2211" t="s">
        <v>134</v>
      </c>
      <c r="AV232" s="2209" t="s">
        <v>134</v>
      </c>
      <c r="AW232" s="2209" t="s">
        <v>3171</v>
      </c>
      <c r="AX232" s="2209" t="s">
        <v>133</v>
      </c>
      <c r="AY232" s="2211" t="s">
        <v>3285</v>
      </c>
    </row>
    <row r="233" spans="2:65" s="2070" customFormat="1" ht="16.5" customHeight="1">
      <c r="B233" s="2164"/>
      <c r="C233" s="4608" t="s">
        <v>2475</v>
      </c>
      <c r="D233" s="4608" t="s">
        <v>3286</v>
      </c>
      <c r="E233" s="4609" t="s">
        <v>3486</v>
      </c>
      <c r="F233" s="4610" t="s">
        <v>2278</v>
      </c>
      <c r="G233" s="4611" t="s">
        <v>611</v>
      </c>
      <c r="H233" s="4612">
        <v>4.8</v>
      </c>
      <c r="I233" s="4613"/>
      <c r="J233" s="4613">
        <f>ROUND(I233*H233,2)</f>
        <v>0</v>
      </c>
      <c r="K233" s="4610" t="s">
        <v>142</v>
      </c>
      <c r="L233" s="2071"/>
      <c r="M233" s="2190" t="s">
        <v>3146</v>
      </c>
      <c r="N233" s="2163" t="s">
        <v>3181</v>
      </c>
      <c r="O233" s="2191">
        <v>9.1999999999999998E-2</v>
      </c>
      <c r="P233" s="2191">
        <f>O233*H233</f>
        <v>0.44159999999999999</v>
      </c>
      <c r="Q233" s="2191">
        <v>0</v>
      </c>
      <c r="R233" s="2191">
        <f>Q233*H233</f>
        <v>0</v>
      </c>
      <c r="S233" s="2191">
        <v>0</v>
      </c>
      <c r="T233" s="2192">
        <f>S233*H233</f>
        <v>0</v>
      </c>
      <c r="AR233" s="2193" t="s">
        <v>856</v>
      </c>
      <c r="AT233" s="2193" t="s">
        <v>3286</v>
      </c>
      <c r="AU233" s="2193" t="s">
        <v>134</v>
      </c>
      <c r="AY233" s="2056" t="s">
        <v>3285</v>
      </c>
      <c r="BE233" s="2194">
        <f>IF(N233="základní",J233,0)</f>
        <v>0</v>
      </c>
      <c r="BF233" s="2194">
        <f>IF(N233="snížená",J233,0)</f>
        <v>0</v>
      </c>
      <c r="BG233" s="2194">
        <f>IF(N233="zákl. přenesená",J233,0)</f>
        <v>0</v>
      </c>
      <c r="BH233" s="2194">
        <f>IF(N233="sníž. přenesená",J233,0)</f>
        <v>0</v>
      </c>
      <c r="BI233" s="2194">
        <f>IF(N233="nulová",J233,0)</f>
        <v>0</v>
      </c>
      <c r="BJ233" s="2056" t="s">
        <v>134</v>
      </c>
      <c r="BK233" s="2194">
        <f>ROUND(I233*H233,2)</f>
        <v>0</v>
      </c>
      <c r="BL233" s="2056" t="s">
        <v>856</v>
      </c>
      <c r="BM233" s="2193" t="s">
        <v>6001</v>
      </c>
    </row>
    <row r="234" spans="2:65" s="2070" customFormat="1" ht="21.75" customHeight="1">
      <c r="B234" s="2164"/>
      <c r="C234" s="5561" t="s">
        <v>1840</v>
      </c>
      <c r="D234" s="5561" t="s">
        <v>3286</v>
      </c>
      <c r="E234" s="5567" t="s">
        <v>3488</v>
      </c>
      <c r="F234" s="5566" t="s">
        <v>3489</v>
      </c>
      <c r="G234" s="5570" t="s">
        <v>302</v>
      </c>
      <c r="H234" s="5568">
        <f>H236</f>
        <v>0.04</v>
      </c>
      <c r="I234" s="5571"/>
      <c r="J234" s="5571">
        <f>ROUND(I234*H234,2)</f>
        <v>0</v>
      </c>
      <c r="K234" s="5566" t="s">
        <v>142</v>
      </c>
      <c r="L234" s="2071"/>
      <c r="M234" s="2190" t="s">
        <v>3146</v>
      </c>
      <c r="N234" s="2163" t="s">
        <v>3181</v>
      </c>
      <c r="O234" s="2191">
        <v>23.968</v>
      </c>
      <c r="P234" s="2191">
        <f>O234*H234</f>
        <v>0.95872000000000002</v>
      </c>
      <c r="Q234" s="2191">
        <v>1.0606199999999999</v>
      </c>
      <c r="R234" s="2191">
        <f>Q234*H234</f>
        <v>4.2424799999999999E-2</v>
      </c>
      <c r="S234" s="2191">
        <v>0</v>
      </c>
      <c r="T234" s="2192">
        <f>S234*H234</f>
        <v>0</v>
      </c>
      <c r="AR234" s="2193" t="s">
        <v>856</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856</v>
      </c>
      <c r="BM234" s="2193" t="s">
        <v>5985</v>
      </c>
    </row>
    <row r="235" spans="2:65" s="2209" customFormat="1">
      <c r="B235" s="2210"/>
      <c r="D235" s="2197" t="s">
        <v>3303</v>
      </c>
      <c r="E235" s="2211" t="s">
        <v>3146</v>
      </c>
      <c r="F235" s="5560" t="s">
        <v>11695</v>
      </c>
      <c r="G235" s="5574"/>
      <c r="H235" s="5569">
        <f>0.8*50*0.001</f>
        <v>0.04</v>
      </c>
      <c r="L235" s="2210"/>
      <c r="M235" s="2214"/>
      <c r="T235" s="2215"/>
      <c r="AT235" s="2211" t="s">
        <v>3303</v>
      </c>
      <c r="AU235" s="2211" t="s">
        <v>134</v>
      </c>
      <c r="AV235" s="2209" t="s">
        <v>134</v>
      </c>
      <c r="AW235" s="2209" t="s">
        <v>3171</v>
      </c>
      <c r="AX235" s="2209" t="s">
        <v>3213</v>
      </c>
      <c r="AY235" s="2211" t="s">
        <v>3285</v>
      </c>
    </row>
    <row r="236" spans="2:65" s="2216" customFormat="1">
      <c r="B236" s="2217"/>
      <c r="D236" s="2197" t="s">
        <v>3303</v>
      </c>
      <c r="E236" s="2218" t="s">
        <v>3146</v>
      </c>
      <c r="F236" s="5560" t="s">
        <v>3306</v>
      </c>
      <c r="G236" s="5574"/>
      <c r="H236" s="5569">
        <f>H235</f>
        <v>0.04</v>
      </c>
      <c r="L236" s="2217"/>
      <c r="M236" s="2221"/>
      <c r="T236" s="2222"/>
      <c r="AT236" s="2218" t="s">
        <v>3303</v>
      </c>
      <c r="AU236" s="2218" t="s">
        <v>134</v>
      </c>
      <c r="AV236" s="2216" t="s">
        <v>856</v>
      </c>
      <c r="AW236" s="2216" t="s">
        <v>3171</v>
      </c>
      <c r="AX236" s="2216" t="s">
        <v>133</v>
      </c>
      <c r="AY236" s="2218" t="s">
        <v>3285</v>
      </c>
    </row>
    <row r="237" spans="2:65" s="2178" customFormat="1" ht="22.9" customHeight="1">
      <c r="B237" s="2179"/>
      <c r="D237" s="2180" t="s">
        <v>3212</v>
      </c>
      <c r="E237" s="2188" t="s">
        <v>854</v>
      </c>
      <c r="F237" s="2188" t="s">
        <v>2544</v>
      </c>
      <c r="J237" s="2189">
        <f>BK237</f>
        <v>0</v>
      </c>
      <c r="L237" s="2179"/>
      <c r="M237" s="2183"/>
      <c r="P237" s="2184">
        <f>SUM(P238:P259)</f>
        <v>298.33113300000002</v>
      </c>
      <c r="R237" s="2184">
        <f>SUM(R238:R259)</f>
        <v>86.402860219999994</v>
      </c>
      <c r="T237" s="2185">
        <f>SUM(T238:T259)</f>
        <v>0</v>
      </c>
      <c r="AR237" s="2180" t="s">
        <v>133</v>
      </c>
      <c r="AT237" s="2186" t="s">
        <v>3212</v>
      </c>
      <c r="AU237" s="2186" t="s">
        <v>133</v>
      </c>
      <c r="AY237" s="2180" t="s">
        <v>3285</v>
      </c>
      <c r="BK237" s="2187">
        <f>SUM(BK238:BK259)</f>
        <v>0</v>
      </c>
    </row>
    <row r="238" spans="2:65" s="2070" customFormat="1" ht="21.75" customHeight="1">
      <c r="B238" s="2164"/>
      <c r="C238" s="4608" t="s">
        <v>1846</v>
      </c>
      <c r="D238" s="4608" t="s">
        <v>3286</v>
      </c>
      <c r="E238" s="4609" t="s">
        <v>6002</v>
      </c>
      <c r="F238" s="4610" t="s">
        <v>6003</v>
      </c>
      <c r="G238" s="4611" t="s">
        <v>221</v>
      </c>
      <c r="H238" s="4612">
        <v>21.44</v>
      </c>
      <c r="I238" s="4613"/>
      <c r="J238" s="4613">
        <f>ROUND(I238*H238,2)</f>
        <v>0</v>
      </c>
      <c r="K238" s="4610" t="s">
        <v>142</v>
      </c>
      <c r="L238" s="2071"/>
      <c r="M238" s="2190" t="s">
        <v>3146</v>
      </c>
      <c r="N238" s="2163" t="s">
        <v>3181</v>
      </c>
      <c r="O238" s="2191">
        <v>1.4490000000000001</v>
      </c>
      <c r="P238" s="2191">
        <f>O238*H238</f>
        <v>31.066560000000003</v>
      </c>
      <c r="Q238" s="2191">
        <v>2.5018699999999998</v>
      </c>
      <c r="R238" s="2191">
        <f>Q238*H238</f>
        <v>53.640092799999998</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6004</v>
      </c>
    </row>
    <row r="239" spans="2:65" s="2209" customFormat="1">
      <c r="B239" s="2210"/>
      <c r="D239" s="2197" t="s">
        <v>3303</v>
      </c>
      <c r="E239" s="2211" t="s">
        <v>3146</v>
      </c>
      <c r="F239" s="2212" t="s">
        <v>6005</v>
      </c>
      <c r="H239" s="2213">
        <v>11.63</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6006</v>
      </c>
      <c r="H240" s="2213">
        <v>9.81</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21.44</v>
      </c>
      <c r="L241" s="2217"/>
      <c r="M241" s="2221"/>
      <c r="T241" s="2222"/>
      <c r="AT241" s="2218" t="s">
        <v>3303</v>
      </c>
      <c r="AU241" s="2218" t="s">
        <v>134</v>
      </c>
      <c r="AV241" s="2216" t="s">
        <v>856</v>
      </c>
      <c r="AW241" s="2216" t="s">
        <v>3171</v>
      </c>
      <c r="AX241" s="2216" t="s">
        <v>133</v>
      </c>
      <c r="AY241" s="2218" t="s">
        <v>3285</v>
      </c>
    </row>
    <row r="242" spans="2:65" s="2070" customFormat="1" ht="24.2" customHeight="1">
      <c r="B242" s="2164"/>
      <c r="C242" s="4608" t="s">
        <v>2272</v>
      </c>
      <c r="D242" s="4608" t="s">
        <v>3286</v>
      </c>
      <c r="E242" s="4609" t="s">
        <v>6007</v>
      </c>
      <c r="F242" s="4610" t="s">
        <v>6008</v>
      </c>
      <c r="G242" s="4611" t="s">
        <v>221</v>
      </c>
      <c r="H242" s="4612">
        <v>11.613</v>
      </c>
      <c r="I242" s="4613"/>
      <c r="J242" s="4613">
        <f>ROUND(I242*H242,2)</f>
        <v>0</v>
      </c>
      <c r="K242" s="4610" t="s">
        <v>142</v>
      </c>
      <c r="L242" s="2071"/>
      <c r="M242" s="2190" t="s">
        <v>3146</v>
      </c>
      <c r="N242" s="2163" t="s">
        <v>3181</v>
      </c>
      <c r="O242" s="2191">
        <v>1.2</v>
      </c>
      <c r="P242" s="2191">
        <f>O242*H242</f>
        <v>13.935599999999999</v>
      </c>
      <c r="Q242" s="2191">
        <v>2.5018699999999998</v>
      </c>
      <c r="R242" s="2191">
        <f>Q242*H242</f>
        <v>29.054216309999997</v>
      </c>
      <c r="S242" s="2191">
        <v>0</v>
      </c>
      <c r="T242" s="2192">
        <f>S242*H242</f>
        <v>0</v>
      </c>
      <c r="AR242" s="2193" t="s">
        <v>856</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856</v>
      </c>
      <c r="BM242" s="2193" t="s">
        <v>6009</v>
      </c>
    </row>
    <row r="243" spans="2:65" s="2195" customFormat="1">
      <c r="B243" s="2196"/>
      <c r="D243" s="2197" t="s">
        <v>3303</v>
      </c>
      <c r="E243" s="2198" t="s">
        <v>3146</v>
      </c>
      <c r="F243" s="2199" t="s">
        <v>6010</v>
      </c>
      <c r="H243" s="2198" t="s">
        <v>3146</v>
      </c>
      <c r="L243" s="2196"/>
      <c r="M243" s="2200"/>
      <c r="T243" s="2201"/>
      <c r="AT243" s="2198" t="s">
        <v>3303</v>
      </c>
      <c r="AU243" s="2198" t="s">
        <v>134</v>
      </c>
      <c r="AV243" s="2195" t="s">
        <v>133</v>
      </c>
      <c r="AW243" s="2195" t="s">
        <v>3171</v>
      </c>
      <c r="AX243" s="2195" t="s">
        <v>3213</v>
      </c>
      <c r="AY243" s="2198" t="s">
        <v>3285</v>
      </c>
    </row>
    <row r="244" spans="2:65" s="2209" customFormat="1">
      <c r="B244" s="2210"/>
      <c r="D244" s="2197" t="s">
        <v>3303</v>
      </c>
      <c r="E244" s="2211" t="s">
        <v>3146</v>
      </c>
      <c r="F244" s="2212" t="s">
        <v>6011</v>
      </c>
      <c r="H244" s="2213">
        <v>11.613</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11.613</v>
      </c>
      <c r="L245" s="2217"/>
      <c r="M245" s="2221"/>
      <c r="T245" s="2222"/>
      <c r="AT245" s="2218" t="s">
        <v>3303</v>
      </c>
      <c r="AU245" s="2218" t="s">
        <v>134</v>
      </c>
      <c r="AV245" s="2216" t="s">
        <v>856</v>
      </c>
      <c r="AW245" s="2216" t="s">
        <v>3171</v>
      </c>
      <c r="AX245" s="2216" t="s">
        <v>133</v>
      </c>
      <c r="AY245" s="2218" t="s">
        <v>3285</v>
      </c>
    </row>
    <row r="246" spans="2:65" s="2070" customFormat="1" ht="24.2" customHeight="1">
      <c r="B246" s="2164"/>
      <c r="C246" s="4608" t="s">
        <v>989</v>
      </c>
      <c r="D246" s="4608" t="s">
        <v>3286</v>
      </c>
      <c r="E246" s="4609" t="s">
        <v>6012</v>
      </c>
      <c r="F246" s="4610" t="s">
        <v>6013</v>
      </c>
      <c r="G246" s="4611" t="s">
        <v>611</v>
      </c>
      <c r="H246" s="4612">
        <v>270.60500000000002</v>
      </c>
      <c r="I246" s="4613"/>
      <c r="J246" s="4613">
        <f>ROUND(I246*H246,2)</f>
        <v>0</v>
      </c>
      <c r="K246" s="4610" t="s">
        <v>142</v>
      </c>
      <c r="L246" s="2071"/>
      <c r="M246" s="2190" t="s">
        <v>3146</v>
      </c>
      <c r="N246" s="2163" t="s">
        <v>3181</v>
      </c>
      <c r="O246" s="2191">
        <v>0.499</v>
      </c>
      <c r="P246" s="2191">
        <f>O246*H246</f>
        <v>135.03189500000002</v>
      </c>
      <c r="Q246" s="2191">
        <v>2.7499999999999998E-3</v>
      </c>
      <c r="R246" s="2191">
        <f>Q246*H246</f>
        <v>0.74416375000000001</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6014</v>
      </c>
    </row>
    <row r="247" spans="2:65" s="2209" customFormat="1">
      <c r="B247" s="2210"/>
      <c r="D247" s="2197" t="s">
        <v>3303</v>
      </c>
      <c r="E247" s="2211" t="s">
        <v>3146</v>
      </c>
      <c r="F247" s="2212" t="s">
        <v>6015</v>
      </c>
      <c r="H247" s="2213">
        <v>113.84099999999999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6016</v>
      </c>
      <c r="H248" s="2213">
        <v>69.698999999999998</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6017</v>
      </c>
      <c r="H249" s="2213">
        <v>87.064999999999998</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270.60500000000002</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4608" t="s">
        <v>2917</v>
      </c>
      <c r="D251" s="4608" t="s">
        <v>3286</v>
      </c>
      <c r="E251" s="4609" t="s">
        <v>6018</v>
      </c>
      <c r="F251" s="4610" t="s">
        <v>6019</v>
      </c>
      <c r="G251" s="4611" t="s">
        <v>611</v>
      </c>
      <c r="H251" s="4612">
        <v>270.60500000000002</v>
      </c>
      <c r="I251" s="4613"/>
      <c r="J251" s="4613">
        <f>ROUND(I251*H251,2)</f>
        <v>0</v>
      </c>
      <c r="K251" s="4610" t="s">
        <v>142</v>
      </c>
      <c r="L251" s="2071"/>
      <c r="M251" s="2190" t="s">
        <v>3146</v>
      </c>
      <c r="N251" s="2163" t="s">
        <v>3181</v>
      </c>
      <c r="O251" s="2191">
        <v>0.17</v>
      </c>
      <c r="P251" s="2191">
        <f>O251*H251</f>
        <v>46.002850000000009</v>
      </c>
      <c r="Q251" s="2191">
        <v>0</v>
      </c>
      <c r="R251" s="2191">
        <f>Q251*H251</f>
        <v>0</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6020</v>
      </c>
    </row>
    <row r="252" spans="2:65" s="2070" customFormat="1" ht="24.2" customHeight="1">
      <c r="B252" s="2164"/>
      <c r="C252" s="4608" t="s">
        <v>1220</v>
      </c>
      <c r="D252" s="4608" t="s">
        <v>3286</v>
      </c>
      <c r="E252" s="4609" t="s">
        <v>6021</v>
      </c>
      <c r="F252" s="4610" t="s">
        <v>6022</v>
      </c>
      <c r="G252" s="4611" t="s">
        <v>611</v>
      </c>
      <c r="H252" s="4612">
        <v>183.54</v>
      </c>
      <c r="I252" s="4613"/>
      <c r="J252" s="4613">
        <f>ROUND(I252*H252,2)</f>
        <v>0</v>
      </c>
      <c r="K252" s="4610" t="s">
        <v>142</v>
      </c>
      <c r="L252" s="2071"/>
      <c r="M252" s="2190" t="s">
        <v>3146</v>
      </c>
      <c r="N252" s="2163" t="s">
        <v>3181</v>
      </c>
      <c r="O252" s="2191">
        <v>0.05</v>
      </c>
      <c r="P252" s="2191">
        <f>O252*H252</f>
        <v>9.1769999999999996</v>
      </c>
      <c r="Q252" s="2191">
        <v>2.5000000000000001E-3</v>
      </c>
      <c r="R252" s="2191">
        <f>Q252*H252</f>
        <v>0.45884999999999998</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6023</v>
      </c>
    </row>
    <row r="253" spans="2:65" s="2209" customFormat="1">
      <c r="B253" s="2210"/>
      <c r="D253" s="2197" t="s">
        <v>3303</v>
      </c>
      <c r="E253" s="2211" t="s">
        <v>3146</v>
      </c>
      <c r="F253" s="2212" t="s">
        <v>6015</v>
      </c>
      <c r="H253" s="2213">
        <v>113.84099999999999</v>
      </c>
      <c r="L253" s="2210"/>
      <c r="M253" s="2214"/>
      <c r="T253" s="2215"/>
      <c r="AT253" s="2211" t="s">
        <v>3303</v>
      </c>
      <c r="AU253" s="2211" t="s">
        <v>134</v>
      </c>
      <c r="AV253" s="2209" t="s">
        <v>134</v>
      </c>
      <c r="AW253" s="2209" t="s">
        <v>3171</v>
      </c>
      <c r="AX253" s="2209" t="s">
        <v>3213</v>
      </c>
      <c r="AY253" s="2211" t="s">
        <v>3285</v>
      </c>
    </row>
    <row r="254" spans="2:65" s="2209" customFormat="1">
      <c r="B254" s="2210"/>
      <c r="D254" s="2197" t="s">
        <v>3303</v>
      </c>
      <c r="E254" s="2211" t="s">
        <v>3146</v>
      </c>
      <c r="F254" s="2212" t="s">
        <v>6016</v>
      </c>
      <c r="H254" s="2213">
        <v>69.698999999999998</v>
      </c>
      <c r="L254" s="2210"/>
      <c r="M254" s="2214"/>
      <c r="T254" s="2215"/>
      <c r="AT254" s="2211" t="s">
        <v>3303</v>
      </c>
      <c r="AU254" s="2211" t="s">
        <v>134</v>
      </c>
      <c r="AV254" s="2209" t="s">
        <v>134</v>
      </c>
      <c r="AW254" s="2209" t="s">
        <v>3171</v>
      </c>
      <c r="AX254" s="2209" t="s">
        <v>3213</v>
      </c>
      <c r="AY254" s="2211" t="s">
        <v>3285</v>
      </c>
    </row>
    <row r="255" spans="2:65" s="2216" customFormat="1">
      <c r="B255" s="2217"/>
      <c r="D255" s="2197" t="s">
        <v>3303</v>
      </c>
      <c r="E255" s="2218" t="s">
        <v>3146</v>
      </c>
      <c r="F255" s="2219" t="s">
        <v>3306</v>
      </c>
      <c r="H255" s="2220">
        <v>183.54</v>
      </c>
      <c r="L255" s="2217"/>
      <c r="M255" s="2221"/>
      <c r="T255" s="2222"/>
      <c r="AT255" s="2218" t="s">
        <v>3303</v>
      </c>
      <c r="AU255" s="2218" t="s">
        <v>134</v>
      </c>
      <c r="AV255" s="2216" t="s">
        <v>856</v>
      </c>
      <c r="AW255" s="2216" t="s">
        <v>3171</v>
      </c>
      <c r="AX255" s="2216" t="s">
        <v>133</v>
      </c>
      <c r="AY255" s="2218" t="s">
        <v>3285</v>
      </c>
    </row>
    <row r="256" spans="2:65" s="2070" customFormat="1" ht="16.5" customHeight="1">
      <c r="B256" s="2164"/>
      <c r="C256" s="4608" t="s">
        <v>2358</v>
      </c>
      <c r="D256" s="4608" t="s">
        <v>3286</v>
      </c>
      <c r="E256" s="4609" t="s">
        <v>6024</v>
      </c>
      <c r="F256" s="4610" t="s">
        <v>6025</v>
      </c>
      <c r="G256" s="4611" t="s">
        <v>302</v>
      </c>
      <c r="H256" s="4612">
        <v>2.3879999999999999</v>
      </c>
      <c r="I256" s="4613"/>
      <c r="J256" s="4613">
        <f>ROUND(I256*H256,2)</f>
        <v>0</v>
      </c>
      <c r="K256" s="4610" t="s">
        <v>142</v>
      </c>
      <c r="L256" s="2071"/>
      <c r="M256" s="2190" t="s">
        <v>3146</v>
      </c>
      <c r="N256" s="2163" t="s">
        <v>3181</v>
      </c>
      <c r="O256" s="2191">
        <v>26.431000000000001</v>
      </c>
      <c r="P256" s="2191">
        <f>O256*H256</f>
        <v>63.117227999999997</v>
      </c>
      <c r="Q256" s="2191">
        <v>1.04922</v>
      </c>
      <c r="R256" s="2191">
        <f>Q256*H256</f>
        <v>2.5055373599999999</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6026</v>
      </c>
    </row>
    <row r="257" spans="2:65" s="2209" customFormat="1">
      <c r="B257" s="2210"/>
      <c r="D257" s="2197" t="s">
        <v>3303</v>
      </c>
      <c r="E257" s="2211" t="s">
        <v>3146</v>
      </c>
      <c r="F257" s="2212" t="s">
        <v>6027</v>
      </c>
      <c r="H257" s="2213">
        <v>1.7150000000000001</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6028</v>
      </c>
      <c r="H258" s="2213">
        <v>0.67300000000000004</v>
      </c>
      <c r="L258" s="2210"/>
      <c r="M258" s="2214"/>
      <c r="T258" s="2215"/>
      <c r="AT258" s="2211" t="s">
        <v>3303</v>
      </c>
      <c r="AU258" s="2211" t="s">
        <v>134</v>
      </c>
      <c r="AV258" s="2209" t="s">
        <v>134</v>
      </c>
      <c r="AW258" s="2209" t="s">
        <v>3171</v>
      </c>
      <c r="AX258" s="2209" t="s">
        <v>3213</v>
      </c>
      <c r="AY258" s="2211" t="s">
        <v>3285</v>
      </c>
    </row>
    <row r="259" spans="2:65" s="2216" customFormat="1">
      <c r="B259" s="2217"/>
      <c r="D259" s="2197" t="s">
        <v>3303</v>
      </c>
      <c r="E259" s="2218" t="s">
        <v>3146</v>
      </c>
      <c r="F259" s="2219" t="s">
        <v>3306</v>
      </c>
      <c r="H259" s="2220">
        <v>2.3879999999999999</v>
      </c>
      <c r="L259" s="2217"/>
      <c r="M259" s="2221"/>
      <c r="T259" s="2222"/>
      <c r="AT259" s="2218" t="s">
        <v>3303</v>
      </c>
      <c r="AU259" s="2218" t="s">
        <v>134</v>
      </c>
      <c r="AV259" s="2216" t="s">
        <v>856</v>
      </c>
      <c r="AW259" s="2216" t="s">
        <v>3171</v>
      </c>
      <c r="AX259" s="2216" t="s">
        <v>133</v>
      </c>
      <c r="AY259" s="2218" t="s">
        <v>3285</v>
      </c>
    </row>
    <row r="260" spans="2:65" s="2178" customFormat="1" ht="22.9" customHeight="1">
      <c r="B260" s="2179"/>
      <c r="D260" s="2180" t="s">
        <v>3212</v>
      </c>
      <c r="E260" s="2188" t="s">
        <v>2071</v>
      </c>
      <c r="F260" s="2188" t="s">
        <v>4610</v>
      </c>
      <c r="J260" s="2189">
        <f>BK260</f>
        <v>0</v>
      </c>
      <c r="L260" s="2179"/>
      <c r="M260" s="2183"/>
      <c r="P260" s="2184">
        <f>SUM(P261:P273)</f>
        <v>24.506420000000002</v>
      </c>
      <c r="R260" s="2184">
        <f>SUM(R261:R273)</f>
        <v>3.8965040000000006E-2</v>
      </c>
      <c r="T260" s="2185">
        <f>SUM(T261:T273)</f>
        <v>0</v>
      </c>
      <c r="AR260" s="2180" t="s">
        <v>133</v>
      </c>
      <c r="AT260" s="2186" t="s">
        <v>3212</v>
      </c>
      <c r="AU260" s="2186" t="s">
        <v>133</v>
      </c>
      <c r="AY260" s="2180" t="s">
        <v>3285</v>
      </c>
      <c r="BK260" s="2187">
        <f>SUM(BK261:BK273)</f>
        <v>0</v>
      </c>
    </row>
    <row r="261" spans="2:65" s="2070" customFormat="1" ht="24.2" customHeight="1">
      <c r="B261" s="2164"/>
      <c r="C261" s="4608" t="s">
        <v>2073</v>
      </c>
      <c r="D261" s="4608" t="s">
        <v>3286</v>
      </c>
      <c r="E261" s="4609" t="s">
        <v>6029</v>
      </c>
      <c r="F261" s="4610" t="s">
        <v>6030</v>
      </c>
      <c r="G261" s="4611" t="s">
        <v>611</v>
      </c>
      <c r="H261" s="4612">
        <v>5.5880000000000001</v>
      </c>
      <c r="I261" s="4613"/>
      <c r="J261" s="4613">
        <f>ROUND(I261*H261,2)</f>
        <v>0</v>
      </c>
      <c r="K261" s="4610" t="s">
        <v>142</v>
      </c>
      <c r="L261" s="2071"/>
      <c r="M261" s="2190" t="s">
        <v>3146</v>
      </c>
      <c r="N261" s="2163" t="s">
        <v>3181</v>
      </c>
      <c r="O261" s="2191">
        <v>0.28000000000000003</v>
      </c>
      <c r="P261" s="2191">
        <f>O261*H261</f>
        <v>1.5646400000000003</v>
      </c>
      <c r="Q261" s="2191">
        <v>1.58E-3</v>
      </c>
      <c r="R261" s="2191">
        <f>Q261*H261</f>
        <v>8.8290399999999998E-3</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6031</v>
      </c>
    </row>
    <row r="262" spans="2:65" s="2209" customFormat="1">
      <c r="B262" s="2210"/>
      <c r="D262" s="2197" t="s">
        <v>3303</v>
      </c>
      <c r="E262" s="2211" t="s">
        <v>3146</v>
      </c>
      <c r="F262" s="2212" t="s">
        <v>6032</v>
      </c>
      <c r="H262" s="2213">
        <v>5.5880000000000001</v>
      </c>
      <c r="L262" s="2210"/>
      <c r="M262" s="2214"/>
      <c r="T262" s="2215"/>
      <c r="AT262" s="2211" t="s">
        <v>3303</v>
      </c>
      <c r="AU262" s="2211" t="s">
        <v>134</v>
      </c>
      <c r="AV262" s="2209" t="s">
        <v>134</v>
      </c>
      <c r="AW262" s="2209" t="s">
        <v>3171</v>
      </c>
      <c r="AX262" s="2209" t="s">
        <v>3213</v>
      </c>
      <c r="AY262" s="2211" t="s">
        <v>3285</v>
      </c>
    </row>
    <row r="263" spans="2:65" s="2216" customFormat="1">
      <c r="B263" s="2217"/>
      <c r="D263" s="2197" t="s">
        <v>3303</v>
      </c>
      <c r="E263" s="2218" t="s">
        <v>3146</v>
      </c>
      <c r="F263" s="2219" t="s">
        <v>3306</v>
      </c>
      <c r="H263" s="2220">
        <v>5.5880000000000001</v>
      </c>
      <c r="L263" s="2217"/>
      <c r="M263" s="2221"/>
      <c r="T263" s="2222"/>
      <c r="AT263" s="2218" t="s">
        <v>3303</v>
      </c>
      <c r="AU263" s="2218" t="s">
        <v>134</v>
      </c>
      <c r="AV263" s="2216" t="s">
        <v>856</v>
      </c>
      <c r="AW263" s="2216" t="s">
        <v>3171</v>
      </c>
      <c r="AX263" s="2216" t="s">
        <v>133</v>
      </c>
      <c r="AY263" s="2218" t="s">
        <v>3285</v>
      </c>
    </row>
    <row r="264" spans="2:65" s="2070" customFormat="1" ht="24.2" customHeight="1">
      <c r="B264" s="2164"/>
      <c r="C264" s="4608" t="s">
        <v>2522</v>
      </c>
      <c r="D264" s="4608" t="s">
        <v>3286</v>
      </c>
      <c r="E264" s="4609" t="s">
        <v>6033</v>
      </c>
      <c r="F264" s="4610" t="s">
        <v>6034</v>
      </c>
      <c r="G264" s="4611" t="s">
        <v>141</v>
      </c>
      <c r="H264" s="4612">
        <v>8.4</v>
      </c>
      <c r="I264" s="4613"/>
      <c r="J264" s="4613">
        <f>ROUND(I264*H264,2)</f>
        <v>0</v>
      </c>
      <c r="K264" s="4610" t="s">
        <v>142</v>
      </c>
      <c r="L264" s="2071"/>
      <c r="M264" s="2190" t="s">
        <v>3146</v>
      </c>
      <c r="N264" s="2163" t="s">
        <v>3181</v>
      </c>
      <c r="O264" s="2191">
        <v>1.21</v>
      </c>
      <c r="P264" s="2191">
        <f>O264*H264</f>
        <v>10.164</v>
      </c>
      <c r="Q264" s="2191">
        <v>2.4000000000000001E-4</v>
      </c>
      <c r="R264" s="2191">
        <f>Q264*H264</f>
        <v>2.016E-3</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6035</v>
      </c>
    </row>
    <row r="265" spans="2:65" s="2070" customFormat="1" ht="37.9" customHeight="1">
      <c r="B265" s="2164"/>
      <c r="C265" s="4608" t="s">
        <v>2527</v>
      </c>
      <c r="D265" s="4608" t="s">
        <v>3286</v>
      </c>
      <c r="E265" s="4609" t="s">
        <v>6036</v>
      </c>
      <c r="F265" s="4610" t="s">
        <v>6037</v>
      </c>
      <c r="G265" s="4611" t="s">
        <v>611</v>
      </c>
      <c r="H265" s="4612">
        <v>40</v>
      </c>
      <c r="I265" s="4613"/>
      <c r="J265" s="4613">
        <f>ROUND(I265*H265,2)</f>
        <v>0</v>
      </c>
      <c r="K265" s="4610" t="s">
        <v>142</v>
      </c>
      <c r="L265" s="2071"/>
      <c r="M265" s="2190" t="s">
        <v>3146</v>
      </c>
      <c r="N265" s="2163" t="s">
        <v>3181</v>
      </c>
      <c r="O265" s="2191">
        <v>0.14000000000000001</v>
      </c>
      <c r="P265" s="2191">
        <f>O265*H265</f>
        <v>5.6000000000000005</v>
      </c>
      <c r="Q265" s="2191">
        <v>0</v>
      </c>
      <c r="R265" s="2191">
        <f>Q265*H265</f>
        <v>0</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6038</v>
      </c>
    </row>
    <row r="266" spans="2:65" s="2209" customFormat="1">
      <c r="B266" s="2210"/>
      <c r="D266" s="2197" t="s">
        <v>3303</v>
      </c>
      <c r="E266" s="2211" t="s">
        <v>3146</v>
      </c>
      <c r="F266" s="2212" t="s">
        <v>6039</v>
      </c>
      <c r="H266" s="2213">
        <v>20</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2212" t="s">
        <v>6039</v>
      </c>
      <c r="H267" s="2213">
        <v>20</v>
      </c>
      <c r="L267" s="2210"/>
      <c r="M267" s="2214"/>
      <c r="T267" s="2215"/>
      <c r="AT267" s="2211" t="s">
        <v>3303</v>
      </c>
      <c r="AU267" s="2211" t="s">
        <v>134</v>
      </c>
      <c r="AV267" s="2209" t="s">
        <v>134</v>
      </c>
      <c r="AW267" s="2209" t="s">
        <v>3171</v>
      </c>
      <c r="AX267" s="2209" t="s">
        <v>3213</v>
      </c>
      <c r="AY267" s="2211" t="s">
        <v>3285</v>
      </c>
    </row>
    <row r="268" spans="2:65" s="2216" customFormat="1">
      <c r="B268" s="2217"/>
      <c r="D268" s="2197" t="s">
        <v>3303</v>
      </c>
      <c r="E268" s="2218" t="s">
        <v>3146</v>
      </c>
      <c r="F268" s="2219" t="s">
        <v>3306</v>
      </c>
      <c r="H268" s="2220">
        <v>40</v>
      </c>
      <c r="L268" s="2217"/>
      <c r="M268" s="2221"/>
      <c r="T268" s="2222"/>
      <c r="AT268" s="2218" t="s">
        <v>3303</v>
      </c>
      <c r="AU268" s="2218" t="s">
        <v>134</v>
      </c>
      <c r="AV268" s="2216" t="s">
        <v>856</v>
      </c>
      <c r="AW268" s="2216" t="s">
        <v>3171</v>
      </c>
      <c r="AX268" s="2216" t="s">
        <v>133</v>
      </c>
      <c r="AY268" s="2218" t="s">
        <v>3285</v>
      </c>
    </row>
    <row r="269" spans="2:65" s="2070" customFormat="1" ht="33" customHeight="1">
      <c r="B269" s="2164"/>
      <c r="C269" s="4608" t="s">
        <v>637</v>
      </c>
      <c r="D269" s="4608" t="s">
        <v>3286</v>
      </c>
      <c r="E269" s="4609" t="s">
        <v>6040</v>
      </c>
      <c r="F269" s="4610" t="s">
        <v>6041</v>
      </c>
      <c r="G269" s="4611" t="s">
        <v>611</v>
      </c>
      <c r="H269" s="4612">
        <v>40</v>
      </c>
      <c r="I269" s="4613"/>
      <c r="J269" s="4613">
        <f>ROUND(I269*H269,2)</f>
        <v>0</v>
      </c>
      <c r="K269" s="4610" t="s">
        <v>142</v>
      </c>
      <c r="L269" s="2071"/>
      <c r="M269" s="2190" t="s">
        <v>3146</v>
      </c>
      <c r="N269" s="2163" t="s">
        <v>3181</v>
      </c>
      <c r="O269" s="2191">
        <v>0</v>
      </c>
      <c r="P269" s="2191">
        <f>O269*H269</f>
        <v>0</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6042</v>
      </c>
    </row>
    <row r="270" spans="2:65" s="2070" customFormat="1" ht="37.9" customHeight="1">
      <c r="B270" s="2164"/>
      <c r="C270" s="4608" t="s">
        <v>2366</v>
      </c>
      <c r="D270" s="4608" t="s">
        <v>3286</v>
      </c>
      <c r="E270" s="4609" t="s">
        <v>6043</v>
      </c>
      <c r="F270" s="4610" t="s">
        <v>6044</v>
      </c>
      <c r="G270" s="4611" t="s">
        <v>611</v>
      </c>
      <c r="H270" s="4612">
        <v>40</v>
      </c>
      <c r="I270" s="4613"/>
      <c r="J270" s="4613">
        <f>ROUND(I270*H270,2)</f>
        <v>0</v>
      </c>
      <c r="K270" s="4610" t="s">
        <v>142</v>
      </c>
      <c r="L270" s="2071"/>
      <c r="M270" s="2190" t="s">
        <v>3146</v>
      </c>
      <c r="N270" s="2163" t="s">
        <v>3181</v>
      </c>
      <c r="O270" s="2191">
        <v>8.6999999999999994E-2</v>
      </c>
      <c r="P270" s="2191">
        <f>O270*H270</f>
        <v>3.4799999999999995</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6045</v>
      </c>
    </row>
    <row r="271" spans="2:65" s="2070" customFormat="1" ht="24.2" customHeight="1">
      <c r="B271" s="2164"/>
      <c r="C271" s="4608" t="s">
        <v>3382</v>
      </c>
      <c r="D271" s="4608" t="s">
        <v>3286</v>
      </c>
      <c r="E271" s="4609" t="s">
        <v>6046</v>
      </c>
      <c r="F271" s="4610" t="s">
        <v>6047</v>
      </c>
      <c r="G271" s="4611" t="s">
        <v>141</v>
      </c>
      <c r="H271" s="4612">
        <v>14.06</v>
      </c>
      <c r="I271" s="4613"/>
      <c r="J271" s="4613">
        <f>ROUND(I271*H271,2)</f>
        <v>0</v>
      </c>
      <c r="K271" s="4610" t="s">
        <v>142</v>
      </c>
      <c r="L271" s="2071"/>
      <c r="M271" s="2190" t="s">
        <v>3146</v>
      </c>
      <c r="N271" s="2163" t="s">
        <v>3181</v>
      </c>
      <c r="O271" s="2191">
        <v>0.26300000000000001</v>
      </c>
      <c r="P271" s="2191">
        <f>O271*H271</f>
        <v>3.6977800000000003</v>
      </c>
      <c r="Q271" s="2191">
        <v>2E-3</v>
      </c>
      <c r="R271" s="2191">
        <f>Q271*H271</f>
        <v>2.8120000000000003E-2</v>
      </c>
      <c r="S271" s="2191">
        <v>0</v>
      </c>
      <c r="T271" s="2192">
        <f>S271*H271</f>
        <v>0</v>
      </c>
      <c r="AR271" s="2193" t="s">
        <v>856</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856</v>
      </c>
      <c r="BM271" s="2193" t="s">
        <v>6048</v>
      </c>
    </row>
    <row r="272" spans="2:65" s="2209" customFormat="1">
      <c r="B272" s="2210"/>
      <c r="D272" s="2197" t="s">
        <v>3303</v>
      </c>
      <c r="E272" s="2211" t="s">
        <v>3146</v>
      </c>
      <c r="F272" s="2212" t="s">
        <v>6049</v>
      </c>
      <c r="H272" s="2213">
        <v>14.06</v>
      </c>
      <c r="L272" s="2210"/>
      <c r="M272" s="2214"/>
      <c r="T272" s="2215"/>
      <c r="AT272" s="2211" t="s">
        <v>3303</v>
      </c>
      <c r="AU272" s="2211" t="s">
        <v>134</v>
      </c>
      <c r="AV272" s="2209" t="s">
        <v>134</v>
      </c>
      <c r="AW272" s="2209" t="s">
        <v>3171</v>
      </c>
      <c r="AX272" s="2209" t="s">
        <v>3213</v>
      </c>
      <c r="AY272" s="2211" t="s">
        <v>3285</v>
      </c>
    </row>
    <row r="273" spans="2:65" s="2216" customFormat="1">
      <c r="B273" s="2217"/>
      <c r="D273" s="2197" t="s">
        <v>3303</v>
      </c>
      <c r="E273" s="2218" t="s">
        <v>3146</v>
      </c>
      <c r="F273" s="2219" t="s">
        <v>3306</v>
      </c>
      <c r="H273" s="2220">
        <v>14.06</v>
      </c>
      <c r="L273" s="2217"/>
      <c r="M273" s="2221"/>
      <c r="T273" s="2222"/>
      <c r="AT273" s="2218" t="s">
        <v>3303</v>
      </c>
      <c r="AU273" s="2218" t="s">
        <v>134</v>
      </c>
      <c r="AV273" s="2216" t="s">
        <v>856</v>
      </c>
      <c r="AW273" s="2216" t="s">
        <v>3171</v>
      </c>
      <c r="AX273" s="2216" t="s">
        <v>133</v>
      </c>
      <c r="AY273" s="2218" t="s">
        <v>3285</v>
      </c>
    </row>
    <row r="274" spans="2:65" s="2178" customFormat="1" ht="22.9" customHeight="1">
      <c r="B274" s="2179"/>
      <c r="D274" s="2180" t="s">
        <v>3212</v>
      </c>
      <c r="E274" s="2188" t="s">
        <v>3923</v>
      </c>
      <c r="F274" s="2188" t="s">
        <v>988</v>
      </c>
      <c r="J274" s="2189">
        <f>BK274</f>
        <v>0</v>
      </c>
      <c r="L274" s="2179"/>
      <c r="M274" s="2183"/>
      <c r="P274" s="2184">
        <f>P275</f>
        <v>232.55195899999998</v>
      </c>
      <c r="R274" s="2184">
        <f>R275</f>
        <v>0</v>
      </c>
      <c r="T274" s="2185">
        <f>T275</f>
        <v>0</v>
      </c>
      <c r="AR274" s="2180" t="s">
        <v>133</v>
      </c>
      <c r="AT274" s="2186" t="s">
        <v>3212</v>
      </c>
      <c r="AU274" s="2186" t="s">
        <v>133</v>
      </c>
      <c r="AY274" s="2180" t="s">
        <v>3285</v>
      </c>
      <c r="BK274" s="2187">
        <f>BK275</f>
        <v>0</v>
      </c>
    </row>
    <row r="275" spans="2:65" s="2070" customFormat="1" ht="16.5" customHeight="1">
      <c r="B275" s="2164"/>
      <c r="C275" s="5561" t="s">
        <v>3386</v>
      </c>
      <c r="D275" s="4608" t="s">
        <v>3286</v>
      </c>
      <c r="E275" s="4609" t="s">
        <v>6050</v>
      </c>
      <c r="F275" s="4610" t="s">
        <v>6051</v>
      </c>
      <c r="G275" s="4611" t="s">
        <v>302</v>
      </c>
      <c r="H275" s="5568">
        <v>333.64699999999999</v>
      </c>
      <c r="I275" s="4613"/>
      <c r="J275" s="4613">
        <f>ROUND(I275*H275,2)</f>
        <v>0</v>
      </c>
      <c r="K275" s="4610" t="s">
        <v>142</v>
      </c>
      <c r="L275" s="2071"/>
      <c r="M275" s="2190" t="s">
        <v>3146</v>
      </c>
      <c r="N275" s="2163" t="s">
        <v>3181</v>
      </c>
      <c r="O275" s="2191">
        <v>0.69699999999999995</v>
      </c>
      <c r="P275" s="2191">
        <f>O275*H275</f>
        <v>232.55195899999998</v>
      </c>
      <c r="Q275" s="2191">
        <v>0</v>
      </c>
      <c r="R275" s="2191">
        <f>Q275*H275</f>
        <v>0</v>
      </c>
      <c r="S275" s="2191">
        <v>0</v>
      </c>
      <c r="T275" s="2192">
        <f>S275*H275</f>
        <v>0</v>
      </c>
      <c r="AR275" s="2193" t="s">
        <v>856</v>
      </c>
      <c r="AT275" s="2193" t="s">
        <v>3286</v>
      </c>
      <c r="AU275" s="2193" t="s">
        <v>134</v>
      </c>
      <c r="AY275" s="2056" t="s">
        <v>3285</v>
      </c>
      <c r="BE275" s="2194">
        <f>IF(N275="základní",J275,0)</f>
        <v>0</v>
      </c>
      <c r="BF275" s="2194">
        <f>IF(N275="snížená",J275,0)</f>
        <v>0</v>
      </c>
      <c r="BG275" s="2194">
        <f>IF(N275="zákl. přenesená",J275,0)</f>
        <v>0</v>
      </c>
      <c r="BH275" s="2194">
        <f>IF(N275="sníž. přenesená",J275,0)</f>
        <v>0</v>
      </c>
      <c r="BI275" s="2194">
        <f>IF(N275="nulová",J275,0)</f>
        <v>0</v>
      </c>
      <c r="BJ275" s="2056" t="s">
        <v>134</v>
      </c>
      <c r="BK275" s="2194">
        <f>ROUND(I275*H275,2)</f>
        <v>0</v>
      </c>
      <c r="BL275" s="2056" t="s">
        <v>856</v>
      </c>
      <c r="BM275" s="2193" t="s">
        <v>6052</v>
      </c>
    </row>
    <row r="276" spans="2:65" s="2178" customFormat="1" ht="25.9" customHeight="1">
      <c r="B276" s="2179"/>
      <c r="D276" s="2180" t="s">
        <v>3212</v>
      </c>
      <c r="E276" s="2181" t="s">
        <v>995</v>
      </c>
      <c r="F276" s="2181" t="s">
        <v>996</v>
      </c>
      <c r="J276" s="2182">
        <f>BK276</f>
        <v>0</v>
      </c>
      <c r="L276" s="2179"/>
      <c r="M276" s="2183"/>
      <c r="P276" s="2184">
        <f>P277+P302</f>
        <v>136.35720000000001</v>
      </c>
      <c r="R276" s="2184">
        <f>R277+R302</f>
        <v>1.9592620799999996</v>
      </c>
      <c r="T276" s="2185">
        <f>T277+T302</f>
        <v>0</v>
      </c>
      <c r="AR276" s="2180" t="s">
        <v>134</v>
      </c>
      <c r="AT276" s="2186" t="s">
        <v>3212</v>
      </c>
      <c r="AU276" s="2186" t="s">
        <v>3213</v>
      </c>
      <c r="AY276" s="2180" t="s">
        <v>3285</v>
      </c>
      <c r="BK276" s="2187">
        <f>BK277+BK302</f>
        <v>0</v>
      </c>
    </row>
    <row r="277" spans="2:65" s="2178" customFormat="1" ht="22.9" customHeight="1">
      <c r="B277" s="2179"/>
      <c r="D277" s="2180" t="s">
        <v>3212</v>
      </c>
      <c r="E277" s="2188" t="s">
        <v>1873</v>
      </c>
      <c r="F277" s="2188" t="s">
        <v>1874</v>
      </c>
      <c r="J277" s="2189">
        <f>BK277</f>
        <v>0</v>
      </c>
      <c r="L277" s="2179"/>
      <c r="M277" s="2183"/>
      <c r="P277" s="2184">
        <f>SUM(P278:P301)</f>
        <v>115.870248</v>
      </c>
      <c r="R277" s="2184">
        <f>SUM(R278:R301)</f>
        <v>1.9080446999999996</v>
      </c>
      <c r="T277" s="2185">
        <f>SUM(T278:T301)</f>
        <v>0</v>
      </c>
      <c r="AR277" s="2180" t="s">
        <v>134</v>
      </c>
      <c r="AT277" s="2186" t="s">
        <v>3212</v>
      </c>
      <c r="AU277" s="2186" t="s">
        <v>133</v>
      </c>
      <c r="AY277" s="2180" t="s">
        <v>3285</v>
      </c>
      <c r="BK277" s="2187">
        <f>SUM(BK278:BK301)</f>
        <v>0</v>
      </c>
    </row>
    <row r="278" spans="2:65" s="2070" customFormat="1" ht="24.2" customHeight="1">
      <c r="B278" s="2164"/>
      <c r="C278" s="4608" t="s">
        <v>3389</v>
      </c>
      <c r="D278" s="4608" t="s">
        <v>3286</v>
      </c>
      <c r="E278" s="4609" t="s">
        <v>6053</v>
      </c>
      <c r="F278" s="4610" t="s">
        <v>6054</v>
      </c>
      <c r="G278" s="4611" t="s">
        <v>611</v>
      </c>
      <c r="H278" s="4612">
        <v>87.834999999999994</v>
      </c>
      <c r="I278" s="4613"/>
      <c r="J278" s="4613">
        <f>ROUND(I278*H278,2)</f>
        <v>0</v>
      </c>
      <c r="K278" s="4610" t="s">
        <v>142</v>
      </c>
      <c r="L278" s="2071"/>
      <c r="M278" s="2190" t="s">
        <v>3146</v>
      </c>
      <c r="N278" s="2163" t="s">
        <v>3181</v>
      </c>
      <c r="O278" s="2191">
        <v>2.4E-2</v>
      </c>
      <c r="P278" s="2191">
        <f>O278*H278</f>
        <v>2.1080399999999999</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6055</v>
      </c>
    </row>
    <row r="279" spans="2:65" s="2209" customFormat="1">
      <c r="B279" s="2210"/>
      <c r="D279" s="2197" t="s">
        <v>3303</v>
      </c>
      <c r="E279" s="2211" t="s">
        <v>3146</v>
      </c>
      <c r="F279" s="2212" t="s">
        <v>6056</v>
      </c>
      <c r="H279" s="2213">
        <v>35.055</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2212" t="s">
        <v>6057</v>
      </c>
      <c r="H280" s="2213">
        <v>52.78</v>
      </c>
      <c r="L280" s="2210"/>
      <c r="M280" s="2214"/>
      <c r="T280" s="2215"/>
      <c r="AT280" s="2211" t="s">
        <v>3303</v>
      </c>
      <c r="AU280" s="2211" t="s">
        <v>134</v>
      </c>
      <c r="AV280" s="2209" t="s">
        <v>134</v>
      </c>
      <c r="AW280" s="2209" t="s">
        <v>3171</v>
      </c>
      <c r="AX280" s="2209" t="s">
        <v>3213</v>
      </c>
      <c r="AY280" s="2211" t="s">
        <v>3285</v>
      </c>
    </row>
    <row r="281" spans="2:65" s="2216" customFormat="1">
      <c r="B281" s="2217"/>
      <c r="D281" s="2197" t="s">
        <v>3303</v>
      </c>
      <c r="E281" s="2218" t="s">
        <v>3146</v>
      </c>
      <c r="F281" s="2219" t="s">
        <v>3306</v>
      </c>
      <c r="H281" s="2220">
        <v>87.834999999999994</v>
      </c>
      <c r="L281" s="2217"/>
      <c r="M281" s="2221"/>
      <c r="T281" s="2222"/>
      <c r="AT281" s="2218" t="s">
        <v>3303</v>
      </c>
      <c r="AU281" s="2218" t="s">
        <v>134</v>
      </c>
      <c r="AV281" s="2216" t="s">
        <v>856</v>
      </c>
      <c r="AW281" s="2216" t="s">
        <v>3171</v>
      </c>
      <c r="AX281" s="2216" t="s">
        <v>133</v>
      </c>
      <c r="AY281" s="2218" t="s">
        <v>3285</v>
      </c>
    </row>
    <row r="282" spans="2:65" s="2070" customFormat="1" ht="16.5" customHeight="1">
      <c r="B282" s="2164"/>
      <c r="C282" s="4614" t="s">
        <v>3395</v>
      </c>
      <c r="D282" s="4614" t="s">
        <v>135</v>
      </c>
      <c r="E282" s="4615" t="s">
        <v>4695</v>
      </c>
      <c r="F282" s="4616" t="s">
        <v>4696</v>
      </c>
      <c r="G282" s="4617" t="s">
        <v>302</v>
      </c>
      <c r="H282" s="4618">
        <v>2.5999999999999999E-2</v>
      </c>
      <c r="I282" s="4619"/>
      <c r="J282" s="4619">
        <f>ROUND(I282*H282,2)</f>
        <v>0</v>
      </c>
      <c r="K282" s="4616" t="s">
        <v>142</v>
      </c>
      <c r="L282" s="2223"/>
      <c r="M282" s="2224" t="s">
        <v>3146</v>
      </c>
      <c r="N282" s="2225" t="s">
        <v>3181</v>
      </c>
      <c r="O282" s="2191">
        <v>0</v>
      </c>
      <c r="P282" s="2191">
        <f>O282*H282</f>
        <v>0</v>
      </c>
      <c r="Q282" s="2191">
        <v>1</v>
      </c>
      <c r="R282" s="2191">
        <f>Q282*H282</f>
        <v>2.5999999999999999E-2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6058</v>
      </c>
    </row>
    <row r="283" spans="2:65" s="2209" customFormat="1">
      <c r="B283" s="2210"/>
      <c r="D283" s="2197" t="s">
        <v>3303</v>
      </c>
      <c r="F283" s="2212" t="s">
        <v>6059</v>
      </c>
      <c r="H283" s="2213">
        <v>2.5999999999999999E-2</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3399</v>
      </c>
      <c r="D284" s="4608" t="s">
        <v>3286</v>
      </c>
      <c r="E284" s="4609" t="s">
        <v>6060</v>
      </c>
      <c r="F284" s="4610" t="s">
        <v>6061</v>
      </c>
      <c r="G284" s="4611" t="s">
        <v>611</v>
      </c>
      <c r="H284" s="4612">
        <v>184.36199999999999</v>
      </c>
      <c r="I284" s="4613"/>
      <c r="J284" s="4613">
        <f>ROUND(I284*H284,2)</f>
        <v>0</v>
      </c>
      <c r="K284" s="4610" t="s">
        <v>142</v>
      </c>
      <c r="L284" s="2071"/>
      <c r="M284" s="2190" t="s">
        <v>3146</v>
      </c>
      <c r="N284" s="2163" t="s">
        <v>3181</v>
      </c>
      <c r="O284" s="2191">
        <v>5.3999999999999999E-2</v>
      </c>
      <c r="P284" s="2191">
        <f>O284*H284</f>
        <v>9.9555480000000003</v>
      </c>
      <c r="Q284" s="2191">
        <v>0</v>
      </c>
      <c r="R284" s="2191">
        <f>Q284*H284</f>
        <v>0</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6062</v>
      </c>
    </row>
    <row r="285" spans="2:65" s="2209" customFormat="1">
      <c r="B285" s="2210"/>
      <c r="D285" s="2197" t="s">
        <v>3303</v>
      </c>
      <c r="E285" s="2211" t="s">
        <v>3146</v>
      </c>
      <c r="F285" s="2212" t="s">
        <v>6063</v>
      </c>
      <c r="H285" s="2213">
        <v>126.202</v>
      </c>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2212" t="s">
        <v>6064</v>
      </c>
      <c r="H286" s="2213">
        <v>58.16</v>
      </c>
      <c r="L286" s="2210"/>
      <c r="M286" s="2214"/>
      <c r="T286" s="2215"/>
      <c r="AT286" s="2211" t="s">
        <v>3303</v>
      </c>
      <c r="AU286" s="2211" t="s">
        <v>134</v>
      </c>
      <c r="AV286" s="2209" t="s">
        <v>134</v>
      </c>
      <c r="AW286" s="2209" t="s">
        <v>3171</v>
      </c>
      <c r="AX286" s="2209" t="s">
        <v>3213</v>
      </c>
      <c r="AY286" s="2211" t="s">
        <v>3285</v>
      </c>
    </row>
    <row r="287" spans="2:65" s="2216" customFormat="1">
      <c r="B287" s="2217"/>
      <c r="D287" s="2197" t="s">
        <v>3303</v>
      </c>
      <c r="E287" s="2218" t="s">
        <v>3146</v>
      </c>
      <c r="F287" s="2219" t="s">
        <v>3306</v>
      </c>
      <c r="H287" s="2220">
        <v>184.36199999999999</v>
      </c>
      <c r="L287" s="2217"/>
      <c r="M287" s="2221"/>
      <c r="T287" s="2222"/>
      <c r="AT287" s="2218" t="s">
        <v>3303</v>
      </c>
      <c r="AU287" s="2218" t="s">
        <v>134</v>
      </c>
      <c r="AV287" s="2216" t="s">
        <v>856</v>
      </c>
      <c r="AW287" s="2216" t="s">
        <v>3171</v>
      </c>
      <c r="AX287" s="2216" t="s">
        <v>133</v>
      </c>
      <c r="AY287" s="2218" t="s">
        <v>3285</v>
      </c>
    </row>
    <row r="288" spans="2:65" s="2070" customFormat="1" ht="16.5" customHeight="1">
      <c r="B288" s="2164"/>
      <c r="C288" s="4614" t="s">
        <v>2152</v>
      </c>
      <c r="D288" s="4614" t="s">
        <v>135</v>
      </c>
      <c r="E288" s="4615" t="s">
        <v>4695</v>
      </c>
      <c r="F288" s="4616" t="s">
        <v>4696</v>
      </c>
      <c r="G288" s="4617" t="s">
        <v>302</v>
      </c>
      <c r="H288" s="4618">
        <v>6.3E-2</v>
      </c>
      <c r="I288" s="4619"/>
      <c r="J288" s="4619">
        <f>ROUND(I288*H288,2)</f>
        <v>0</v>
      </c>
      <c r="K288" s="4616" t="s">
        <v>142</v>
      </c>
      <c r="L288" s="2223"/>
      <c r="M288" s="2224" t="s">
        <v>3146</v>
      </c>
      <c r="N288" s="2225" t="s">
        <v>3181</v>
      </c>
      <c r="O288" s="2191">
        <v>0</v>
      </c>
      <c r="P288" s="2191">
        <f>O288*H288</f>
        <v>0</v>
      </c>
      <c r="Q288" s="2191">
        <v>1</v>
      </c>
      <c r="R288" s="2191">
        <f>Q288*H288</f>
        <v>6.3E-2</v>
      </c>
      <c r="S288" s="2191">
        <v>0</v>
      </c>
      <c r="T288" s="2192">
        <f>S288*H288</f>
        <v>0</v>
      </c>
      <c r="AR288" s="2193" t="s">
        <v>3389</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6065</v>
      </c>
    </row>
    <row r="289" spans="2:65" s="2209" customFormat="1">
      <c r="B289" s="2210"/>
      <c r="D289" s="2197" t="s">
        <v>3303</v>
      </c>
      <c r="F289" s="2212" t="s">
        <v>6066</v>
      </c>
      <c r="H289" s="2213">
        <v>6.3E-2</v>
      </c>
      <c r="L289" s="2210"/>
      <c r="M289" s="2214"/>
      <c r="T289" s="2215"/>
      <c r="AT289" s="2211" t="s">
        <v>3303</v>
      </c>
      <c r="AU289" s="2211" t="s">
        <v>134</v>
      </c>
      <c r="AV289" s="2209" t="s">
        <v>134</v>
      </c>
      <c r="AW289" s="2209" t="s">
        <v>3148</v>
      </c>
      <c r="AX289" s="2209" t="s">
        <v>133</v>
      </c>
      <c r="AY289" s="2211" t="s">
        <v>3285</v>
      </c>
    </row>
    <row r="290" spans="2:65" s="2070" customFormat="1" ht="24.2" customHeight="1">
      <c r="B290" s="2164"/>
      <c r="C290" s="4608" t="s">
        <v>2569</v>
      </c>
      <c r="D290" s="4608" t="s">
        <v>3286</v>
      </c>
      <c r="E290" s="4609" t="s">
        <v>6067</v>
      </c>
      <c r="F290" s="4610" t="s">
        <v>6068</v>
      </c>
      <c r="G290" s="4611" t="s">
        <v>611</v>
      </c>
      <c r="H290" s="4612">
        <v>87.834999999999994</v>
      </c>
      <c r="I290" s="4613"/>
      <c r="J290" s="4613">
        <f>ROUND(I290*H290,2)</f>
        <v>0</v>
      </c>
      <c r="K290" s="4610" t="s">
        <v>142</v>
      </c>
      <c r="L290" s="2071"/>
      <c r="M290" s="2190" t="s">
        <v>3146</v>
      </c>
      <c r="N290" s="2163" t="s">
        <v>3181</v>
      </c>
      <c r="O290" s="2191">
        <v>0.222</v>
      </c>
      <c r="P290" s="2191">
        <f>O290*H290</f>
        <v>19.499369999999999</v>
      </c>
      <c r="Q290" s="2191">
        <v>4.0000000000000002E-4</v>
      </c>
      <c r="R290" s="2191">
        <f>Q290*H290</f>
        <v>3.5133999999999999E-2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6069</v>
      </c>
    </row>
    <row r="291" spans="2:65" s="2209" customFormat="1">
      <c r="B291" s="2210"/>
      <c r="D291" s="2197" t="s">
        <v>3303</v>
      </c>
      <c r="E291" s="2211" t="s">
        <v>3146</v>
      </c>
      <c r="F291" s="2212" t="s">
        <v>6056</v>
      </c>
      <c r="H291" s="2213">
        <v>35.055</v>
      </c>
      <c r="L291" s="2210"/>
      <c r="M291" s="2214"/>
      <c r="T291" s="2215"/>
      <c r="AT291" s="2211" t="s">
        <v>3303</v>
      </c>
      <c r="AU291" s="2211" t="s">
        <v>134</v>
      </c>
      <c r="AV291" s="2209" t="s">
        <v>134</v>
      </c>
      <c r="AW291" s="2209" t="s">
        <v>3171</v>
      </c>
      <c r="AX291" s="2209" t="s">
        <v>3213</v>
      </c>
      <c r="AY291" s="2211" t="s">
        <v>3285</v>
      </c>
    </row>
    <row r="292" spans="2:65" s="2209" customFormat="1">
      <c r="B292" s="2210"/>
      <c r="D292" s="2197" t="s">
        <v>3303</v>
      </c>
      <c r="E292" s="2211" t="s">
        <v>3146</v>
      </c>
      <c r="F292" s="2212" t="s">
        <v>6057</v>
      </c>
      <c r="H292" s="2213">
        <v>52.78</v>
      </c>
      <c r="L292" s="2210"/>
      <c r="M292" s="2214"/>
      <c r="T292" s="2215"/>
      <c r="AT292" s="2211" t="s">
        <v>3303</v>
      </c>
      <c r="AU292" s="2211" t="s">
        <v>134</v>
      </c>
      <c r="AV292" s="2209" t="s">
        <v>134</v>
      </c>
      <c r="AW292" s="2209" t="s">
        <v>3171</v>
      </c>
      <c r="AX292" s="2209" t="s">
        <v>3213</v>
      </c>
      <c r="AY292" s="2211" t="s">
        <v>3285</v>
      </c>
    </row>
    <row r="293" spans="2:65" s="2216" customFormat="1">
      <c r="B293" s="2217"/>
      <c r="D293" s="2197" t="s">
        <v>3303</v>
      </c>
      <c r="E293" s="2218" t="s">
        <v>3146</v>
      </c>
      <c r="F293" s="2219" t="s">
        <v>3306</v>
      </c>
      <c r="H293" s="2220">
        <v>87.834999999999994</v>
      </c>
      <c r="L293" s="2217"/>
      <c r="M293" s="2221"/>
      <c r="T293" s="2222"/>
      <c r="AT293" s="2218" t="s">
        <v>3303</v>
      </c>
      <c r="AU293" s="2218" t="s">
        <v>134</v>
      </c>
      <c r="AV293" s="2216" t="s">
        <v>856</v>
      </c>
      <c r="AW293" s="2216" t="s">
        <v>3171</v>
      </c>
      <c r="AX293" s="2216" t="s">
        <v>133</v>
      </c>
      <c r="AY293" s="2218" t="s">
        <v>3285</v>
      </c>
    </row>
    <row r="294" spans="2:65" s="2070" customFormat="1" ht="37.9" customHeight="1">
      <c r="B294" s="2164"/>
      <c r="C294" s="4614" t="s">
        <v>2583</v>
      </c>
      <c r="D294" s="4614" t="s">
        <v>135</v>
      </c>
      <c r="E294" s="4615" t="s">
        <v>6070</v>
      </c>
      <c r="F294" s="4616" t="s">
        <v>6071</v>
      </c>
      <c r="G294" s="4617" t="s">
        <v>611</v>
      </c>
      <c r="H294" s="4618">
        <v>102.372</v>
      </c>
      <c r="I294" s="4619"/>
      <c r="J294" s="4619">
        <f>ROUND(I294*H294,2)</f>
        <v>0</v>
      </c>
      <c r="K294" s="4616" t="s">
        <v>142</v>
      </c>
      <c r="L294" s="2223"/>
      <c r="M294" s="2224" t="s">
        <v>3146</v>
      </c>
      <c r="N294" s="2225" t="s">
        <v>3181</v>
      </c>
      <c r="O294" s="2191">
        <v>0</v>
      </c>
      <c r="P294" s="2191">
        <f>O294*H294</f>
        <v>0</v>
      </c>
      <c r="Q294" s="2191">
        <v>4.7999999999999996E-3</v>
      </c>
      <c r="R294" s="2191">
        <f>Q294*H294</f>
        <v>0.49138559999999998</v>
      </c>
      <c r="S294" s="2191">
        <v>0</v>
      </c>
      <c r="T294" s="2192">
        <f>S294*H294</f>
        <v>0</v>
      </c>
      <c r="AR294" s="2193" t="s">
        <v>3389</v>
      </c>
      <c r="AT294" s="2193" t="s">
        <v>135</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6072</v>
      </c>
    </row>
    <row r="295" spans="2:65" s="2209" customFormat="1">
      <c r="B295" s="2210"/>
      <c r="D295" s="2197" t="s">
        <v>3303</v>
      </c>
      <c r="F295" s="2212" t="s">
        <v>6073</v>
      </c>
      <c r="H295" s="2213">
        <v>102.372</v>
      </c>
      <c r="L295" s="2210"/>
      <c r="M295" s="2214"/>
      <c r="T295" s="2215"/>
      <c r="AT295" s="2211" t="s">
        <v>3303</v>
      </c>
      <c r="AU295" s="2211" t="s">
        <v>134</v>
      </c>
      <c r="AV295" s="2209" t="s">
        <v>134</v>
      </c>
      <c r="AW295" s="2209" t="s">
        <v>3148</v>
      </c>
      <c r="AX295" s="2209" t="s">
        <v>133</v>
      </c>
      <c r="AY295" s="2211" t="s">
        <v>3285</v>
      </c>
    </row>
    <row r="296" spans="2:65" s="2070" customFormat="1" ht="24.2" customHeight="1">
      <c r="B296" s="2164"/>
      <c r="C296" s="4608" t="s">
        <v>685</v>
      </c>
      <c r="D296" s="4608" t="s">
        <v>3286</v>
      </c>
      <c r="E296" s="4609" t="s">
        <v>6074</v>
      </c>
      <c r="F296" s="4610" t="s">
        <v>6075</v>
      </c>
      <c r="G296" s="4611" t="s">
        <v>611</v>
      </c>
      <c r="H296" s="4612">
        <v>184.36199999999999</v>
      </c>
      <c r="I296" s="4613"/>
      <c r="J296" s="4613">
        <f>ROUND(I296*H296,2)</f>
        <v>0</v>
      </c>
      <c r="K296" s="4610" t="s">
        <v>142</v>
      </c>
      <c r="L296" s="2071"/>
      <c r="M296" s="2190" t="s">
        <v>3146</v>
      </c>
      <c r="N296" s="2163" t="s">
        <v>3181</v>
      </c>
      <c r="O296" s="2191">
        <v>0.26</v>
      </c>
      <c r="P296" s="2191">
        <f>O296*H296</f>
        <v>47.93412</v>
      </c>
      <c r="Q296" s="2191">
        <v>4.0000000000000002E-4</v>
      </c>
      <c r="R296" s="2191">
        <f>Q296*H296</f>
        <v>7.3744799999999999E-2</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6076</v>
      </c>
    </row>
    <row r="297" spans="2:65" s="2070" customFormat="1" ht="37.9" customHeight="1">
      <c r="B297" s="2164"/>
      <c r="C297" s="4614" t="s">
        <v>2605</v>
      </c>
      <c r="D297" s="4614" t="s">
        <v>135</v>
      </c>
      <c r="E297" s="4615" t="s">
        <v>6070</v>
      </c>
      <c r="F297" s="4616" t="s">
        <v>6071</v>
      </c>
      <c r="G297" s="4617" t="s">
        <v>611</v>
      </c>
      <c r="H297" s="4618">
        <v>225.10599999999999</v>
      </c>
      <c r="I297" s="4619"/>
      <c r="J297" s="4619">
        <f>ROUND(I297*H297,2)</f>
        <v>0</v>
      </c>
      <c r="K297" s="4616" t="s">
        <v>142</v>
      </c>
      <c r="L297" s="2223"/>
      <c r="M297" s="2224" t="s">
        <v>3146</v>
      </c>
      <c r="N297" s="2225" t="s">
        <v>3181</v>
      </c>
      <c r="O297" s="2191">
        <v>0</v>
      </c>
      <c r="P297" s="2191">
        <f>O297*H297</f>
        <v>0</v>
      </c>
      <c r="Q297" s="2191">
        <v>4.7999999999999996E-3</v>
      </c>
      <c r="R297" s="2191">
        <f>Q297*H297</f>
        <v>1.0805087999999998</v>
      </c>
      <c r="S297" s="2191">
        <v>0</v>
      </c>
      <c r="T297" s="2192">
        <f>S297*H297</f>
        <v>0</v>
      </c>
      <c r="AR297" s="2193" t="s">
        <v>3389</v>
      </c>
      <c r="AT297" s="2193" t="s">
        <v>135</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6077</v>
      </c>
    </row>
    <row r="298" spans="2:65" s="2209" customFormat="1">
      <c r="B298" s="2210"/>
      <c r="D298" s="2197" t="s">
        <v>3303</v>
      </c>
      <c r="F298" s="2212" t="s">
        <v>6078</v>
      </c>
      <c r="H298" s="2213">
        <v>225.10599999999999</v>
      </c>
      <c r="L298" s="2210"/>
      <c r="M298" s="2214"/>
      <c r="T298" s="2215"/>
      <c r="AT298" s="2211" t="s">
        <v>3303</v>
      </c>
      <c r="AU298" s="2211" t="s">
        <v>134</v>
      </c>
      <c r="AV298" s="2209" t="s">
        <v>134</v>
      </c>
      <c r="AW298" s="2209" t="s">
        <v>3148</v>
      </c>
      <c r="AX298" s="2209" t="s">
        <v>133</v>
      </c>
      <c r="AY298" s="2211" t="s">
        <v>3285</v>
      </c>
    </row>
    <row r="299" spans="2:65" s="2070" customFormat="1" ht="33" customHeight="1">
      <c r="B299" s="2164"/>
      <c r="C299" s="4608" t="s">
        <v>2616</v>
      </c>
      <c r="D299" s="4608" t="s">
        <v>3286</v>
      </c>
      <c r="E299" s="4609" t="s">
        <v>6079</v>
      </c>
      <c r="F299" s="4610" t="s">
        <v>6080</v>
      </c>
      <c r="G299" s="4611" t="s">
        <v>611</v>
      </c>
      <c r="H299" s="4612">
        <v>184.36199999999999</v>
      </c>
      <c r="I299" s="4613"/>
      <c r="J299" s="4613">
        <f>ROUND(I299*H299,2)</f>
        <v>0</v>
      </c>
      <c r="K299" s="4610" t="s">
        <v>142</v>
      </c>
      <c r="L299" s="2071"/>
      <c r="M299" s="2190" t="s">
        <v>3146</v>
      </c>
      <c r="N299" s="2163" t="s">
        <v>3181</v>
      </c>
      <c r="O299" s="2191">
        <v>0.16700000000000001</v>
      </c>
      <c r="P299" s="2191">
        <f>O299*H299</f>
        <v>30.788454000000002</v>
      </c>
      <c r="Q299" s="2191">
        <v>7.5000000000000002E-4</v>
      </c>
      <c r="R299" s="2191">
        <f>Q299*H299</f>
        <v>0.13827149999999999</v>
      </c>
      <c r="S299" s="2191">
        <v>0</v>
      </c>
      <c r="T299" s="2192">
        <f>S299*H299</f>
        <v>0</v>
      </c>
      <c r="AR299" s="2193" t="s">
        <v>2894</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2894</v>
      </c>
      <c r="BM299" s="2193" t="s">
        <v>6081</v>
      </c>
    </row>
    <row r="300" spans="2:65" s="2070" customFormat="1" ht="24.2" customHeight="1">
      <c r="B300" s="2164"/>
      <c r="C300" s="4608" t="s">
        <v>3424</v>
      </c>
      <c r="D300" s="4608" t="s">
        <v>3286</v>
      </c>
      <c r="E300" s="4609" t="s">
        <v>4002</v>
      </c>
      <c r="F300" s="4610" t="s">
        <v>4003</v>
      </c>
      <c r="G300" s="4611" t="s">
        <v>302</v>
      </c>
      <c r="H300" s="4612">
        <v>1.9079999999999999</v>
      </c>
      <c r="I300" s="4613"/>
      <c r="J300" s="4613">
        <f>ROUND(I300*H300,2)</f>
        <v>0</v>
      </c>
      <c r="K300" s="4610" t="s">
        <v>142</v>
      </c>
      <c r="L300" s="2071"/>
      <c r="M300" s="2190" t="s">
        <v>3146</v>
      </c>
      <c r="N300" s="2163" t="s">
        <v>3181</v>
      </c>
      <c r="O300" s="2191">
        <v>1.5669999999999999</v>
      </c>
      <c r="P300" s="2191">
        <f>O300*H300</f>
        <v>2.9898359999999999</v>
      </c>
      <c r="Q300" s="2191">
        <v>0</v>
      </c>
      <c r="R300" s="2191">
        <f>Q300*H300</f>
        <v>0</v>
      </c>
      <c r="S300" s="2191">
        <v>0</v>
      </c>
      <c r="T300" s="2192">
        <f>S300*H300</f>
        <v>0</v>
      </c>
      <c r="AR300" s="2193" t="s">
        <v>2894</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2894</v>
      </c>
      <c r="BM300" s="2193" t="s">
        <v>6082</v>
      </c>
    </row>
    <row r="301" spans="2:65" s="2070" customFormat="1" ht="24.2" customHeight="1">
      <c r="B301" s="2164"/>
      <c r="C301" s="4608" t="s">
        <v>2645</v>
      </c>
      <c r="D301" s="4608" t="s">
        <v>3286</v>
      </c>
      <c r="E301" s="4609" t="s">
        <v>4006</v>
      </c>
      <c r="F301" s="4610" t="s">
        <v>4007</v>
      </c>
      <c r="G301" s="4611" t="s">
        <v>302</v>
      </c>
      <c r="H301" s="4612">
        <v>1.9079999999999999</v>
      </c>
      <c r="I301" s="4613"/>
      <c r="J301" s="4613">
        <f>ROUND(I301*H301,2)</f>
        <v>0</v>
      </c>
      <c r="K301" s="4610" t="s">
        <v>142</v>
      </c>
      <c r="L301" s="2071"/>
      <c r="M301" s="2190" t="s">
        <v>3146</v>
      </c>
      <c r="N301" s="2163" t="s">
        <v>3181</v>
      </c>
      <c r="O301" s="2191">
        <v>1.36</v>
      </c>
      <c r="P301" s="2191">
        <f>O301*H301</f>
        <v>2.5948799999999999</v>
      </c>
      <c r="Q301" s="2191">
        <v>0</v>
      </c>
      <c r="R301" s="2191">
        <f>Q301*H301</f>
        <v>0</v>
      </c>
      <c r="S301" s="2191">
        <v>0</v>
      </c>
      <c r="T301" s="2192">
        <f>S301*H301</f>
        <v>0</v>
      </c>
      <c r="AR301" s="2193" t="s">
        <v>2894</v>
      </c>
      <c r="AT301" s="2193" t="s">
        <v>3286</v>
      </c>
      <c r="AU301" s="2193" t="s">
        <v>134</v>
      </c>
      <c r="AY301" s="2056" t="s">
        <v>3285</v>
      </c>
      <c r="BE301" s="2194">
        <f>IF(N301="základní",J301,0)</f>
        <v>0</v>
      </c>
      <c r="BF301" s="2194">
        <f>IF(N301="snížená",J301,0)</f>
        <v>0</v>
      </c>
      <c r="BG301" s="2194">
        <f>IF(N301="zákl. přenesená",J301,0)</f>
        <v>0</v>
      </c>
      <c r="BH301" s="2194">
        <f>IF(N301="sníž. přenesená",J301,0)</f>
        <v>0</v>
      </c>
      <c r="BI301" s="2194">
        <f>IF(N301="nulová",J301,0)</f>
        <v>0</v>
      </c>
      <c r="BJ301" s="2056" t="s">
        <v>134</v>
      </c>
      <c r="BK301" s="2194">
        <f>ROUND(I301*H301,2)</f>
        <v>0</v>
      </c>
      <c r="BL301" s="2056" t="s">
        <v>2894</v>
      </c>
      <c r="BM301" s="2193" t="s">
        <v>6083</v>
      </c>
    </row>
    <row r="302" spans="2:65" s="2178" customFormat="1" ht="22.9" customHeight="1">
      <c r="B302" s="2179"/>
      <c r="D302" s="2180" t="s">
        <v>3212</v>
      </c>
      <c r="E302" s="2188" t="s">
        <v>4167</v>
      </c>
      <c r="F302" s="2188" t="s">
        <v>4168</v>
      </c>
      <c r="J302" s="2189">
        <f>BK302</f>
        <v>0</v>
      </c>
      <c r="L302" s="2179"/>
      <c r="M302" s="2183"/>
      <c r="P302" s="2184">
        <f>SUM(P303:P319)</f>
        <v>20.486951999999999</v>
      </c>
      <c r="R302" s="2184">
        <f>SUM(R303:R319)</f>
        <v>5.121738E-2</v>
      </c>
      <c r="T302" s="2185">
        <f>SUM(T303:T319)</f>
        <v>0</v>
      </c>
      <c r="AR302" s="2180" t="s">
        <v>134</v>
      </c>
      <c r="AT302" s="2186" t="s">
        <v>3212</v>
      </c>
      <c r="AU302" s="2186" t="s">
        <v>133</v>
      </c>
      <c r="AY302" s="2180" t="s">
        <v>3285</v>
      </c>
      <c r="BK302" s="2187">
        <f>SUM(BK303:BK319)</f>
        <v>0</v>
      </c>
    </row>
    <row r="303" spans="2:65" s="2070" customFormat="1" ht="24.2" customHeight="1">
      <c r="B303" s="2164"/>
      <c r="C303" s="4608" t="s">
        <v>2653</v>
      </c>
      <c r="D303" s="4608" t="s">
        <v>3286</v>
      </c>
      <c r="E303" s="4609" t="s">
        <v>6084</v>
      </c>
      <c r="F303" s="4610" t="s">
        <v>6085</v>
      </c>
      <c r="G303" s="4611" t="s">
        <v>611</v>
      </c>
      <c r="H303" s="4612">
        <v>189.69399999999999</v>
      </c>
      <c r="I303" s="4613"/>
      <c r="J303" s="4613">
        <f>ROUND(I303*H303,2)</f>
        <v>0</v>
      </c>
      <c r="K303" s="4610" t="s">
        <v>142</v>
      </c>
      <c r="L303" s="2071"/>
      <c r="M303" s="2190" t="s">
        <v>3146</v>
      </c>
      <c r="N303" s="2163" t="s">
        <v>3181</v>
      </c>
      <c r="O303" s="2191">
        <v>0.108</v>
      </c>
      <c r="P303" s="2191">
        <f>O303*H303</f>
        <v>20.486951999999999</v>
      </c>
      <c r="Q303" s="2191">
        <v>2.7E-4</v>
      </c>
      <c r="R303" s="2191">
        <f>Q303*H303</f>
        <v>5.121738E-2</v>
      </c>
      <c r="S303" s="2191">
        <v>0</v>
      </c>
      <c r="T303" s="2192">
        <f>S303*H303</f>
        <v>0</v>
      </c>
      <c r="AR303" s="2193" t="s">
        <v>2894</v>
      </c>
      <c r="AT303" s="2193" t="s">
        <v>3286</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6086</v>
      </c>
    </row>
    <row r="304" spans="2:65" s="2209" customFormat="1">
      <c r="B304" s="2210"/>
      <c r="D304" s="2197" t="s">
        <v>3303</v>
      </c>
      <c r="E304" s="2211" t="s">
        <v>3146</v>
      </c>
      <c r="F304" s="2212" t="s">
        <v>6087</v>
      </c>
      <c r="H304" s="2213">
        <v>15.936999999999999</v>
      </c>
      <c r="L304" s="2210"/>
      <c r="M304" s="2214"/>
      <c r="T304" s="2215"/>
      <c r="AT304" s="2211" t="s">
        <v>3303</v>
      </c>
      <c r="AU304" s="2211" t="s">
        <v>134</v>
      </c>
      <c r="AV304" s="2209" t="s">
        <v>134</v>
      </c>
      <c r="AW304" s="2209" t="s">
        <v>3171</v>
      </c>
      <c r="AX304" s="2209" t="s">
        <v>3213</v>
      </c>
      <c r="AY304" s="2211" t="s">
        <v>3285</v>
      </c>
    </row>
    <row r="305" spans="2:51" s="2209" customFormat="1">
      <c r="B305" s="2210"/>
      <c r="D305" s="2197" t="s">
        <v>3303</v>
      </c>
      <c r="E305" s="2211" t="s">
        <v>3146</v>
      </c>
      <c r="F305" s="2212" t="s">
        <v>6088</v>
      </c>
      <c r="H305" s="2213">
        <v>33.558</v>
      </c>
      <c r="L305" s="2210"/>
      <c r="M305" s="2214"/>
      <c r="T305" s="2215"/>
      <c r="AT305" s="2211" t="s">
        <v>3303</v>
      </c>
      <c r="AU305" s="2211" t="s">
        <v>134</v>
      </c>
      <c r="AV305" s="2209" t="s">
        <v>134</v>
      </c>
      <c r="AW305" s="2209" t="s">
        <v>3171</v>
      </c>
      <c r="AX305" s="2209" t="s">
        <v>3213</v>
      </c>
      <c r="AY305" s="2211" t="s">
        <v>3285</v>
      </c>
    </row>
    <row r="306" spans="2:51" s="2209" customFormat="1">
      <c r="B306" s="2210"/>
      <c r="D306" s="2197" t="s">
        <v>3303</v>
      </c>
      <c r="E306" s="2211" t="s">
        <v>3146</v>
      </c>
      <c r="F306" s="2212" t="s">
        <v>6089</v>
      </c>
      <c r="H306" s="2213">
        <v>42.116</v>
      </c>
      <c r="L306" s="2210"/>
      <c r="M306" s="2214"/>
      <c r="T306" s="2215"/>
      <c r="AT306" s="2211" t="s">
        <v>3303</v>
      </c>
      <c r="AU306" s="2211" t="s">
        <v>134</v>
      </c>
      <c r="AV306" s="2209" t="s">
        <v>134</v>
      </c>
      <c r="AW306" s="2209" t="s">
        <v>3171</v>
      </c>
      <c r="AX306" s="2209" t="s">
        <v>3213</v>
      </c>
      <c r="AY306" s="2211" t="s">
        <v>3285</v>
      </c>
    </row>
    <row r="307" spans="2:51" s="2209" customFormat="1">
      <c r="B307" s="2210"/>
      <c r="D307" s="2197" t="s">
        <v>3303</v>
      </c>
      <c r="E307" s="2211" t="s">
        <v>3146</v>
      </c>
      <c r="F307" s="2212" t="s">
        <v>6090</v>
      </c>
      <c r="H307" s="2213">
        <v>10.397</v>
      </c>
      <c r="L307" s="2210"/>
      <c r="M307" s="2214"/>
      <c r="T307" s="2215"/>
      <c r="AT307" s="2211" t="s">
        <v>3303</v>
      </c>
      <c r="AU307" s="2211" t="s">
        <v>134</v>
      </c>
      <c r="AV307" s="2209" t="s">
        <v>134</v>
      </c>
      <c r="AW307" s="2209" t="s">
        <v>3171</v>
      </c>
      <c r="AX307" s="2209" t="s">
        <v>3213</v>
      </c>
      <c r="AY307" s="2211" t="s">
        <v>3285</v>
      </c>
    </row>
    <row r="308" spans="2:51" s="2209" customFormat="1">
      <c r="B308" s="2210"/>
      <c r="D308" s="2197" t="s">
        <v>3303</v>
      </c>
      <c r="E308" s="2211" t="s">
        <v>3146</v>
      </c>
      <c r="F308" s="2212" t="s">
        <v>6091</v>
      </c>
      <c r="H308" s="2213">
        <v>5.593</v>
      </c>
      <c r="L308" s="2210"/>
      <c r="M308" s="2214"/>
      <c r="T308" s="2215"/>
      <c r="AT308" s="2211" t="s">
        <v>3303</v>
      </c>
      <c r="AU308" s="2211" t="s">
        <v>134</v>
      </c>
      <c r="AV308" s="2209" t="s">
        <v>134</v>
      </c>
      <c r="AW308" s="2209" t="s">
        <v>3171</v>
      </c>
      <c r="AX308" s="2209" t="s">
        <v>3213</v>
      </c>
      <c r="AY308" s="2211" t="s">
        <v>3285</v>
      </c>
    </row>
    <row r="309" spans="2:51" s="2209" customFormat="1">
      <c r="B309" s="2210"/>
      <c r="D309" s="2197" t="s">
        <v>3303</v>
      </c>
      <c r="E309" s="2211" t="s">
        <v>3146</v>
      </c>
      <c r="F309" s="2212" t="s">
        <v>6092</v>
      </c>
      <c r="H309" s="2213">
        <v>2.04</v>
      </c>
      <c r="L309" s="2210"/>
      <c r="M309" s="2214"/>
      <c r="T309" s="2215"/>
      <c r="AT309" s="2211" t="s">
        <v>3303</v>
      </c>
      <c r="AU309" s="2211" t="s">
        <v>134</v>
      </c>
      <c r="AV309" s="2209" t="s">
        <v>134</v>
      </c>
      <c r="AW309" s="2209" t="s">
        <v>3171</v>
      </c>
      <c r="AX309" s="2209" t="s">
        <v>3213</v>
      </c>
      <c r="AY309" s="2211" t="s">
        <v>3285</v>
      </c>
    </row>
    <row r="310" spans="2:51" s="2209" customFormat="1">
      <c r="B310" s="2210"/>
      <c r="D310" s="2197" t="s">
        <v>3303</v>
      </c>
      <c r="E310" s="2211" t="s">
        <v>3146</v>
      </c>
      <c r="F310" s="2212" t="s">
        <v>6093</v>
      </c>
      <c r="H310" s="2213">
        <v>7.4610000000000003</v>
      </c>
      <c r="L310" s="2210"/>
      <c r="M310" s="2214"/>
      <c r="T310" s="2215"/>
      <c r="AT310" s="2211" t="s">
        <v>3303</v>
      </c>
      <c r="AU310" s="2211" t="s">
        <v>134</v>
      </c>
      <c r="AV310" s="2209" t="s">
        <v>134</v>
      </c>
      <c r="AW310" s="2209" t="s">
        <v>3171</v>
      </c>
      <c r="AX310" s="2209" t="s">
        <v>3213</v>
      </c>
      <c r="AY310" s="2211" t="s">
        <v>3285</v>
      </c>
    </row>
    <row r="311" spans="2:51" s="2202" customFormat="1">
      <c r="B311" s="2203"/>
      <c r="D311" s="2197" t="s">
        <v>3303</v>
      </c>
      <c r="E311" s="2204" t="s">
        <v>3146</v>
      </c>
      <c r="F311" s="2205" t="s">
        <v>3305</v>
      </c>
      <c r="H311" s="2206">
        <v>117.102</v>
      </c>
      <c r="L311" s="2203"/>
      <c r="M311" s="2207"/>
      <c r="T311" s="2208"/>
      <c r="AT311" s="2204" t="s">
        <v>3303</v>
      </c>
      <c r="AU311" s="2204" t="s">
        <v>134</v>
      </c>
      <c r="AV311" s="2202" t="s">
        <v>854</v>
      </c>
      <c r="AW311" s="2202" t="s">
        <v>3171</v>
      </c>
      <c r="AX311" s="2202" t="s">
        <v>3213</v>
      </c>
      <c r="AY311" s="2204" t="s">
        <v>3285</v>
      </c>
    </row>
    <row r="312" spans="2:51" s="2209" customFormat="1">
      <c r="B312" s="2210"/>
      <c r="D312" s="2197" t="s">
        <v>3303</v>
      </c>
      <c r="E312" s="2211" t="s">
        <v>3146</v>
      </c>
      <c r="F312" s="2212" t="s">
        <v>6094</v>
      </c>
      <c r="H312" s="2213">
        <v>14.76</v>
      </c>
      <c r="L312" s="2210"/>
      <c r="M312" s="2214"/>
      <c r="T312" s="2215"/>
      <c r="AT312" s="2211" t="s">
        <v>3303</v>
      </c>
      <c r="AU312" s="2211" t="s">
        <v>134</v>
      </c>
      <c r="AV312" s="2209" t="s">
        <v>134</v>
      </c>
      <c r="AW312" s="2209" t="s">
        <v>3171</v>
      </c>
      <c r="AX312" s="2209" t="s">
        <v>3213</v>
      </c>
      <c r="AY312" s="2211" t="s">
        <v>3285</v>
      </c>
    </row>
    <row r="313" spans="2:51" s="2209" customFormat="1">
      <c r="B313" s="2210"/>
      <c r="D313" s="2197" t="s">
        <v>3303</v>
      </c>
      <c r="E313" s="2211" t="s">
        <v>3146</v>
      </c>
      <c r="F313" s="2212" t="s">
        <v>6095</v>
      </c>
      <c r="H313" s="2213">
        <v>26.866</v>
      </c>
      <c r="L313" s="2210"/>
      <c r="M313" s="2214"/>
      <c r="T313" s="2215"/>
      <c r="AT313" s="2211" t="s">
        <v>3303</v>
      </c>
      <c r="AU313" s="2211" t="s">
        <v>134</v>
      </c>
      <c r="AV313" s="2209" t="s">
        <v>134</v>
      </c>
      <c r="AW313" s="2209" t="s">
        <v>3171</v>
      </c>
      <c r="AX313" s="2209" t="s">
        <v>3213</v>
      </c>
      <c r="AY313" s="2211" t="s">
        <v>3285</v>
      </c>
    </row>
    <row r="314" spans="2:51" s="2209" customFormat="1">
      <c r="B314" s="2210"/>
      <c r="D314" s="2197" t="s">
        <v>3303</v>
      </c>
      <c r="E314" s="2211" t="s">
        <v>3146</v>
      </c>
      <c r="F314" s="2212" t="s">
        <v>6096</v>
      </c>
      <c r="H314" s="2213">
        <v>10.01</v>
      </c>
      <c r="L314" s="2210"/>
      <c r="M314" s="2214"/>
      <c r="T314" s="2215"/>
      <c r="AT314" s="2211" t="s">
        <v>3303</v>
      </c>
      <c r="AU314" s="2211" t="s">
        <v>134</v>
      </c>
      <c r="AV314" s="2209" t="s">
        <v>134</v>
      </c>
      <c r="AW314" s="2209" t="s">
        <v>3171</v>
      </c>
      <c r="AX314" s="2209" t="s">
        <v>3213</v>
      </c>
      <c r="AY314" s="2211" t="s">
        <v>3285</v>
      </c>
    </row>
    <row r="315" spans="2:51" s="2209" customFormat="1">
      <c r="B315" s="2210"/>
      <c r="D315" s="2197" t="s">
        <v>3303</v>
      </c>
      <c r="E315" s="2211" t="s">
        <v>3146</v>
      </c>
      <c r="F315" s="2212" t="s">
        <v>6097</v>
      </c>
      <c r="H315" s="2213">
        <v>13.760999999999999</v>
      </c>
      <c r="L315" s="2210"/>
      <c r="M315" s="2214"/>
      <c r="T315" s="2215"/>
      <c r="AT315" s="2211" t="s">
        <v>3303</v>
      </c>
      <c r="AU315" s="2211" t="s">
        <v>134</v>
      </c>
      <c r="AV315" s="2209" t="s">
        <v>134</v>
      </c>
      <c r="AW315" s="2209" t="s">
        <v>3171</v>
      </c>
      <c r="AX315" s="2209" t="s">
        <v>3213</v>
      </c>
      <c r="AY315" s="2211" t="s">
        <v>3285</v>
      </c>
    </row>
    <row r="316" spans="2:51" s="2209" customFormat="1">
      <c r="B316" s="2210"/>
      <c r="D316" s="2197" t="s">
        <v>3303</v>
      </c>
      <c r="E316" s="2211" t="s">
        <v>3146</v>
      </c>
      <c r="F316" s="2212" t="s">
        <v>6098</v>
      </c>
      <c r="H316" s="2213">
        <v>1.66</v>
      </c>
      <c r="L316" s="2210"/>
      <c r="M316" s="2214"/>
      <c r="T316" s="2215"/>
      <c r="AT316" s="2211" t="s">
        <v>3303</v>
      </c>
      <c r="AU316" s="2211" t="s">
        <v>134</v>
      </c>
      <c r="AV316" s="2209" t="s">
        <v>134</v>
      </c>
      <c r="AW316" s="2209" t="s">
        <v>3171</v>
      </c>
      <c r="AX316" s="2209" t="s">
        <v>3213</v>
      </c>
      <c r="AY316" s="2211" t="s">
        <v>3285</v>
      </c>
    </row>
    <row r="317" spans="2:51" s="2209" customFormat="1">
      <c r="B317" s="2210"/>
      <c r="D317" s="2197" t="s">
        <v>3303</v>
      </c>
      <c r="E317" s="2211" t="s">
        <v>3146</v>
      </c>
      <c r="F317" s="2212" t="s">
        <v>6099</v>
      </c>
      <c r="H317" s="2213">
        <v>5.5350000000000001</v>
      </c>
      <c r="L317" s="2210"/>
      <c r="M317" s="2214"/>
      <c r="T317" s="2215"/>
      <c r="AT317" s="2211" t="s">
        <v>3303</v>
      </c>
      <c r="AU317" s="2211" t="s">
        <v>134</v>
      </c>
      <c r="AV317" s="2209" t="s">
        <v>134</v>
      </c>
      <c r="AW317" s="2209" t="s">
        <v>3171</v>
      </c>
      <c r="AX317" s="2209" t="s">
        <v>3213</v>
      </c>
      <c r="AY317" s="2211" t="s">
        <v>3285</v>
      </c>
    </row>
    <row r="318" spans="2:51" s="2202" customFormat="1">
      <c r="B318" s="2203"/>
      <c r="D318" s="2197" t="s">
        <v>3303</v>
      </c>
      <c r="E318" s="2204" t="s">
        <v>3146</v>
      </c>
      <c r="F318" s="2205" t="s">
        <v>3305</v>
      </c>
      <c r="H318" s="2206">
        <v>72.591999999999999</v>
      </c>
      <c r="L318" s="2203"/>
      <c r="M318" s="2207"/>
      <c r="T318" s="2208"/>
      <c r="AT318" s="2204" t="s">
        <v>3303</v>
      </c>
      <c r="AU318" s="2204" t="s">
        <v>134</v>
      </c>
      <c r="AV318" s="2202" t="s">
        <v>854</v>
      </c>
      <c r="AW318" s="2202" t="s">
        <v>3171</v>
      </c>
      <c r="AX318" s="2202" t="s">
        <v>3213</v>
      </c>
      <c r="AY318" s="2204" t="s">
        <v>3285</v>
      </c>
    </row>
    <row r="319" spans="2:51" s="2216" customFormat="1">
      <c r="B319" s="2217"/>
      <c r="D319" s="2197" t="s">
        <v>3303</v>
      </c>
      <c r="E319" s="2218" t="s">
        <v>3146</v>
      </c>
      <c r="F319" s="2219" t="s">
        <v>3306</v>
      </c>
      <c r="H319" s="2220">
        <v>189.69399999999999</v>
      </c>
      <c r="L319" s="2217"/>
      <c r="M319" s="2234"/>
      <c r="N319" s="2235"/>
      <c r="O319" s="2235"/>
      <c r="P319" s="2235"/>
      <c r="Q319" s="2235"/>
      <c r="R319" s="2235"/>
      <c r="S319" s="2235"/>
      <c r="T319" s="2236"/>
      <c r="AT319" s="2218" t="s">
        <v>3303</v>
      </c>
      <c r="AU319" s="2218" t="s">
        <v>134</v>
      </c>
      <c r="AV319" s="2216" t="s">
        <v>856</v>
      </c>
      <c r="AW319" s="2216" t="s">
        <v>3171</v>
      </c>
      <c r="AX319" s="2216" t="s">
        <v>133</v>
      </c>
      <c r="AY319" s="2218" t="s">
        <v>3285</v>
      </c>
    </row>
    <row r="320" spans="2:51" s="2070" customFormat="1" ht="6.95" customHeight="1">
      <c r="B320" s="2084"/>
      <c r="C320" s="2085"/>
      <c r="D320" s="2085"/>
      <c r="E320" s="2085"/>
      <c r="F320" s="2085"/>
      <c r="G320" s="2085"/>
      <c r="H320" s="2085"/>
      <c r="I320" s="2085"/>
      <c r="J320" s="2085"/>
      <c r="K320" s="2085"/>
      <c r="L320" s="2071"/>
    </row>
  </sheetData>
  <autoFilter ref="C132:K319" xr:uid="{00000000-0009-0000-0000-000005000000}"/>
  <mergeCells count="11">
    <mergeCell ref="D109:F109"/>
    <mergeCell ref="D110:F110"/>
    <mergeCell ref="D111:F111"/>
    <mergeCell ref="E123:H123"/>
    <mergeCell ref="E125:H125"/>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671" t="s">
        <v>10718</v>
      </c>
      <c r="M2" s="5672"/>
      <c r="N2" s="5672"/>
      <c r="O2" s="5672"/>
      <c r="P2" s="5672"/>
      <c r="Q2" s="5672"/>
      <c r="R2" s="5672"/>
      <c r="S2" s="5672"/>
      <c r="T2" s="5672"/>
      <c r="U2" s="5672"/>
      <c r="V2" s="5672"/>
      <c r="AT2" s="2056" t="s">
        <v>10721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13" t="str">
        <f>'Rekapitulace stavby'!K6</f>
        <v>Dostavba domova pro seniory ve Vrchlabí - PD</v>
      </c>
      <c r="F7" s="5714"/>
      <c r="G7" s="5714"/>
      <c r="H7" s="5714"/>
      <c r="L7" s="2059"/>
    </row>
    <row r="8" spans="2:46" s="2070" customFormat="1" ht="12" customHeight="1">
      <c r="B8" s="2071"/>
      <c r="D8" s="2065" t="s">
        <v>3239</v>
      </c>
      <c r="L8" s="2071"/>
    </row>
    <row r="9" spans="2:46" s="2070" customFormat="1" ht="16.5" customHeight="1">
      <c r="B9" s="2071"/>
      <c r="E9" s="5692" t="s">
        <v>11566</v>
      </c>
      <c r="F9" s="5712"/>
      <c r="G9" s="5712"/>
      <c r="H9" s="5712"/>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675" t="s">
        <v>3146</v>
      </c>
      <c r="F27" s="5675"/>
      <c r="G27" s="5675"/>
      <c r="H27" s="5675"/>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13" t="str">
        <f>E7</f>
        <v>Dostavba domova pro seniory ve Vrchlabí - PD</v>
      </c>
      <c r="F85" s="5714"/>
      <c r="G85" s="5714"/>
      <c r="H85" s="5714"/>
      <c r="L85" s="2071"/>
    </row>
    <row r="86" spans="2:47" s="2070" customFormat="1" ht="12" customHeight="1">
      <c r="B86" s="2071"/>
      <c r="C86" s="2065" t="s">
        <v>3239</v>
      </c>
      <c r="L86" s="2071"/>
    </row>
    <row r="87" spans="2:47" s="2070" customFormat="1" ht="16.5" customHeight="1">
      <c r="B87" s="2071"/>
      <c r="E87" s="5692" t="str">
        <f>E9</f>
        <v>01.5 - Náklady související se stávajícím objektem</v>
      </c>
      <c r="F87" s="5712"/>
      <c r="G87" s="5712"/>
      <c r="H87" s="5712"/>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715" t="s">
        <v>24</v>
      </c>
      <c r="E101" s="5715"/>
      <c r="F101" s="5715"/>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715" t="s">
        <v>25</v>
      </c>
      <c r="E102" s="5715"/>
      <c r="F102" s="5715"/>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715" t="s">
        <v>3272</v>
      </c>
      <c r="E103" s="5715"/>
      <c r="F103" s="5715"/>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713" t="str">
        <f>E7</f>
        <v>Dostavba domova pro seniory ve Vrchlabí - PD</v>
      </c>
      <c r="F115" s="5714"/>
      <c r="G115" s="5714"/>
      <c r="H115" s="5714"/>
      <c r="L115" s="2071"/>
    </row>
    <row r="116" spans="2:65" s="2070" customFormat="1" ht="12" customHeight="1">
      <c r="B116" s="2071"/>
      <c r="C116" s="2065" t="s">
        <v>3239</v>
      </c>
      <c r="L116" s="2071"/>
    </row>
    <row r="117" spans="2:65" s="2070" customFormat="1" ht="16.5" customHeight="1">
      <c r="B117" s="2071"/>
      <c r="E117" s="5692" t="str">
        <f>E9</f>
        <v>01.5 - Náklady související se stávajícím objektem</v>
      </c>
      <c r="F117" s="5712"/>
      <c r="G117" s="5712"/>
      <c r="H117" s="5712"/>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3902</v>
      </c>
      <c r="F127" s="4610" t="s">
        <v>3903</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11567</v>
      </c>
    </row>
    <row r="128" spans="2:65" s="2070" customFormat="1" ht="13.5" customHeight="1">
      <c r="B128" s="2164"/>
      <c r="C128" s="5561"/>
      <c r="D128" s="4608"/>
      <c r="E128" s="4609"/>
      <c r="F128" s="5563" t="s">
        <v>11640</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86.5" customHeight="1">
      <c r="B129" s="2164"/>
      <c r="C129" s="5561"/>
      <c r="D129" s="4608"/>
      <c r="E129" s="4609"/>
      <c r="F129" s="5563" t="s">
        <v>11707</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39.5" customHeight="1">
      <c r="B130" s="2164"/>
      <c r="C130" s="5561"/>
      <c r="D130" s="4608"/>
      <c r="E130" s="4609"/>
      <c r="F130" s="5563" t="s">
        <v>11708</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D101:F101"/>
    <mergeCell ref="D102:F102"/>
    <mergeCell ref="D103:F103"/>
    <mergeCell ref="E115:H115"/>
    <mergeCell ref="E117:H117"/>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6100</v>
      </c>
      <c r="H4" s="2059"/>
    </row>
    <row r="5" spans="2:8" ht="12" customHeight="1">
      <c r="B5" s="2059"/>
      <c r="C5" s="2062" t="s">
        <v>3154</v>
      </c>
      <c r="D5" s="5675" t="s">
        <v>3155</v>
      </c>
      <c r="E5" s="5672"/>
      <c r="F5" s="5672"/>
      <c r="H5" s="2059"/>
    </row>
    <row r="6" spans="2:8" ht="36.950000000000003" customHeight="1">
      <c r="B6" s="2059"/>
      <c r="C6" s="2064" t="s">
        <v>3156</v>
      </c>
      <c r="D6" s="5674" t="s">
        <v>3157</v>
      </c>
      <c r="E6" s="5672"/>
      <c r="F6" s="5672"/>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6101</v>
      </c>
      <c r="H9" s="2170"/>
    </row>
    <row r="10" spans="2:8" s="2070" customFormat="1" ht="26.45" customHeight="1">
      <c r="B10" s="2071"/>
      <c r="C10" s="2237" t="s">
        <v>6102</v>
      </c>
      <c r="D10" s="2237" t="s">
        <v>3223</v>
      </c>
      <c r="H10" s="2071"/>
    </row>
    <row r="11" spans="2:8" s="2070" customFormat="1" ht="16.899999999999999" customHeight="1">
      <c r="B11" s="2071"/>
      <c r="C11" s="2238" t="s">
        <v>4261</v>
      </c>
      <c r="D11" s="2239" t="s">
        <v>4262</v>
      </c>
      <c r="E11" s="2240" t="s">
        <v>611</v>
      </c>
      <c r="F11" s="2241">
        <v>314.14600000000002</v>
      </c>
      <c r="H11" s="2071"/>
    </row>
    <row r="12" spans="2:8" s="2070" customFormat="1" ht="16.899999999999999" customHeight="1">
      <c r="B12" s="2071"/>
      <c r="C12" s="2242" t="s">
        <v>3146</v>
      </c>
      <c r="D12" s="2242" t="s">
        <v>3517</v>
      </c>
      <c r="E12" s="2056" t="s">
        <v>3146</v>
      </c>
      <c r="F12" s="2243">
        <v>0</v>
      </c>
      <c r="H12" s="2071"/>
    </row>
    <row r="13" spans="2:8" s="2070" customFormat="1" ht="22.5">
      <c r="B13" s="2071"/>
      <c r="C13" s="2242" t="s">
        <v>3146</v>
      </c>
      <c r="D13" s="2242" t="s">
        <v>6103</v>
      </c>
      <c r="E13" s="2056" t="s">
        <v>3146</v>
      </c>
      <c r="F13" s="2243">
        <v>311.93</v>
      </c>
      <c r="H13" s="2071"/>
    </row>
    <row r="14" spans="2:8" s="2070" customFormat="1" ht="16.899999999999999" customHeight="1">
      <c r="B14" s="2071"/>
      <c r="C14" s="2242" t="s">
        <v>3146</v>
      </c>
      <c r="D14" s="2242" t="s">
        <v>6104</v>
      </c>
      <c r="E14" s="2056" t="s">
        <v>3146</v>
      </c>
      <c r="F14" s="2243">
        <v>2.016</v>
      </c>
      <c r="H14" s="2071"/>
    </row>
    <row r="15" spans="2:8" s="2070" customFormat="1" ht="16.899999999999999" customHeight="1">
      <c r="B15" s="2071"/>
      <c r="C15" s="2242" t="s">
        <v>3146</v>
      </c>
      <c r="D15" s="2242" t="s">
        <v>6105</v>
      </c>
      <c r="E15" s="2056" t="s">
        <v>3146</v>
      </c>
      <c r="F15" s="2243">
        <v>0.2</v>
      </c>
      <c r="H15" s="2071"/>
    </row>
    <row r="16" spans="2:8" s="2070" customFormat="1" ht="16.899999999999999" customHeight="1">
      <c r="B16" s="2071"/>
      <c r="C16" s="2242" t="s">
        <v>3146</v>
      </c>
      <c r="D16" s="2242" t="s">
        <v>3305</v>
      </c>
      <c r="E16" s="2056" t="s">
        <v>3146</v>
      </c>
      <c r="F16" s="2243">
        <v>314.14600000000002</v>
      </c>
      <c r="H16" s="2071"/>
    </row>
    <row r="17" spans="2:8" s="2070" customFormat="1" ht="16.899999999999999" customHeight="1">
      <c r="B17" s="2071"/>
      <c r="C17" s="2244" t="s">
        <v>6106</v>
      </c>
      <c r="H17" s="2071"/>
    </row>
    <row r="18" spans="2:8" s="2070" customFormat="1" ht="16.899999999999999" customHeight="1">
      <c r="B18" s="2071"/>
      <c r="C18" s="2242" t="s">
        <v>4298</v>
      </c>
      <c r="D18" s="2242" t="s">
        <v>4299</v>
      </c>
      <c r="E18" s="2056" t="s">
        <v>611</v>
      </c>
      <c r="F18" s="2243">
        <v>3237.2759999999998</v>
      </c>
      <c r="H18" s="2071"/>
    </row>
    <row r="19" spans="2:8" s="2070" customFormat="1" ht="16.899999999999999" customHeight="1">
      <c r="B19" s="2071"/>
      <c r="C19" s="2242" t="s">
        <v>4302</v>
      </c>
      <c r="D19" s="2242" t="s">
        <v>4303</v>
      </c>
      <c r="E19" s="2056" t="s">
        <v>611</v>
      </c>
      <c r="F19" s="2243">
        <v>19397.527999999998</v>
      </c>
      <c r="H19" s="2071"/>
    </row>
    <row r="20" spans="2:8" s="2070" customFormat="1" ht="22.5">
      <c r="B20" s="2071"/>
      <c r="C20" s="2242" t="s">
        <v>4317</v>
      </c>
      <c r="D20" s="2242" t="s">
        <v>4318</v>
      </c>
      <c r="E20" s="2056" t="s">
        <v>141</v>
      </c>
      <c r="F20" s="2243">
        <v>848.3</v>
      </c>
      <c r="H20" s="2071"/>
    </row>
    <row r="21" spans="2:8" s="2070" customFormat="1" ht="16.899999999999999" customHeight="1">
      <c r="B21" s="2071"/>
      <c r="C21" s="2242" t="s">
        <v>4369</v>
      </c>
      <c r="D21" s="2242" t="s">
        <v>4370</v>
      </c>
      <c r="E21" s="2056" t="s">
        <v>611</v>
      </c>
      <c r="F21" s="2243">
        <v>942.55600000000004</v>
      </c>
      <c r="H21" s="2071"/>
    </row>
    <row r="22" spans="2:8" s="2070" customFormat="1" ht="16.899999999999999" customHeight="1">
      <c r="B22" s="2071"/>
      <c r="C22" s="2242" t="s">
        <v>4378</v>
      </c>
      <c r="D22" s="2242" t="s">
        <v>4379</v>
      </c>
      <c r="E22" s="2056" t="s">
        <v>611</v>
      </c>
      <c r="F22" s="2243">
        <v>3237.2759999999998</v>
      </c>
      <c r="H22" s="2071"/>
    </row>
    <row r="23" spans="2:8" s="2070" customFormat="1" ht="16.899999999999999" customHeight="1">
      <c r="B23" s="2071"/>
      <c r="C23" s="2242" t="s">
        <v>4393</v>
      </c>
      <c r="D23" s="2242" t="s">
        <v>4394</v>
      </c>
      <c r="E23" s="2056" t="s">
        <v>611</v>
      </c>
      <c r="F23" s="2243">
        <v>726.98599999999999</v>
      </c>
      <c r="H23" s="2071"/>
    </row>
    <row r="24" spans="2:8" s="2070" customFormat="1" ht="22.5">
      <c r="B24" s="2071"/>
      <c r="C24" s="2242" t="s">
        <v>4416</v>
      </c>
      <c r="D24" s="2242" t="s">
        <v>4417</v>
      </c>
      <c r="E24" s="2056" t="s">
        <v>611</v>
      </c>
      <c r="F24" s="2243">
        <v>726.98599999999999</v>
      </c>
      <c r="H24" s="2071"/>
    </row>
    <row r="25" spans="2:8" s="2070" customFormat="1" ht="16.899999999999999" customHeight="1">
      <c r="B25" s="2071"/>
      <c r="C25" s="2242" t="s">
        <v>4372</v>
      </c>
      <c r="D25" s="2242" t="s">
        <v>4373</v>
      </c>
      <c r="E25" s="2056" t="s">
        <v>221</v>
      </c>
      <c r="F25" s="2243">
        <v>217.73</v>
      </c>
      <c r="H25" s="2071"/>
    </row>
    <row r="26" spans="2:8" s="2070" customFormat="1" ht="16.899999999999999" customHeight="1">
      <c r="B26" s="2071"/>
      <c r="C26" s="2238" t="s">
        <v>4286</v>
      </c>
      <c r="D26" s="2239" t="s">
        <v>4287</v>
      </c>
      <c r="E26" s="2240" t="s">
        <v>611</v>
      </c>
      <c r="F26" s="2241">
        <v>26.4</v>
      </c>
      <c r="H26" s="2071"/>
    </row>
    <row r="27" spans="2:8" s="2070" customFormat="1" ht="16.899999999999999" customHeight="1">
      <c r="B27" s="2071"/>
      <c r="C27" s="2242" t="s">
        <v>3146</v>
      </c>
      <c r="D27" s="2242" t="s">
        <v>3578</v>
      </c>
      <c r="E27" s="2056" t="s">
        <v>3146</v>
      </c>
      <c r="F27" s="2243">
        <v>0</v>
      </c>
      <c r="H27" s="2071"/>
    </row>
    <row r="28" spans="2:8" s="2070" customFormat="1" ht="16.899999999999999" customHeight="1">
      <c r="B28" s="2071"/>
      <c r="C28" s="2242" t="s">
        <v>3146</v>
      </c>
      <c r="D28" s="2242" t="s">
        <v>6107</v>
      </c>
      <c r="E28" s="2056" t="s">
        <v>3146</v>
      </c>
      <c r="F28" s="2243">
        <v>13.2</v>
      </c>
      <c r="H28" s="2071"/>
    </row>
    <row r="29" spans="2:8" s="2070" customFormat="1" ht="16.899999999999999" customHeight="1">
      <c r="B29" s="2071"/>
      <c r="C29" s="2242" t="s">
        <v>3146</v>
      </c>
      <c r="D29" s="2242" t="s">
        <v>3305</v>
      </c>
      <c r="E29" s="2056" t="s">
        <v>3146</v>
      </c>
      <c r="F29" s="2243">
        <v>13.2</v>
      </c>
      <c r="H29" s="2071"/>
    </row>
    <row r="30" spans="2:8" s="2070" customFormat="1" ht="16.899999999999999" customHeight="1">
      <c r="B30" s="2071"/>
      <c r="C30" s="2242" t="s">
        <v>3146</v>
      </c>
      <c r="D30" s="2242" t="s">
        <v>3580</v>
      </c>
      <c r="E30" s="2056" t="s">
        <v>3146</v>
      </c>
      <c r="F30" s="2243">
        <v>0</v>
      </c>
      <c r="H30" s="2071"/>
    </row>
    <row r="31" spans="2:8" s="2070" customFormat="1" ht="16.899999999999999" customHeight="1">
      <c r="B31" s="2071"/>
      <c r="C31" s="2242" t="s">
        <v>3146</v>
      </c>
      <c r="D31" s="2242" t="s">
        <v>6107</v>
      </c>
      <c r="E31" s="2056" t="s">
        <v>3146</v>
      </c>
      <c r="F31" s="2243">
        <v>13.2</v>
      </c>
      <c r="H31" s="2071"/>
    </row>
    <row r="32" spans="2:8" s="2070" customFormat="1" ht="16.899999999999999" customHeight="1">
      <c r="B32" s="2071"/>
      <c r="C32" s="2242" t="s">
        <v>3146</v>
      </c>
      <c r="D32" s="2242" t="s">
        <v>3305</v>
      </c>
      <c r="E32" s="2056" t="s">
        <v>3146</v>
      </c>
      <c r="F32" s="2243">
        <v>13.2</v>
      </c>
      <c r="H32" s="2071"/>
    </row>
    <row r="33" spans="2:8" s="2070" customFormat="1" ht="16.899999999999999" customHeight="1">
      <c r="B33" s="2071"/>
      <c r="C33" s="2242" t="s">
        <v>3146</v>
      </c>
      <c r="D33" s="2242" t="s">
        <v>3306</v>
      </c>
      <c r="E33" s="2056" t="s">
        <v>3146</v>
      </c>
      <c r="F33" s="2243">
        <v>26.4</v>
      </c>
      <c r="H33" s="2071"/>
    </row>
    <row r="34" spans="2:8" s="2070" customFormat="1" ht="16.899999999999999" customHeight="1">
      <c r="B34" s="2071"/>
      <c r="C34" s="2244" t="s">
        <v>6106</v>
      </c>
      <c r="H34" s="2071"/>
    </row>
    <row r="35" spans="2:8" s="2070" customFormat="1" ht="16.899999999999999" customHeight="1">
      <c r="B35" s="2071"/>
      <c r="C35" s="2242" t="s">
        <v>4298</v>
      </c>
      <c r="D35" s="2242" t="s">
        <v>4299</v>
      </c>
      <c r="E35" s="2056" t="s">
        <v>611</v>
      </c>
      <c r="F35" s="2243">
        <v>3237.2759999999998</v>
      </c>
      <c r="H35" s="2071"/>
    </row>
    <row r="36" spans="2:8" s="2070" customFormat="1" ht="16.899999999999999" customHeight="1">
      <c r="B36" s="2071"/>
      <c r="C36" s="2242" t="s">
        <v>4302</v>
      </c>
      <c r="D36" s="2242" t="s">
        <v>4303</v>
      </c>
      <c r="E36" s="2056" t="s">
        <v>611</v>
      </c>
      <c r="F36" s="2243">
        <v>19397.527999999998</v>
      </c>
      <c r="H36" s="2071"/>
    </row>
    <row r="37" spans="2:8" s="2070" customFormat="1" ht="22.5">
      <c r="B37" s="2071"/>
      <c r="C37" s="2242" t="s">
        <v>4313</v>
      </c>
      <c r="D37" s="2242" t="s">
        <v>4314</v>
      </c>
      <c r="E37" s="2056" t="s">
        <v>141</v>
      </c>
      <c r="F37" s="2243">
        <v>1950.5119999999999</v>
      </c>
      <c r="H37" s="2071"/>
    </row>
    <row r="38" spans="2:8" s="2070" customFormat="1" ht="16.899999999999999" customHeight="1">
      <c r="B38" s="2071"/>
      <c r="C38" s="2242" t="s">
        <v>4358</v>
      </c>
      <c r="D38" s="2242" t="s">
        <v>4359</v>
      </c>
      <c r="E38" s="2056" t="s">
        <v>611</v>
      </c>
      <c r="F38" s="2243">
        <v>4589.4399999999996</v>
      </c>
      <c r="H38" s="2071"/>
    </row>
    <row r="39" spans="2:8" s="2070" customFormat="1" ht="16.899999999999999" customHeight="1">
      <c r="B39" s="2071"/>
      <c r="C39" s="2242" t="s">
        <v>4378</v>
      </c>
      <c r="D39" s="2242" t="s">
        <v>4379</v>
      </c>
      <c r="E39" s="2056" t="s">
        <v>611</v>
      </c>
      <c r="F39" s="2243">
        <v>3237.2759999999998</v>
      </c>
      <c r="H39" s="2071"/>
    </row>
    <row r="40" spans="2:8" s="2070" customFormat="1" ht="16.899999999999999" customHeight="1">
      <c r="B40" s="2071"/>
      <c r="C40" s="2242" t="s">
        <v>11038</v>
      </c>
      <c r="D40" s="2242" t="s">
        <v>11039</v>
      </c>
      <c r="E40" s="2056" t="s">
        <v>611</v>
      </c>
      <c r="F40" s="2243">
        <v>1944.22</v>
      </c>
      <c r="H40" s="2071"/>
    </row>
    <row r="41" spans="2:8" s="2070" customFormat="1" ht="16.899999999999999" customHeight="1">
      <c r="B41" s="2071"/>
      <c r="C41" s="2242" t="s">
        <v>4366</v>
      </c>
      <c r="D41" s="2242" t="s">
        <v>4367</v>
      </c>
      <c r="E41" s="2056" t="s">
        <v>611</v>
      </c>
      <c r="F41" s="2243">
        <v>2409.4560000000001</v>
      </c>
      <c r="H41" s="2071"/>
    </row>
    <row r="42" spans="2:8" s="2070" customFormat="1" ht="16.899999999999999" customHeight="1">
      <c r="B42" s="2071"/>
      <c r="C42" s="2242" t="s">
        <v>4362</v>
      </c>
      <c r="D42" s="2242" t="s">
        <v>4363</v>
      </c>
      <c r="E42" s="2056" t="s">
        <v>611</v>
      </c>
      <c r="F42" s="2243">
        <v>2409.4560000000001</v>
      </c>
      <c r="H42" s="2071"/>
    </row>
    <row r="43" spans="2:8" s="2070" customFormat="1" ht="16.899999999999999" customHeight="1">
      <c r="B43" s="2071"/>
      <c r="C43" s="2238" t="s">
        <v>4289</v>
      </c>
      <c r="D43" s="2239" t="s">
        <v>4290</v>
      </c>
      <c r="E43" s="2240" t="s">
        <v>611</v>
      </c>
      <c r="F43" s="2241">
        <v>21.66</v>
      </c>
      <c r="H43" s="2071"/>
    </row>
    <row r="44" spans="2:8" s="2070" customFormat="1" ht="16.899999999999999" customHeight="1">
      <c r="B44" s="2071"/>
      <c r="C44" s="2242" t="s">
        <v>3146</v>
      </c>
      <c r="D44" s="2242" t="s">
        <v>4291</v>
      </c>
      <c r="E44" s="2056" t="s">
        <v>3146</v>
      </c>
      <c r="F44" s="2243">
        <v>21.66</v>
      </c>
      <c r="H44" s="2071"/>
    </row>
    <row r="45" spans="2:8" s="2070" customFormat="1" ht="16.899999999999999" customHeight="1">
      <c r="B45" s="2071"/>
      <c r="C45" s="2242" t="s">
        <v>3146</v>
      </c>
      <c r="D45" s="2242" t="s">
        <v>3306</v>
      </c>
      <c r="E45" s="2056" t="s">
        <v>3146</v>
      </c>
      <c r="F45" s="2243">
        <v>21.66</v>
      </c>
      <c r="H45" s="2071"/>
    </row>
    <row r="46" spans="2:8" s="2070" customFormat="1" ht="16.899999999999999" customHeight="1">
      <c r="B46" s="2071"/>
      <c r="C46" s="2244" t="s">
        <v>6106</v>
      </c>
      <c r="H46" s="2071"/>
    </row>
    <row r="47" spans="2:8" s="2070" customFormat="1" ht="16.899999999999999" customHeight="1">
      <c r="B47" s="2071"/>
      <c r="C47" s="2242" t="s">
        <v>4321</v>
      </c>
      <c r="D47" s="2242" t="s">
        <v>4322</v>
      </c>
      <c r="E47" s="2056" t="s">
        <v>221</v>
      </c>
      <c r="F47" s="2243">
        <v>1.1910000000000001</v>
      </c>
      <c r="H47" s="2071"/>
    </row>
    <row r="48" spans="2:8" s="2070" customFormat="1" ht="16.899999999999999" customHeight="1">
      <c r="B48" s="2071"/>
      <c r="C48" s="2242" t="s">
        <v>4325</v>
      </c>
      <c r="D48" s="2242" t="s">
        <v>4326</v>
      </c>
      <c r="E48" s="2056" t="s">
        <v>221</v>
      </c>
      <c r="F48" s="2243">
        <v>3.5739999999999998</v>
      </c>
      <c r="H48" s="2071"/>
    </row>
    <row r="49" spans="2:8" s="2070" customFormat="1" ht="22.5">
      <c r="B49" s="2071"/>
      <c r="C49" s="2242" t="s">
        <v>4329</v>
      </c>
      <c r="D49" s="2242" t="s">
        <v>4330</v>
      </c>
      <c r="E49" s="2056" t="s">
        <v>611</v>
      </c>
      <c r="F49" s="2243">
        <v>21.66</v>
      </c>
      <c r="H49" s="2071"/>
    </row>
    <row r="50" spans="2:8" s="2070" customFormat="1" ht="16.899999999999999" customHeight="1">
      <c r="B50" s="2071"/>
      <c r="C50" s="2242" t="s">
        <v>4339</v>
      </c>
      <c r="D50" s="2242" t="s">
        <v>4340</v>
      </c>
      <c r="E50" s="2056" t="s">
        <v>611</v>
      </c>
      <c r="F50" s="2243">
        <v>21.66</v>
      </c>
      <c r="H50" s="2071"/>
    </row>
    <row r="51" spans="2:8" s="2070" customFormat="1" ht="16.899999999999999" customHeight="1">
      <c r="B51" s="2071"/>
      <c r="C51" s="2238" t="s">
        <v>4292</v>
      </c>
      <c r="D51" s="2239" t="s">
        <v>4293</v>
      </c>
      <c r="E51" s="2240" t="s">
        <v>611</v>
      </c>
      <c r="F51" s="2241">
        <v>36.75</v>
      </c>
      <c r="H51" s="2071"/>
    </row>
    <row r="52" spans="2:8" s="2070" customFormat="1" ht="16.899999999999999" customHeight="1">
      <c r="B52" s="2071"/>
      <c r="C52" s="2242" t="s">
        <v>3146</v>
      </c>
      <c r="D52" s="2242" t="s">
        <v>6108</v>
      </c>
      <c r="E52" s="2056" t="s">
        <v>3146</v>
      </c>
      <c r="F52" s="2243">
        <v>47.25</v>
      </c>
      <c r="H52" s="2071"/>
    </row>
    <row r="53" spans="2:8" s="2070" customFormat="1" ht="16.899999999999999" customHeight="1">
      <c r="B53" s="2071"/>
      <c r="C53" s="2242" t="s">
        <v>3146</v>
      </c>
      <c r="D53" s="2242" t="s">
        <v>6109</v>
      </c>
      <c r="E53" s="2056" t="s">
        <v>3146</v>
      </c>
      <c r="F53" s="2243">
        <v>-10.5</v>
      </c>
      <c r="H53" s="2071"/>
    </row>
    <row r="54" spans="2:8" s="2070" customFormat="1" ht="16.899999999999999" customHeight="1">
      <c r="B54" s="2071"/>
      <c r="C54" s="2242" t="s">
        <v>3146</v>
      </c>
      <c r="D54" s="2242" t="s">
        <v>3306</v>
      </c>
      <c r="E54" s="2056" t="s">
        <v>3146</v>
      </c>
      <c r="F54" s="2243">
        <v>36.75</v>
      </c>
      <c r="H54" s="2071"/>
    </row>
    <row r="55" spans="2:8" s="2070" customFormat="1" ht="16.899999999999999" customHeight="1">
      <c r="B55" s="2071"/>
      <c r="C55" s="2244" t="s">
        <v>6106</v>
      </c>
      <c r="H55" s="2071"/>
    </row>
    <row r="56" spans="2:8" s="2070" customFormat="1" ht="22.5">
      <c r="B56" s="2071"/>
      <c r="C56" s="2242" t="s">
        <v>11028</v>
      </c>
      <c r="D56" s="2242" t="s">
        <v>11029</v>
      </c>
      <c r="E56" s="2056" t="s">
        <v>221</v>
      </c>
      <c r="F56" s="2243">
        <v>14.7</v>
      </c>
      <c r="H56" s="2071"/>
    </row>
    <row r="57" spans="2:8" s="2070" customFormat="1" ht="16.899999999999999" customHeight="1">
      <c r="B57" s="2071"/>
      <c r="C57" s="2242" t="s">
        <v>4298</v>
      </c>
      <c r="D57" s="2242" t="s">
        <v>4299</v>
      </c>
      <c r="E57" s="2056" t="s">
        <v>611</v>
      </c>
      <c r="F57" s="2243">
        <v>3237.2759999999998</v>
      </c>
      <c r="H57" s="2071"/>
    </row>
    <row r="58" spans="2:8" s="2070" customFormat="1" ht="16.899999999999999" customHeight="1">
      <c r="B58" s="2071"/>
      <c r="C58" s="2242" t="s">
        <v>4302</v>
      </c>
      <c r="D58" s="2242" t="s">
        <v>4303</v>
      </c>
      <c r="E58" s="2056" t="s">
        <v>611</v>
      </c>
      <c r="F58" s="2243">
        <v>19397.527999999998</v>
      </c>
      <c r="H58" s="2071"/>
    </row>
    <row r="59" spans="2:8" s="2070" customFormat="1" ht="22.5">
      <c r="B59" s="2071"/>
      <c r="C59" s="2242" t="s">
        <v>4313</v>
      </c>
      <c r="D59" s="2242" t="s">
        <v>4314</v>
      </c>
      <c r="E59" s="2056" t="s">
        <v>141</v>
      </c>
      <c r="F59" s="2243">
        <v>1950.5119999999999</v>
      </c>
      <c r="H59" s="2071"/>
    </row>
    <row r="60" spans="2:8" s="2070" customFormat="1" ht="16.899999999999999" customHeight="1">
      <c r="B60" s="2071"/>
      <c r="C60" s="2242" t="s">
        <v>4358</v>
      </c>
      <c r="D60" s="2242" t="s">
        <v>4359</v>
      </c>
      <c r="E60" s="2056" t="s">
        <v>611</v>
      </c>
      <c r="F60" s="2243">
        <v>4589.4399999999996</v>
      </c>
      <c r="H60" s="2071"/>
    </row>
    <row r="61" spans="2:8" s="2070" customFormat="1" ht="16.899999999999999" customHeight="1">
      <c r="B61" s="2071"/>
      <c r="C61" s="2242" t="s">
        <v>4378</v>
      </c>
      <c r="D61" s="2242" t="s">
        <v>4379</v>
      </c>
      <c r="E61" s="2056" t="s">
        <v>611</v>
      </c>
      <c r="F61" s="2243">
        <v>3237.2759999999998</v>
      </c>
      <c r="H61" s="2071"/>
    </row>
    <row r="62" spans="2:8" s="2070" customFormat="1" ht="16.899999999999999" customHeight="1">
      <c r="B62" s="2071"/>
      <c r="C62" s="2242" t="s">
        <v>11038</v>
      </c>
      <c r="D62" s="2242" t="s">
        <v>11039</v>
      </c>
      <c r="E62" s="2056" t="s">
        <v>611</v>
      </c>
      <c r="F62" s="2243">
        <v>1944.22</v>
      </c>
      <c r="H62" s="2071"/>
    </row>
    <row r="63" spans="2:8" s="2070" customFormat="1" ht="16.899999999999999" customHeight="1">
      <c r="B63" s="2071"/>
      <c r="C63" s="2242" t="s">
        <v>4366</v>
      </c>
      <c r="D63" s="2242" t="s">
        <v>4367</v>
      </c>
      <c r="E63" s="2056" t="s">
        <v>611</v>
      </c>
      <c r="F63" s="2243">
        <v>2409.4560000000001</v>
      </c>
      <c r="H63" s="2071"/>
    </row>
    <row r="64" spans="2:8" s="2070" customFormat="1" ht="16.899999999999999" customHeight="1">
      <c r="B64" s="2071"/>
      <c r="C64" s="2242" t="s">
        <v>4362</v>
      </c>
      <c r="D64" s="2242" t="s">
        <v>4363</v>
      </c>
      <c r="E64" s="2056" t="s">
        <v>611</v>
      </c>
      <c r="F64" s="2243">
        <v>2409.4560000000001</v>
      </c>
      <c r="H64" s="2071"/>
    </row>
    <row r="65" spans="2:8" s="2070" customFormat="1" ht="16.899999999999999" customHeight="1">
      <c r="B65" s="2071"/>
      <c r="C65" s="2238" t="s">
        <v>4264</v>
      </c>
      <c r="D65" s="2239" t="s">
        <v>4265</v>
      </c>
      <c r="E65" s="2240" t="s">
        <v>611</v>
      </c>
      <c r="F65" s="2241">
        <v>69.790000000000006</v>
      </c>
      <c r="H65" s="2071"/>
    </row>
    <row r="66" spans="2:8" s="2070" customFormat="1" ht="16.899999999999999" customHeight="1">
      <c r="B66" s="2071"/>
      <c r="C66" s="2242" t="s">
        <v>3146</v>
      </c>
      <c r="D66" s="2242" t="s">
        <v>6110</v>
      </c>
      <c r="E66" s="2056" t="s">
        <v>3146</v>
      </c>
      <c r="F66" s="2243">
        <v>69.790000000000006</v>
      </c>
      <c r="H66" s="2071"/>
    </row>
    <row r="67" spans="2:8" s="2070" customFormat="1" ht="16.899999999999999" customHeight="1">
      <c r="B67" s="2071"/>
      <c r="C67" s="2242" t="s">
        <v>3146</v>
      </c>
      <c r="D67" s="2242" t="s">
        <v>3306</v>
      </c>
      <c r="E67" s="2056" t="s">
        <v>3146</v>
      </c>
      <c r="F67" s="2243">
        <v>69.790000000000006</v>
      </c>
      <c r="H67" s="2071"/>
    </row>
    <row r="68" spans="2:8" s="2070" customFormat="1" ht="16.899999999999999" customHeight="1">
      <c r="B68" s="2071"/>
      <c r="C68" s="2244" t="s">
        <v>6106</v>
      </c>
      <c r="H68" s="2071"/>
    </row>
    <row r="69" spans="2:8" s="2070" customFormat="1" ht="16.899999999999999" customHeight="1">
      <c r="B69" s="2071"/>
      <c r="C69" s="2242" t="s">
        <v>4298</v>
      </c>
      <c r="D69" s="2242" t="s">
        <v>4299</v>
      </c>
      <c r="E69" s="2056" t="s">
        <v>611</v>
      </c>
      <c r="F69" s="2243">
        <v>3237.2759999999998</v>
      </c>
      <c r="H69" s="2071"/>
    </row>
    <row r="70" spans="2:8" s="2070" customFormat="1" ht="16.899999999999999" customHeight="1">
      <c r="B70" s="2071"/>
      <c r="C70" s="2242" t="s">
        <v>4302</v>
      </c>
      <c r="D70" s="2242" t="s">
        <v>4303</v>
      </c>
      <c r="E70" s="2056" t="s">
        <v>611</v>
      </c>
      <c r="F70" s="2243">
        <v>19397.527999999998</v>
      </c>
      <c r="H70" s="2071"/>
    </row>
    <row r="71" spans="2:8" s="2070" customFormat="1" ht="22.5">
      <c r="B71" s="2071"/>
      <c r="C71" s="2242" t="s">
        <v>4317</v>
      </c>
      <c r="D71" s="2242" t="s">
        <v>4318</v>
      </c>
      <c r="E71" s="2056" t="s">
        <v>141</v>
      </c>
      <c r="F71" s="2243">
        <v>848.3</v>
      </c>
      <c r="H71" s="2071"/>
    </row>
    <row r="72" spans="2:8" s="2070" customFormat="1" ht="16.899999999999999" customHeight="1">
      <c r="B72" s="2071"/>
      <c r="C72" s="2242" t="s">
        <v>4369</v>
      </c>
      <c r="D72" s="2242" t="s">
        <v>4370</v>
      </c>
      <c r="E72" s="2056" t="s">
        <v>611</v>
      </c>
      <c r="F72" s="2243">
        <v>942.55600000000004</v>
      </c>
      <c r="H72" s="2071"/>
    </row>
    <row r="73" spans="2:8" s="2070" customFormat="1" ht="16.899999999999999" customHeight="1">
      <c r="B73" s="2071"/>
      <c r="C73" s="2242" t="s">
        <v>4378</v>
      </c>
      <c r="D73" s="2242" t="s">
        <v>4379</v>
      </c>
      <c r="E73" s="2056" t="s">
        <v>611</v>
      </c>
      <c r="F73" s="2243">
        <v>3237.2759999999998</v>
      </c>
      <c r="H73" s="2071"/>
    </row>
    <row r="74" spans="2:8" s="2070" customFormat="1" ht="16.899999999999999" customHeight="1">
      <c r="B74" s="2071"/>
      <c r="C74" s="2242" t="s">
        <v>11038</v>
      </c>
      <c r="D74" s="2242" t="s">
        <v>11039</v>
      </c>
      <c r="E74" s="2056" t="s">
        <v>611</v>
      </c>
      <c r="F74" s="2243">
        <v>1944.22</v>
      </c>
      <c r="H74" s="2071"/>
    </row>
    <row r="75" spans="2:8" s="2070" customFormat="1" ht="16.899999999999999" customHeight="1">
      <c r="B75" s="2071"/>
      <c r="C75" s="2242" t="s">
        <v>4372</v>
      </c>
      <c r="D75" s="2242" t="s">
        <v>4373</v>
      </c>
      <c r="E75" s="2056" t="s">
        <v>221</v>
      </c>
      <c r="F75" s="2243">
        <v>217.73</v>
      </c>
      <c r="H75" s="2071"/>
    </row>
    <row r="76" spans="2:8" s="2070" customFormat="1" ht="16.899999999999999" customHeight="1">
      <c r="B76" s="2071"/>
      <c r="C76" s="2238" t="s">
        <v>4267</v>
      </c>
      <c r="D76" s="2239" t="s">
        <v>4268</v>
      </c>
      <c r="E76" s="2240" t="s">
        <v>611</v>
      </c>
      <c r="F76" s="2241">
        <v>558.62</v>
      </c>
      <c r="H76" s="2071"/>
    </row>
    <row r="77" spans="2:8" s="2070" customFormat="1" ht="16.899999999999999" customHeight="1">
      <c r="B77" s="2071"/>
      <c r="C77" s="2242" t="s">
        <v>3146</v>
      </c>
      <c r="D77" s="2242" t="s">
        <v>3517</v>
      </c>
      <c r="E77" s="2056" t="s">
        <v>3146</v>
      </c>
      <c r="F77" s="2243">
        <v>0</v>
      </c>
      <c r="H77" s="2071"/>
    </row>
    <row r="78" spans="2:8" s="2070" customFormat="1" ht="16.899999999999999" customHeight="1">
      <c r="B78" s="2071"/>
      <c r="C78" s="2242" t="s">
        <v>3146</v>
      </c>
      <c r="D78" s="2242" t="s">
        <v>6111</v>
      </c>
      <c r="E78" s="2056" t="s">
        <v>3146</v>
      </c>
      <c r="F78" s="2243">
        <v>558.62</v>
      </c>
      <c r="H78" s="2071"/>
    </row>
    <row r="79" spans="2:8" s="2070" customFormat="1" ht="16.899999999999999" customHeight="1">
      <c r="B79" s="2071"/>
      <c r="C79" s="2242" t="s">
        <v>3146</v>
      </c>
      <c r="D79" s="2242" t="s">
        <v>3305</v>
      </c>
      <c r="E79" s="2056" t="s">
        <v>3146</v>
      </c>
      <c r="F79" s="2243">
        <v>558.62</v>
      </c>
      <c r="H79" s="2071"/>
    </row>
    <row r="80" spans="2:8" s="2070" customFormat="1" ht="16.899999999999999" customHeight="1">
      <c r="B80" s="2071"/>
      <c r="C80" s="2242" t="s">
        <v>3146</v>
      </c>
      <c r="D80" s="2242" t="s">
        <v>3306</v>
      </c>
      <c r="E80" s="2056" t="s">
        <v>3146</v>
      </c>
      <c r="F80" s="2243">
        <v>558.62</v>
      </c>
      <c r="H80" s="2071"/>
    </row>
    <row r="81" spans="2:8" s="2070" customFormat="1" ht="16.899999999999999" customHeight="1">
      <c r="B81" s="2071"/>
      <c r="C81" s="2244" t="s">
        <v>6106</v>
      </c>
      <c r="H81" s="2071"/>
    </row>
    <row r="82" spans="2:8" s="2070" customFormat="1" ht="16.899999999999999" customHeight="1">
      <c r="B82" s="2071"/>
      <c r="C82" s="2242" t="s">
        <v>4298</v>
      </c>
      <c r="D82" s="2242" t="s">
        <v>4299</v>
      </c>
      <c r="E82" s="2056" t="s">
        <v>611</v>
      </c>
      <c r="F82" s="2243">
        <v>3237.2759999999998</v>
      </c>
      <c r="H82" s="2071"/>
    </row>
    <row r="83" spans="2:8" s="2070" customFormat="1" ht="16.899999999999999" customHeight="1">
      <c r="B83" s="2071"/>
      <c r="C83" s="2242" t="s">
        <v>4302</v>
      </c>
      <c r="D83" s="2242" t="s">
        <v>4303</v>
      </c>
      <c r="E83" s="2056" t="s">
        <v>611</v>
      </c>
      <c r="F83" s="2243">
        <v>19397.527999999998</v>
      </c>
      <c r="H83" s="2071"/>
    </row>
    <row r="84" spans="2:8" s="2070" customFormat="1" ht="22.5">
      <c r="B84" s="2071"/>
      <c r="C84" s="2242" t="s">
        <v>4317</v>
      </c>
      <c r="D84" s="2242" t="s">
        <v>4318</v>
      </c>
      <c r="E84" s="2056" t="s">
        <v>141</v>
      </c>
      <c r="F84" s="2243">
        <v>848.3</v>
      </c>
      <c r="H84" s="2071"/>
    </row>
    <row r="85" spans="2:8" s="2070" customFormat="1" ht="16.899999999999999" customHeight="1">
      <c r="B85" s="2071"/>
      <c r="C85" s="2242" t="s">
        <v>4369</v>
      </c>
      <c r="D85" s="2242" t="s">
        <v>4370</v>
      </c>
      <c r="E85" s="2056" t="s">
        <v>611</v>
      </c>
      <c r="F85" s="2243">
        <v>942.55600000000004</v>
      </c>
      <c r="H85" s="2071"/>
    </row>
    <row r="86" spans="2:8" s="2070" customFormat="1" ht="16.899999999999999" customHeight="1">
      <c r="B86" s="2071"/>
      <c r="C86" s="2242" t="s">
        <v>4378</v>
      </c>
      <c r="D86" s="2242" t="s">
        <v>4379</v>
      </c>
      <c r="E86" s="2056" t="s">
        <v>611</v>
      </c>
      <c r="F86" s="2243">
        <v>3237.2759999999998</v>
      </c>
      <c r="H86" s="2071"/>
    </row>
    <row r="87" spans="2:8" s="2070" customFormat="1" ht="16.899999999999999" customHeight="1">
      <c r="B87" s="2071"/>
      <c r="C87" s="2242" t="s">
        <v>4526</v>
      </c>
      <c r="D87" s="2242" t="s">
        <v>4527</v>
      </c>
      <c r="E87" s="2056" t="s">
        <v>611</v>
      </c>
      <c r="F87" s="2243">
        <v>558.62</v>
      </c>
      <c r="H87" s="2071"/>
    </row>
    <row r="88" spans="2:8" s="2070" customFormat="1" ht="16.899999999999999" customHeight="1">
      <c r="B88" s="2071"/>
      <c r="C88" s="2242" t="s">
        <v>4372</v>
      </c>
      <c r="D88" s="2242" t="s">
        <v>4373</v>
      </c>
      <c r="E88" s="2056" t="s">
        <v>221</v>
      </c>
      <c r="F88" s="2243">
        <v>217.73</v>
      </c>
      <c r="H88" s="2071"/>
    </row>
    <row r="89" spans="2:8" s="2070" customFormat="1" ht="16.899999999999999" customHeight="1">
      <c r="B89" s="2071"/>
      <c r="C89" s="2238" t="s">
        <v>4273</v>
      </c>
      <c r="D89" s="2239" t="s">
        <v>4274</v>
      </c>
      <c r="E89" s="2240" t="s">
        <v>611</v>
      </c>
      <c r="F89" s="2241">
        <v>375</v>
      </c>
      <c r="H89" s="2071"/>
    </row>
    <row r="90" spans="2:8" s="2070" customFormat="1" ht="16.899999999999999" customHeight="1">
      <c r="B90" s="2071"/>
      <c r="C90" s="2242" t="s">
        <v>3146</v>
      </c>
      <c r="D90" s="2242" t="s">
        <v>3661</v>
      </c>
      <c r="E90" s="2056" t="s">
        <v>3146</v>
      </c>
      <c r="F90" s="2243">
        <v>0</v>
      </c>
      <c r="H90" s="2071"/>
    </row>
    <row r="91" spans="2:8" s="2070" customFormat="1" ht="22.5">
      <c r="B91" s="2071"/>
      <c r="C91" s="2242" t="s">
        <v>3146</v>
      </c>
      <c r="D91" s="2242" t="s">
        <v>6112</v>
      </c>
      <c r="E91" s="2056" t="s">
        <v>3146</v>
      </c>
      <c r="F91" s="2243">
        <v>117.1</v>
      </c>
      <c r="H91" s="2071"/>
    </row>
    <row r="92" spans="2:8" s="2070" customFormat="1" ht="16.899999999999999" customHeight="1">
      <c r="B92" s="2071"/>
      <c r="C92" s="2242" t="s">
        <v>3146</v>
      </c>
      <c r="D92" s="2242" t="s">
        <v>3305</v>
      </c>
      <c r="E92" s="2056" t="s">
        <v>3146</v>
      </c>
      <c r="F92" s="2243">
        <v>117.1</v>
      </c>
      <c r="H92" s="2071"/>
    </row>
    <row r="93" spans="2:8" s="2070" customFormat="1" ht="16.899999999999999" customHeight="1">
      <c r="B93" s="2071"/>
      <c r="C93" s="2242" t="s">
        <v>3146</v>
      </c>
      <c r="D93" s="2242" t="s">
        <v>3578</v>
      </c>
      <c r="E93" s="2056" t="s">
        <v>3146</v>
      </c>
      <c r="F93" s="2243">
        <v>0</v>
      </c>
      <c r="H93" s="2071"/>
    </row>
    <row r="94" spans="2:8" s="2070" customFormat="1" ht="22.5">
      <c r="B94" s="2071"/>
      <c r="C94" s="2242" t="s">
        <v>3146</v>
      </c>
      <c r="D94" s="2242" t="s">
        <v>6113</v>
      </c>
      <c r="E94" s="2056" t="s">
        <v>3146</v>
      </c>
      <c r="F94" s="2243">
        <v>127.83</v>
      </c>
      <c r="H94" s="2071"/>
    </row>
    <row r="95" spans="2:8" s="2070" customFormat="1" ht="16.899999999999999" customHeight="1">
      <c r="B95" s="2071"/>
      <c r="C95" s="2242" t="s">
        <v>3146</v>
      </c>
      <c r="D95" s="2242" t="s">
        <v>3305</v>
      </c>
      <c r="E95" s="2056" t="s">
        <v>3146</v>
      </c>
      <c r="F95" s="2243">
        <v>127.83</v>
      </c>
      <c r="H95" s="2071"/>
    </row>
    <row r="96" spans="2:8" s="2070" customFormat="1" ht="16.899999999999999" customHeight="1">
      <c r="B96" s="2071"/>
      <c r="C96" s="2242" t="s">
        <v>3146</v>
      </c>
      <c r="D96" s="2242" t="s">
        <v>3580</v>
      </c>
      <c r="E96" s="2056" t="s">
        <v>3146</v>
      </c>
      <c r="F96" s="2243">
        <v>0</v>
      </c>
      <c r="H96" s="2071"/>
    </row>
    <row r="97" spans="2:8" s="2070" customFormat="1" ht="22.5">
      <c r="B97" s="2071"/>
      <c r="C97" s="2242" t="s">
        <v>3146</v>
      </c>
      <c r="D97" s="2242" t="s">
        <v>6114</v>
      </c>
      <c r="E97" s="2056" t="s">
        <v>3146</v>
      </c>
      <c r="F97" s="2243">
        <v>130.07</v>
      </c>
      <c r="H97" s="2071"/>
    </row>
    <row r="98" spans="2:8" s="2070" customFormat="1" ht="16.899999999999999" customHeight="1">
      <c r="B98" s="2071"/>
      <c r="C98" s="2242" t="s">
        <v>3146</v>
      </c>
      <c r="D98" s="2242" t="s">
        <v>3305</v>
      </c>
      <c r="E98" s="2056" t="s">
        <v>3146</v>
      </c>
      <c r="F98" s="2243">
        <v>130.07</v>
      </c>
      <c r="H98" s="2071"/>
    </row>
    <row r="99" spans="2:8" s="2070" customFormat="1" ht="16.899999999999999" customHeight="1">
      <c r="B99" s="2071"/>
      <c r="C99" s="2242" t="s">
        <v>3146</v>
      </c>
      <c r="D99" s="2242" t="s">
        <v>3306</v>
      </c>
      <c r="E99" s="2056" t="s">
        <v>3146</v>
      </c>
      <c r="F99" s="2243">
        <v>375</v>
      </c>
      <c r="H99" s="2071"/>
    </row>
    <row r="100" spans="2:8" s="2070" customFormat="1" ht="16.899999999999999" customHeight="1">
      <c r="B100" s="2071"/>
      <c r="C100" s="2244" t="s">
        <v>6106</v>
      </c>
      <c r="H100" s="2071"/>
    </row>
    <row r="101" spans="2:8" s="2070" customFormat="1" ht="16.899999999999999" customHeight="1">
      <c r="B101" s="2071"/>
      <c r="C101" s="2242" t="s">
        <v>4298</v>
      </c>
      <c r="D101" s="2242" t="s">
        <v>4299</v>
      </c>
      <c r="E101" s="2056" t="s">
        <v>611</v>
      </c>
      <c r="F101" s="2243">
        <v>3237.2759999999998</v>
      </c>
      <c r="H101" s="2071"/>
    </row>
    <row r="102" spans="2:8" s="2070" customFormat="1" ht="16.899999999999999" customHeight="1">
      <c r="B102" s="2071"/>
      <c r="C102" s="2242" t="s">
        <v>4302</v>
      </c>
      <c r="D102" s="2242" t="s">
        <v>4303</v>
      </c>
      <c r="E102" s="2056" t="s">
        <v>611</v>
      </c>
      <c r="F102" s="2243">
        <v>19397.527999999998</v>
      </c>
      <c r="H102" s="2071"/>
    </row>
    <row r="103" spans="2:8" s="2070" customFormat="1" ht="22.5">
      <c r="B103" s="2071"/>
      <c r="C103" s="2242" t="s">
        <v>4313</v>
      </c>
      <c r="D103" s="2242" t="s">
        <v>4314</v>
      </c>
      <c r="E103" s="2056" t="s">
        <v>141</v>
      </c>
      <c r="F103" s="2243">
        <v>1950.5119999999999</v>
      </c>
      <c r="H103" s="2071"/>
    </row>
    <row r="104" spans="2:8" s="2070" customFormat="1" ht="16.899999999999999" customHeight="1">
      <c r="B104" s="2071"/>
      <c r="C104" s="2242" t="s">
        <v>4358</v>
      </c>
      <c r="D104" s="2242" t="s">
        <v>4359</v>
      </c>
      <c r="E104" s="2056" t="s">
        <v>611</v>
      </c>
      <c r="F104" s="2243">
        <v>4589.4399999999996</v>
      </c>
      <c r="H104" s="2071"/>
    </row>
    <row r="105" spans="2:8" s="2070" customFormat="1" ht="16.899999999999999" customHeight="1">
      <c r="B105" s="2071"/>
      <c r="C105" s="2242" t="s">
        <v>4378</v>
      </c>
      <c r="D105" s="2242" t="s">
        <v>4379</v>
      </c>
      <c r="E105" s="2056" t="s">
        <v>611</v>
      </c>
      <c r="F105" s="2243">
        <v>3237.2759999999998</v>
      </c>
      <c r="H105" s="2071"/>
    </row>
    <row r="106" spans="2:8" s="2070" customFormat="1" ht="16.899999999999999" customHeight="1">
      <c r="B106" s="2071"/>
      <c r="C106" s="2242" t="s">
        <v>4393</v>
      </c>
      <c r="D106" s="2242" t="s">
        <v>4394</v>
      </c>
      <c r="E106" s="2056" t="s">
        <v>611</v>
      </c>
      <c r="F106" s="2243">
        <v>726.98599999999999</v>
      </c>
      <c r="H106" s="2071"/>
    </row>
    <row r="107" spans="2:8" s="2070" customFormat="1" ht="22.5">
      <c r="B107" s="2071"/>
      <c r="C107" s="2242" t="s">
        <v>4416</v>
      </c>
      <c r="D107" s="2242" t="s">
        <v>4417</v>
      </c>
      <c r="E107" s="2056" t="s">
        <v>611</v>
      </c>
      <c r="F107" s="2243">
        <v>726.98599999999999</v>
      </c>
      <c r="H107" s="2071"/>
    </row>
    <row r="108" spans="2:8" s="2070" customFormat="1" ht="16.899999999999999" customHeight="1">
      <c r="B108" s="2071"/>
      <c r="C108" s="2242" t="s">
        <v>4366</v>
      </c>
      <c r="D108" s="2242" t="s">
        <v>4367</v>
      </c>
      <c r="E108" s="2056" t="s">
        <v>611</v>
      </c>
      <c r="F108" s="2243">
        <v>2409.4560000000001</v>
      </c>
      <c r="H108" s="2071"/>
    </row>
    <row r="109" spans="2:8" s="2070" customFormat="1" ht="16.899999999999999" customHeight="1">
      <c r="B109" s="2071"/>
      <c r="C109" s="2242" t="s">
        <v>4362</v>
      </c>
      <c r="D109" s="2242" t="s">
        <v>4363</v>
      </c>
      <c r="E109" s="2056" t="s">
        <v>611</v>
      </c>
      <c r="F109" s="2243">
        <v>2409.4560000000001</v>
      </c>
      <c r="H109" s="2071"/>
    </row>
    <row r="110" spans="2:8" s="2070" customFormat="1" ht="16.899999999999999" customHeight="1">
      <c r="B110" s="2071"/>
      <c r="C110" s="2238" t="s">
        <v>4276</v>
      </c>
      <c r="D110" s="2239" t="s">
        <v>4277</v>
      </c>
      <c r="E110" s="2240" t="s">
        <v>611</v>
      </c>
      <c r="F110" s="2241">
        <v>1794.58</v>
      </c>
      <c r="H110" s="2071"/>
    </row>
    <row r="111" spans="2:8" s="2070" customFormat="1" ht="16.899999999999999" customHeight="1">
      <c r="B111" s="2071"/>
      <c r="C111" s="2242" t="s">
        <v>3146</v>
      </c>
      <c r="D111" s="2242" t="s">
        <v>3661</v>
      </c>
      <c r="E111" s="2056" t="s">
        <v>3146</v>
      </c>
      <c r="F111" s="2243">
        <v>0</v>
      </c>
      <c r="H111" s="2071"/>
    </row>
    <row r="112" spans="2:8" s="2070" customFormat="1" ht="22.5">
      <c r="B112" s="2071"/>
      <c r="C112" s="2242" t="s">
        <v>3146</v>
      </c>
      <c r="D112" s="2242" t="s">
        <v>6115</v>
      </c>
      <c r="E112" s="2056" t="s">
        <v>3146</v>
      </c>
      <c r="F112" s="2243">
        <v>495.98</v>
      </c>
      <c r="H112" s="2071"/>
    </row>
    <row r="113" spans="2:8" s="2070" customFormat="1" ht="16.899999999999999" customHeight="1">
      <c r="B113" s="2071"/>
      <c r="C113" s="2242" t="s">
        <v>3146</v>
      </c>
      <c r="D113" s="2242" t="s">
        <v>6116</v>
      </c>
      <c r="E113" s="2056" t="s">
        <v>3146</v>
      </c>
      <c r="F113" s="2243">
        <v>130.37</v>
      </c>
      <c r="H113" s="2071"/>
    </row>
    <row r="114" spans="2:8" s="2070" customFormat="1" ht="16.899999999999999" customHeight="1">
      <c r="B114" s="2071"/>
      <c r="C114" s="2242" t="s">
        <v>3146</v>
      </c>
      <c r="D114" s="2242" t="s">
        <v>3305</v>
      </c>
      <c r="E114" s="2056" t="s">
        <v>3146</v>
      </c>
      <c r="F114" s="2243">
        <v>626.35</v>
      </c>
      <c r="H114" s="2071"/>
    </row>
    <row r="115" spans="2:8" s="2070" customFormat="1" ht="16.899999999999999" customHeight="1">
      <c r="B115" s="2071"/>
      <c r="C115" s="2242" t="s">
        <v>3146</v>
      </c>
      <c r="D115" s="2242" t="s">
        <v>3578</v>
      </c>
      <c r="E115" s="2056" t="s">
        <v>3146</v>
      </c>
      <c r="F115" s="2243">
        <v>0</v>
      </c>
      <c r="H115" s="2071"/>
    </row>
    <row r="116" spans="2:8" s="2070" customFormat="1" ht="22.5">
      <c r="B116" s="2071"/>
      <c r="C116" s="2242" t="s">
        <v>3146</v>
      </c>
      <c r="D116" s="2242" t="s">
        <v>6117</v>
      </c>
      <c r="E116" s="2056" t="s">
        <v>3146</v>
      </c>
      <c r="F116" s="2243">
        <v>375.54</v>
      </c>
      <c r="H116" s="2071"/>
    </row>
    <row r="117" spans="2:8" s="2070" customFormat="1" ht="16.899999999999999" customHeight="1">
      <c r="B117" s="2071"/>
      <c r="C117" s="2242" t="s">
        <v>3146</v>
      </c>
      <c r="D117" s="2242" t="s">
        <v>6118</v>
      </c>
      <c r="E117" s="2056" t="s">
        <v>3146</v>
      </c>
      <c r="F117" s="2243">
        <v>187.67</v>
      </c>
      <c r="H117" s="2071"/>
    </row>
    <row r="118" spans="2:8" s="2070" customFormat="1" ht="16.899999999999999" customHeight="1">
      <c r="B118" s="2071"/>
      <c r="C118" s="2242" t="s">
        <v>3146</v>
      </c>
      <c r="D118" s="2242" t="s">
        <v>3305</v>
      </c>
      <c r="E118" s="2056" t="s">
        <v>3146</v>
      </c>
      <c r="F118" s="2243">
        <v>563.21</v>
      </c>
      <c r="H118" s="2071"/>
    </row>
    <row r="119" spans="2:8" s="2070" customFormat="1" ht="16.899999999999999" customHeight="1">
      <c r="B119" s="2071"/>
      <c r="C119" s="2242" t="s">
        <v>3146</v>
      </c>
      <c r="D119" s="2242" t="s">
        <v>3580</v>
      </c>
      <c r="E119" s="2056" t="s">
        <v>3146</v>
      </c>
      <c r="F119" s="2243">
        <v>0</v>
      </c>
      <c r="H119" s="2071"/>
    </row>
    <row r="120" spans="2:8" s="2070" customFormat="1" ht="22.5">
      <c r="B120" s="2071"/>
      <c r="C120" s="2242" t="s">
        <v>3146</v>
      </c>
      <c r="D120" s="2242" t="s">
        <v>6119</v>
      </c>
      <c r="E120" s="2056" t="s">
        <v>3146</v>
      </c>
      <c r="F120" s="2243">
        <v>399.04</v>
      </c>
      <c r="H120" s="2071"/>
    </row>
    <row r="121" spans="2:8" s="2070" customFormat="1" ht="16.899999999999999" customHeight="1">
      <c r="B121" s="2071"/>
      <c r="C121" s="2242" t="s">
        <v>3146</v>
      </c>
      <c r="D121" s="2242" t="s">
        <v>6120</v>
      </c>
      <c r="E121" s="2056" t="s">
        <v>3146</v>
      </c>
      <c r="F121" s="2243">
        <v>205.98</v>
      </c>
      <c r="H121" s="2071"/>
    </row>
    <row r="122" spans="2:8" s="2070" customFormat="1" ht="16.899999999999999" customHeight="1">
      <c r="B122" s="2071"/>
      <c r="C122" s="2242" t="s">
        <v>3146</v>
      </c>
      <c r="D122" s="2242" t="s">
        <v>3305</v>
      </c>
      <c r="E122" s="2056" t="s">
        <v>3146</v>
      </c>
      <c r="F122" s="2243">
        <v>605.02</v>
      </c>
      <c r="H122" s="2071"/>
    </row>
    <row r="123" spans="2:8" s="2070" customFormat="1" ht="16.899999999999999" customHeight="1">
      <c r="B123" s="2071"/>
      <c r="C123" s="2242" t="s">
        <v>3146</v>
      </c>
      <c r="D123" s="2242" t="s">
        <v>3306</v>
      </c>
      <c r="E123" s="2056" t="s">
        <v>3146</v>
      </c>
      <c r="F123" s="2243">
        <v>1794.58</v>
      </c>
      <c r="H123" s="2071"/>
    </row>
    <row r="124" spans="2:8" s="2070" customFormat="1" ht="16.899999999999999" customHeight="1">
      <c r="B124" s="2071"/>
      <c r="C124" s="2244" t="s">
        <v>6106</v>
      </c>
      <c r="H124" s="2071"/>
    </row>
    <row r="125" spans="2:8" s="2070" customFormat="1" ht="16.899999999999999" customHeight="1">
      <c r="B125" s="2071"/>
      <c r="C125" s="2242" t="s">
        <v>4298</v>
      </c>
      <c r="D125" s="2242" t="s">
        <v>4299</v>
      </c>
      <c r="E125" s="2056" t="s">
        <v>611</v>
      </c>
      <c r="F125" s="2243">
        <v>3237.2759999999998</v>
      </c>
      <c r="H125" s="2071"/>
    </row>
    <row r="126" spans="2:8" s="2070" customFormat="1" ht="16.899999999999999" customHeight="1">
      <c r="B126" s="2071"/>
      <c r="C126" s="2242" t="s">
        <v>4302</v>
      </c>
      <c r="D126" s="2242" t="s">
        <v>4303</v>
      </c>
      <c r="E126" s="2056" t="s">
        <v>611</v>
      </c>
      <c r="F126" s="2243">
        <v>19397.527999999998</v>
      </c>
      <c r="H126" s="2071"/>
    </row>
    <row r="127" spans="2:8" s="2070" customFormat="1" ht="22.5">
      <c r="B127" s="2071"/>
      <c r="C127" s="2242" t="s">
        <v>4313</v>
      </c>
      <c r="D127" s="2242" t="s">
        <v>4314</v>
      </c>
      <c r="E127" s="2056" t="s">
        <v>141</v>
      </c>
      <c r="F127" s="2243">
        <v>1950.5119999999999</v>
      </c>
      <c r="H127" s="2071"/>
    </row>
    <row r="128" spans="2:8" s="2070" customFormat="1" ht="16.899999999999999" customHeight="1">
      <c r="B128" s="2071"/>
      <c r="C128" s="2242" t="s">
        <v>4358</v>
      </c>
      <c r="D128" s="2242" t="s">
        <v>4359</v>
      </c>
      <c r="E128" s="2056" t="s">
        <v>611</v>
      </c>
      <c r="F128" s="2243">
        <v>4589.4399999999996</v>
      </c>
      <c r="H128" s="2071"/>
    </row>
    <row r="129" spans="2:8" s="2070" customFormat="1" ht="16.899999999999999" customHeight="1">
      <c r="B129" s="2071"/>
      <c r="C129" s="2242" t="s">
        <v>4378</v>
      </c>
      <c r="D129" s="2242" t="s">
        <v>4379</v>
      </c>
      <c r="E129" s="2056" t="s">
        <v>611</v>
      </c>
      <c r="F129" s="2243">
        <v>3237.2759999999998</v>
      </c>
      <c r="H129" s="2071"/>
    </row>
    <row r="130" spans="2:8" s="2070" customFormat="1" ht="16.899999999999999" customHeight="1">
      <c r="B130" s="2071"/>
      <c r="C130" s="2242" t="s">
        <v>11038</v>
      </c>
      <c r="D130" s="2242" t="s">
        <v>11039</v>
      </c>
      <c r="E130" s="2056" t="s">
        <v>611</v>
      </c>
      <c r="F130" s="2243">
        <v>1944.22</v>
      </c>
      <c r="H130" s="2071"/>
    </row>
    <row r="131" spans="2:8" s="2070" customFormat="1" ht="16.899999999999999" customHeight="1">
      <c r="B131" s="2071"/>
      <c r="C131" s="2242" t="s">
        <v>4366</v>
      </c>
      <c r="D131" s="2242" t="s">
        <v>4367</v>
      </c>
      <c r="E131" s="2056" t="s">
        <v>611</v>
      </c>
      <c r="F131" s="2243">
        <v>2409.4560000000001</v>
      </c>
      <c r="H131" s="2071"/>
    </row>
    <row r="132" spans="2:8" s="2070" customFormat="1" ht="16.899999999999999" customHeight="1">
      <c r="B132" s="2071"/>
      <c r="C132" s="2242" t="s">
        <v>4362</v>
      </c>
      <c r="D132" s="2242" t="s">
        <v>4363</v>
      </c>
      <c r="E132" s="2056" t="s">
        <v>611</v>
      </c>
      <c r="F132" s="2243">
        <v>2409.4560000000001</v>
      </c>
      <c r="H132" s="2071"/>
    </row>
    <row r="133" spans="2:8" s="2070" customFormat="1" ht="16.899999999999999" customHeight="1">
      <c r="B133" s="2071"/>
      <c r="C133" s="2238" t="s">
        <v>4279</v>
      </c>
      <c r="D133" s="2239" t="s">
        <v>4280</v>
      </c>
      <c r="E133" s="2240" t="s">
        <v>611</v>
      </c>
      <c r="F133" s="2241">
        <v>61.99</v>
      </c>
      <c r="H133" s="2071"/>
    </row>
    <row r="134" spans="2:8" s="2070" customFormat="1" ht="16.899999999999999" customHeight="1">
      <c r="B134" s="2071"/>
      <c r="C134" s="2242" t="s">
        <v>3146</v>
      </c>
      <c r="D134" s="2242" t="s">
        <v>3578</v>
      </c>
      <c r="E134" s="2056" t="s">
        <v>3146</v>
      </c>
      <c r="F134" s="2243">
        <v>0</v>
      </c>
      <c r="H134" s="2071"/>
    </row>
    <row r="135" spans="2:8" s="2070" customFormat="1" ht="16.899999999999999" customHeight="1">
      <c r="B135" s="2071"/>
      <c r="C135" s="2242" t="s">
        <v>3146</v>
      </c>
      <c r="D135" s="2242" t="s">
        <v>6121</v>
      </c>
      <c r="E135" s="2056" t="s">
        <v>3146</v>
      </c>
      <c r="F135" s="2243">
        <v>29.28</v>
      </c>
      <c r="H135" s="2071"/>
    </row>
    <row r="136" spans="2:8" s="2070" customFormat="1" ht="16.899999999999999" customHeight="1">
      <c r="B136" s="2071"/>
      <c r="C136" s="2242" t="s">
        <v>3146</v>
      </c>
      <c r="D136" s="2242" t="s">
        <v>3305</v>
      </c>
      <c r="E136" s="2056" t="s">
        <v>3146</v>
      </c>
      <c r="F136" s="2243">
        <v>29.28</v>
      </c>
      <c r="H136" s="2071"/>
    </row>
    <row r="137" spans="2:8" s="2070" customFormat="1" ht="16.899999999999999" customHeight="1">
      <c r="B137" s="2071"/>
      <c r="C137" s="2242" t="s">
        <v>3146</v>
      </c>
      <c r="D137" s="2242" t="s">
        <v>3580</v>
      </c>
      <c r="E137" s="2056" t="s">
        <v>3146</v>
      </c>
      <c r="F137" s="2243">
        <v>0</v>
      </c>
      <c r="H137" s="2071"/>
    </row>
    <row r="138" spans="2:8" s="2070" customFormat="1" ht="16.899999999999999" customHeight="1">
      <c r="B138" s="2071"/>
      <c r="C138" s="2242" t="s">
        <v>3146</v>
      </c>
      <c r="D138" s="2242" t="s">
        <v>6122</v>
      </c>
      <c r="E138" s="2056" t="s">
        <v>3146</v>
      </c>
      <c r="F138" s="2243">
        <v>32.71</v>
      </c>
      <c r="H138" s="2071"/>
    </row>
    <row r="139" spans="2:8" s="2070" customFormat="1" ht="16.899999999999999" customHeight="1">
      <c r="B139" s="2071"/>
      <c r="C139" s="2242" t="s">
        <v>3146</v>
      </c>
      <c r="D139" s="2242" t="s">
        <v>3305</v>
      </c>
      <c r="E139" s="2056" t="s">
        <v>3146</v>
      </c>
      <c r="F139" s="2243">
        <v>32.71</v>
      </c>
      <c r="H139" s="2071"/>
    </row>
    <row r="140" spans="2:8" s="2070" customFormat="1" ht="16.899999999999999" customHeight="1">
      <c r="B140" s="2071"/>
      <c r="C140" s="2242" t="s">
        <v>3146</v>
      </c>
      <c r="D140" s="2242" t="s">
        <v>3306</v>
      </c>
      <c r="E140" s="2056" t="s">
        <v>3146</v>
      </c>
      <c r="F140" s="2243">
        <v>61.99</v>
      </c>
      <c r="H140" s="2071"/>
    </row>
    <row r="141" spans="2:8" s="2070" customFormat="1" ht="16.899999999999999" customHeight="1">
      <c r="B141" s="2071"/>
      <c r="C141" s="2244" t="s">
        <v>6106</v>
      </c>
      <c r="H141" s="2071"/>
    </row>
    <row r="142" spans="2:8" s="2070" customFormat="1" ht="16.899999999999999" customHeight="1">
      <c r="B142" s="2071"/>
      <c r="C142" s="2242" t="s">
        <v>4298</v>
      </c>
      <c r="D142" s="2242" t="s">
        <v>4299</v>
      </c>
      <c r="E142" s="2056" t="s">
        <v>611</v>
      </c>
      <c r="F142" s="2243">
        <v>3237.2759999999998</v>
      </c>
      <c r="H142" s="2071"/>
    </row>
    <row r="143" spans="2:8" s="2070" customFormat="1" ht="16.899999999999999" customHeight="1">
      <c r="B143" s="2071"/>
      <c r="C143" s="2242" t="s">
        <v>4302</v>
      </c>
      <c r="D143" s="2242" t="s">
        <v>4303</v>
      </c>
      <c r="E143" s="2056" t="s">
        <v>611</v>
      </c>
      <c r="F143" s="2243">
        <v>19397.527999999998</v>
      </c>
      <c r="H143" s="2071"/>
    </row>
    <row r="144" spans="2:8" s="2070" customFormat="1" ht="22.5">
      <c r="B144" s="2071"/>
      <c r="C144" s="2242" t="s">
        <v>4313</v>
      </c>
      <c r="D144" s="2242" t="s">
        <v>4314</v>
      </c>
      <c r="E144" s="2056" t="s">
        <v>141</v>
      </c>
      <c r="F144" s="2243">
        <v>1950.5119999999999</v>
      </c>
      <c r="H144" s="2071"/>
    </row>
    <row r="145" spans="2:8" s="2070" customFormat="1" ht="16.899999999999999" customHeight="1">
      <c r="B145" s="2071"/>
      <c r="C145" s="2242" t="s">
        <v>4358</v>
      </c>
      <c r="D145" s="2242" t="s">
        <v>4359</v>
      </c>
      <c r="E145" s="2056" t="s">
        <v>611</v>
      </c>
      <c r="F145" s="2243">
        <v>4589.4399999999996</v>
      </c>
      <c r="H145" s="2071"/>
    </row>
    <row r="146" spans="2:8" s="2070" customFormat="1" ht="16.899999999999999" customHeight="1">
      <c r="B146" s="2071"/>
      <c r="C146" s="2242" t="s">
        <v>4378</v>
      </c>
      <c r="D146" s="2242" t="s">
        <v>4379</v>
      </c>
      <c r="E146" s="2056" t="s">
        <v>611</v>
      </c>
      <c r="F146" s="2243">
        <v>3237.2759999999998</v>
      </c>
      <c r="H146" s="2071"/>
    </row>
    <row r="147" spans="2:8" s="2070" customFormat="1" ht="16.899999999999999" customHeight="1">
      <c r="B147" s="2071"/>
      <c r="C147" s="2242" t="s">
        <v>11038</v>
      </c>
      <c r="D147" s="2242" t="s">
        <v>11039</v>
      </c>
      <c r="E147" s="2056" t="s">
        <v>611</v>
      </c>
      <c r="F147" s="2243">
        <v>61.99</v>
      </c>
      <c r="H147" s="2071"/>
    </row>
    <row r="148" spans="2:8" s="2070" customFormat="1" ht="16.899999999999999" customHeight="1">
      <c r="B148" s="2071"/>
      <c r="C148" s="2242" t="s">
        <v>4366</v>
      </c>
      <c r="D148" s="2242" t="s">
        <v>4367</v>
      </c>
      <c r="E148" s="2056" t="s">
        <v>611</v>
      </c>
      <c r="F148" s="2243">
        <v>2409.4560000000001</v>
      </c>
      <c r="H148" s="2071"/>
    </row>
    <row r="149" spans="2:8" s="2070" customFormat="1" ht="16.899999999999999" customHeight="1">
      <c r="B149" s="2071"/>
      <c r="C149" s="2242" t="s">
        <v>4362</v>
      </c>
      <c r="D149" s="2242" t="s">
        <v>4363</v>
      </c>
      <c r="E149" s="2056" t="s">
        <v>611</v>
      </c>
      <c r="F149" s="2243">
        <v>2409.4560000000001</v>
      </c>
      <c r="H149" s="2071"/>
    </row>
    <row r="150" spans="2:8" s="2070" customFormat="1" ht="16.899999999999999" customHeight="1">
      <c r="B150" s="2071"/>
      <c r="C150" s="2238" t="s">
        <v>4270</v>
      </c>
      <c r="D150" s="2239" t="s">
        <v>4271</v>
      </c>
      <c r="E150" s="2240" t="s">
        <v>611</v>
      </c>
      <c r="F150" s="2241">
        <v>11.9</v>
      </c>
      <c r="H150" s="2071"/>
    </row>
    <row r="151" spans="2:8" s="2070" customFormat="1" ht="16.899999999999999" customHeight="1">
      <c r="B151" s="2071"/>
      <c r="C151" s="2242" t="s">
        <v>3146</v>
      </c>
      <c r="D151" s="2242" t="s">
        <v>6123</v>
      </c>
      <c r="E151" s="2056" t="s">
        <v>3146</v>
      </c>
      <c r="F151" s="2243">
        <v>11.9</v>
      </c>
      <c r="H151" s="2071"/>
    </row>
    <row r="152" spans="2:8" s="2070" customFormat="1" ht="16.899999999999999" customHeight="1">
      <c r="B152" s="2071"/>
      <c r="C152" s="2242" t="s">
        <v>3146</v>
      </c>
      <c r="D152" s="2242" t="s">
        <v>3306</v>
      </c>
      <c r="E152" s="2056" t="s">
        <v>3146</v>
      </c>
      <c r="F152" s="2243">
        <v>11.9</v>
      </c>
      <c r="H152" s="2071"/>
    </row>
    <row r="153" spans="2:8" s="2070" customFormat="1" ht="16.899999999999999" customHeight="1">
      <c r="B153" s="2071"/>
      <c r="C153" s="2244" t="s">
        <v>6106</v>
      </c>
      <c r="H153" s="2071"/>
    </row>
    <row r="154" spans="2:8" s="2070" customFormat="1" ht="16.899999999999999" customHeight="1">
      <c r="B154" s="2071"/>
      <c r="C154" s="2242" t="s">
        <v>4548</v>
      </c>
      <c r="D154" s="2242" t="s">
        <v>4549</v>
      </c>
      <c r="E154" s="2056" t="s">
        <v>611</v>
      </c>
      <c r="F154" s="2243">
        <v>11.9</v>
      </c>
      <c r="H154" s="2071"/>
    </row>
    <row r="155" spans="2:8" s="2070" customFormat="1" ht="16.899999999999999" customHeight="1">
      <c r="B155" s="2071"/>
      <c r="C155" s="2238" t="s">
        <v>4283</v>
      </c>
      <c r="D155" s="2239" t="s">
        <v>4284</v>
      </c>
      <c r="E155" s="2240" t="s">
        <v>611</v>
      </c>
      <c r="F155" s="2241">
        <v>37.840000000000003</v>
      </c>
      <c r="H155" s="2071"/>
    </row>
    <row r="156" spans="2:8" s="2070" customFormat="1" ht="16.899999999999999" customHeight="1">
      <c r="B156" s="2071"/>
      <c r="C156" s="2242" t="s">
        <v>3146</v>
      </c>
      <c r="D156" s="2242" t="s">
        <v>3578</v>
      </c>
      <c r="E156" s="2056" t="s">
        <v>3146</v>
      </c>
      <c r="F156" s="2243">
        <v>0</v>
      </c>
      <c r="H156" s="2071"/>
    </row>
    <row r="157" spans="2:8" s="2070" customFormat="1" ht="16.899999999999999" customHeight="1">
      <c r="B157" s="2071"/>
      <c r="C157" s="2242" t="s">
        <v>3146</v>
      </c>
      <c r="D157" s="2242" t="s">
        <v>6124</v>
      </c>
      <c r="E157" s="2056" t="s">
        <v>3146</v>
      </c>
      <c r="F157" s="2243">
        <v>18.920000000000002</v>
      </c>
      <c r="H157" s="2071"/>
    </row>
    <row r="158" spans="2:8" s="2070" customFormat="1" ht="16.899999999999999" customHeight="1">
      <c r="B158" s="2071"/>
      <c r="C158" s="2242" t="s">
        <v>3146</v>
      </c>
      <c r="D158" s="2242" t="s">
        <v>3305</v>
      </c>
      <c r="E158" s="2056" t="s">
        <v>3146</v>
      </c>
      <c r="F158" s="2243">
        <v>18.920000000000002</v>
      </c>
      <c r="H158" s="2071"/>
    </row>
    <row r="159" spans="2:8" s="2070" customFormat="1" ht="16.899999999999999" customHeight="1">
      <c r="B159" s="2071"/>
      <c r="C159" s="2242" t="s">
        <v>3146</v>
      </c>
      <c r="D159" s="2242" t="s">
        <v>3580</v>
      </c>
      <c r="E159" s="2056" t="s">
        <v>3146</v>
      </c>
      <c r="F159" s="2243">
        <v>0</v>
      </c>
      <c r="H159" s="2071"/>
    </row>
    <row r="160" spans="2:8" s="2070" customFormat="1" ht="16.899999999999999" customHeight="1">
      <c r="B160" s="2071"/>
      <c r="C160" s="2242" t="s">
        <v>3146</v>
      </c>
      <c r="D160" s="2242" t="s">
        <v>6124</v>
      </c>
      <c r="E160" s="2056" t="s">
        <v>3146</v>
      </c>
      <c r="F160" s="2243">
        <v>18.920000000000002</v>
      </c>
      <c r="H160" s="2071"/>
    </row>
    <row r="161" spans="2:8" s="2070" customFormat="1" ht="16.899999999999999" customHeight="1">
      <c r="B161" s="2071"/>
      <c r="C161" s="2242" t="s">
        <v>3146</v>
      </c>
      <c r="D161" s="2242" t="s">
        <v>3305</v>
      </c>
      <c r="E161" s="2056" t="s">
        <v>3146</v>
      </c>
      <c r="F161" s="2243">
        <v>18.920000000000002</v>
      </c>
      <c r="H161" s="2071"/>
    </row>
    <row r="162" spans="2:8" s="2070" customFormat="1" ht="16.899999999999999" customHeight="1">
      <c r="B162" s="2071"/>
      <c r="C162" s="2242" t="s">
        <v>3146</v>
      </c>
      <c r="D162" s="2242" t="s">
        <v>3306</v>
      </c>
      <c r="E162" s="2056" t="s">
        <v>3146</v>
      </c>
      <c r="F162" s="2243">
        <v>37.840000000000003</v>
      </c>
      <c r="H162" s="2071"/>
    </row>
    <row r="163" spans="2:8" s="2070" customFormat="1" ht="16.899999999999999" customHeight="1">
      <c r="B163" s="2071"/>
      <c r="C163" s="2244" t="s">
        <v>6106</v>
      </c>
      <c r="H163" s="2071"/>
    </row>
    <row r="164" spans="2:8" s="2070" customFormat="1" ht="16.899999999999999" customHeight="1">
      <c r="B164" s="2071"/>
      <c r="C164" s="2242" t="s">
        <v>11032</v>
      </c>
      <c r="D164" s="2242" t="s">
        <v>11033</v>
      </c>
      <c r="E164" s="2056" t="s">
        <v>611</v>
      </c>
      <c r="F164" s="2243">
        <v>37.840000000000003</v>
      </c>
      <c r="H164" s="2071"/>
    </row>
    <row r="165" spans="2:8" s="2070" customFormat="1" ht="16.899999999999999" customHeight="1">
      <c r="B165" s="2071"/>
      <c r="C165" s="2242" t="s">
        <v>4393</v>
      </c>
      <c r="D165" s="2242" t="s">
        <v>4394</v>
      </c>
      <c r="E165" s="2056" t="s">
        <v>611</v>
      </c>
      <c r="F165" s="2243">
        <v>726.98599999999999</v>
      </c>
      <c r="H165" s="2071"/>
    </row>
    <row r="166" spans="2:8" s="2070" customFormat="1" ht="22.5">
      <c r="B166" s="2071"/>
      <c r="C166" s="2242" t="s">
        <v>4416</v>
      </c>
      <c r="D166" s="2242" t="s">
        <v>4417</v>
      </c>
      <c r="E166" s="2056" t="s">
        <v>611</v>
      </c>
      <c r="F166" s="2243">
        <v>726.98599999999999</v>
      </c>
      <c r="H166" s="2071"/>
    </row>
    <row r="167" spans="2:8" s="2070" customFormat="1" ht="16.899999999999999" customHeight="1">
      <c r="B167" s="2071"/>
      <c r="C167" s="2242" t="s">
        <v>11035</v>
      </c>
      <c r="D167" s="2242" t="s">
        <v>11036</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718" t="s">
        <v>112</v>
      </c>
      <c r="B2" s="5719"/>
      <c r="C2" s="5719"/>
      <c r="D2" s="5719"/>
      <c r="E2" s="5719"/>
      <c r="F2" s="5719"/>
      <c r="G2" s="5719"/>
      <c r="H2" s="5719"/>
      <c r="I2" s="5719"/>
      <c r="J2" s="5719"/>
    </row>
    <row r="3" spans="1:256" ht="13.5" customHeight="1">
      <c r="A3" s="2245" t="s">
        <v>6126</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10501</v>
      </c>
      <c r="I5" s="3786" t="s">
        <v>10502</v>
      </c>
      <c r="J5" s="3855" t="s">
        <v>22</v>
      </c>
      <c r="K5" s="4796"/>
      <c r="L5" s="3856"/>
      <c r="M5" s="4797"/>
      <c r="N5" s="4797"/>
      <c r="O5" s="4797"/>
      <c r="P5" s="4797"/>
    </row>
    <row r="6" spans="1:256">
      <c r="A6" s="111" t="s">
        <v>133</v>
      </c>
      <c r="B6" s="111" t="s">
        <v>134</v>
      </c>
      <c r="C6" s="111">
        <v>3</v>
      </c>
      <c r="D6" s="111">
        <v>4</v>
      </c>
      <c r="E6" s="111">
        <v>5</v>
      </c>
      <c r="F6" s="111">
        <v>6</v>
      </c>
      <c r="G6" s="111">
        <v>7</v>
      </c>
      <c r="H6" s="3785" t="s">
        <v>10499</v>
      </c>
      <c r="I6" s="3786" t="s">
        <v>10500</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6127</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6128</v>
      </c>
      <c r="E16" s="151"/>
      <c r="F16" s="136"/>
      <c r="G16" s="362"/>
      <c r="H16" s="3790"/>
      <c r="I16" s="3822"/>
      <c r="J16" s="153"/>
    </row>
    <row r="17" spans="1:122" s="120" customFormat="1" ht="27" customHeight="1">
      <c r="A17" s="115"/>
      <c r="B17" s="121"/>
      <c r="C17" s="163"/>
      <c r="D17" s="163" t="s">
        <v>6129</v>
      </c>
      <c r="E17" s="163"/>
      <c r="F17" s="164">
        <f>(((32)*0.8)*1)*0.3</f>
        <v>7.68</v>
      </c>
      <c r="G17" s="513"/>
      <c r="H17" s="3791"/>
      <c r="I17" s="3823"/>
      <c r="J17" s="122"/>
      <c r="K17" s="512"/>
      <c r="L17" s="514"/>
    </row>
    <row r="18" spans="1:122" s="120" customFormat="1" ht="27" customHeight="1">
      <c r="A18" s="115"/>
      <c r="B18" s="121"/>
      <c r="C18" s="163"/>
      <c r="D18" s="163" t="s">
        <v>6130</v>
      </c>
      <c r="E18" s="163"/>
      <c r="F18" s="164">
        <f>(((81.4)*0.8)*1)*0.3</f>
        <v>19.536000000000001</v>
      </c>
      <c r="G18" s="513"/>
      <c r="H18" s="3791"/>
      <c r="I18" s="3823"/>
      <c r="J18" s="122"/>
      <c r="K18" s="512"/>
      <c r="L18" s="514"/>
    </row>
    <row r="19" spans="1:122" s="120" customFormat="1" ht="27" customHeight="1">
      <c r="A19" s="115"/>
      <c r="B19" s="121"/>
      <c r="C19" s="163"/>
      <c r="D19" s="163" t="s">
        <v>6131</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6132</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6133</v>
      </c>
      <c r="E22" s="151"/>
      <c r="F22" s="136"/>
      <c r="G22" s="362"/>
      <c r="H22" s="3790"/>
      <c r="I22" s="3822"/>
      <c r="J22" s="153"/>
    </row>
    <row r="23" spans="1:122" s="120" customFormat="1" ht="27" customHeight="1">
      <c r="A23" s="115"/>
      <c r="B23" s="121"/>
      <c r="C23" s="163"/>
      <c r="D23" s="163" t="s">
        <v>6134</v>
      </c>
      <c r="E23" s="163"/>
      <c r="F23" s="164">
        <f>(((4.7+2.3+4)*1.2)*4)*0.55</f>
        <v>29.04</v>
      </c>
      <c r="G23" s="513"/>
      <c r="H23" s="3791"/>
      <c r="I23" s="3823"/>
      <c r="J23" s="122"/>
    </row>
    <row r="24" spans="1:122" s="120" customFormat="1" ht="27" customHeight="1">
      <c r="A24" s="115"/>
      <c r="B24" s="121"/>
      <c r="C24" s="163"/>
      <c r="D24" s="163" t="s">
        <v>6135</v>
      </c>
      <c r="E24" s="163"/>
      <c r="F24" s="164">
        <f>(((4.1+1+7.6)*1.2)*4)*0.55</f>
        <v>33.527999999999999</v>
      </c>
      <c r="G24" s="513"/>
      <c r="H24" s="3791"/>
      <c r="I24" s="3823"/>
      <c r="J24" s="122"/>
    </row>
    <row r="25" spans="1:122" s="158" customFormat="1" ht="13.5" customHeight="1">
      <c r="A25" s="702"/>
      <c r="B25" s="161"/>
      <c r="C25" s="162"/>
      <c r="D25" s="193" t="s">
        <v>6136</v>
      </c>
      <c r="E25" s="163"/>
      <c r="F25" s="164"/>
      <c r="G25" s="165"/>
      <c r="H25" s="3792"/>
      <c r="I25" s="3824"/>
      <c r="J25" s="167"/>
      <c r="V25" s="159"/>
      <c r="X25" s="159"/>
    </row>
    <row r="26" spans="1:122" s="158" customFormat="1" ht="13.5" customHeight="1">
      <c r="A26" s="702"/>
      <c r="B26" s="161"/>
      <c r="C26" s="162"/>
      <c r="D26" s="163" t="s">
        <v>6137</v>
      </c>
      <c r="E26" s="163"/>
      <c r="F26" s="164">
        <f>(1.6*1.6*4.8)*0.55</f>
        <v>6.7584000000000017</v>
      </c>
      <c r="G26" s="165"/>
      <c r="H26" s="3792"/>
      <c r="I26" s="3824"/>
      <c r="J26" s="167"/>
      <c r="K26" s="171"/>
      <c r="V26" s="159"/>
      <c r="X26" s="159"/>
    </row>
    <row r="27" spans="1:122" s="158" customFormat="1" ht="13.5" customHeight="1">
      <c r="A27" s="702"/>
      <c r="B27" s="161"/>
      <c r="C27" s="162"/>
      <c r="D27" s="163" t="s">
        <v>6138</v>
      </c>
      <c r="E27" s="163"/>
      <c r="F27" s="164">
        <f>(1.6*1.6*4.6)*0.55</f>
        <v>6.4768000000000017</v>
      </c>
      <c r="G27" s="165"/>
      <c r="H27" s="3792"/>
      <c r="I27" s="3824"/>
      <c r="J27" s="167"/>
      <c r="K27" s="171"/>
      <c r="V27" s="159"/>
      <c r="X27" s="159"/>
    </row>
    <row r="28" spans="1:122" s="158" customFormat="1" ht="13.5" customHeight="1">
      <c r="A28" s="702"/>
      <c r="B28" s="161"/>
      <c r="C28" s="162"/>
      <c r="D28" s="193" t="s">
        <v>6139</v>
      </c>
      <c r="E28" s="163"/>
      <c r="F28" s="164"/>
      <c r="G28" s="165"/>
      <c r="H28" s="3792"/>
      <c r="I28" s="3824"/>
      <c r="J28" s="167"/>
      <c r="V28" s="159"/>
      <c r="X28" s="159"/>
    </row>
    <row r="29" spans="1:122" s="158" customFormat="1" ht="13.5" customHeight="1">
      <c r="A29" s="702"/>
      <c r="B29" s="161"/>
      <c r="C29" s="162"/>
      <c r="D29" s="163" t="s">
        <v>6140</v>
      </c>
      <c r="E29" s="163"/>
      <c r="F29" s="164">
        <f>(1.6*1.6*1.15)*0.3</f>
        <v>0.8832000000000001</v>
      </c>
      <c r="G29" s="165"/>
      <c r="H29" s="3792"/>
      <c r="I29" s="3824"/>
      <c r="J29" s="167"/>
      <c r="K29" s="171"/>
      <c r="V29" s="159"/>
      <c r="X29" s="159"/>
    </row>
    <row r="30" spans="1:122" s="158" customFormat="1" ht="13.5" customHeight="1">
      <c r="A30" s="702"/>
      <c r="B30" s="161"/>
      <c r="C30" s="162"/>
      <c r="D30" s="163" t="s">
        <v>6141</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6142</v>
      </c>
      <c r="E32" s="151"/>
      <c r="F32" s="136"/>
      <c r="G32" s="362"/>
      <c r="H32" s="3790"/>
      <c r="I32" s="3822"/>
      <c r="J32" s="153"/>
    </row>
    <row r="33" spans="1:122" s="120" customFormat="1" ht="27" customHeight="1">
      <c r="A33" s="115"/>
      <c r="B33" s="121"/>
      <c r="C33" s="163"/>
      <c r="D33" s="163" t="s">
        <v>6143</v>
      </c>
      <c r="E33" s="163"/>
      <c r="F33" s="164">
        <f>(((32)*0.8)*1)*0.6</f>
        <v>15.36</v>
      </c>
      <c r="G33" s="513"/>
      <c r="H33" s="3791"/>
      <c r="I33" s="3823"/>
      <c r="J33" s="122"/>
    </row>
    <row r="34" spans="1:122" s="120" customFormat="1" ht="27" customHeight="1">
      <c r="A34" s="115"/>
      <c r="B34" s="121"/>
      <c r="C34" s="163"/>
      <c r="D34" s="163" t="s">
        <v>6144</v>
      </c>
      <c r="E34" s="163"/>
      <c r="F34" s="164">
        <f>(((81.4)*0.8)*1)*0.6</f>
        <v>39.072000000000003</v>
      </c>
      <c r="G34" s="513"/>
      <c r="H34" s="3791"/>
      <c r="I34" s="3823"/>
      <c r="J34" s="122"/>
    </row>
    <row r="35" spans="1:122" s="120" customFormat="1" ht="27" customHeight="1">
      <c r="A35" s="115"/>
      <c r="B35" s="121"/>
      <c r="C35" s="163"/>
      <c r="D35" s="163" t="s">
        <v>6145</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6146</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6147</v>
      </c>
      <c r="E38" s="151"/>
      <c r="F38" s="136"/>
      <c r="G38" s="362"/>
      <c r="H38" s="3790"/>
      <c r="I38" s="3822"/>
      <c r="J38" s="153"/>
    </row>
    <row r="39" spans="1:122" s="120" customFormat="1" ht="27" customHeight="1">
      <c r="A39" s="115"/>
      <c r="B39" s="121"/>
      <c r="C39" s="163"/>
      <c r="D39" s="163" t="s">
        <v>6148</v>
      </c>
      <c r="E39" s="163"/>
      <c r="F39" s="164">
        <f>(((4.7+2.3+4)*1.2)*4)*0.35</f>
        <v>18.479999999999997</v>
      </c>
      <c r="G39" s="513"/>
      <c r="H39" s="3791"/>
      <c r="I39" s="3823"/>
      <c r="J39" s="122"/>
    </row>
    <row r="40" spans="1:122" s="120" customFormat="1" ht="27" customHeight="1">
      <c r="A40" s="115"/>
      <c r="B40" s="121"/>
      <c r="C40" s="163"/>
      <c r="D40" s="163" t="s">
        <v>6149</v>
      </c>
      <c r="E40" s="163"/>
      <c r="F40" s="164">
        <f>(((4.1+1+7.6)*1.2)*4)*0.35</f>
        <v>21.335999999999995</v>
      </c>
      <c r="G40" s="513"/>
      <c r="H40" s="3791"/>
      <c r="I40" s="3823"/>
      <c r="J40" s="122"/>
    </row>
    <row r="41" spans="1:122" s="158" customFormat="1" ht="13.5" customHeight="1">
      <c r="A41" s="702"/>
      <c r="B41" s="161"/>
      <c r="C41" s="162"/>
      <c r="D41" s="193" t="s">
        <v>6150</v>
      </c>
      <c r="E41" s="163"/>
      <c r="F41" s="164"/>
      <c r="G41" s="165"/>
      <c r="H41" s="3792"/>
      <c r="I41" s="3824"/>
      <c r="J41" s="167"/>
      <c r="V41" s="159"/>
      <c r="X41" s="159"/>
    </row>
    <row r="42" spans="1:122" s="158" customFormat="1" ht="13.5" customHeight="1">
      <c r="A42" s="702"/>
      <c r="B42" s="161"/>
      <c r="C42" s="162"/>
      <c r="D42" s="163" t="s">
        <v>6151</v>
      </c>
      <c r="E42" s="163"/>
      <c r="F42" s="164">
        <f>(1.6*1.6*4.8)*0.35</f>
        <v>4.3008000000000006</v>
      </c>
      <c r="G42" s="165"/>
      <c r="H42" s="3792"/>
      <c r="I42" s="3824"/>
      <c r="J42" s="167"/>
      <c r="K42" s="171"/>
      <c r="V42" s="159"/>
      <c r="X42" s="159"/>
    </row>
    <row r="43" spans="1:122" s="158" customFormat="1" ht="13.5" customHeight="1">
      <c r="A43" s="702"/>
      <c r="B43" s="161"/>
      <c r="C43" s="162"/>
      <c r="D43" s="163" t="s">
        <v>6152</v>
      </c>
      <c r="E43" s="163"/>
      <c r="F43" s="164">
        <f>(1.6*1.6*4.6)*0.35</f>
        <v>4.1215999999999999</v>
      </c>
      <c r="G43" s="165"/>
      <c r="H43" s="3792"/>
      <c r="I43" s="3824"/>
      <c r="J43" s="167"/>
      <c r="K43" s="171"/>
      <c r="V43" s="159"/>
      <c r="X43" s="159"/>
    </row>
    <row r="44" spans="1:122" s="158" customFormat="1" ht="13.5" customHeight="1">
      <c r="A44" s="702"/>
      <c r="B44" s="161"/>
      <c r="C44" s="162"/>
      <c r="D44" s="193" t="s">
        <v>6153</v>
      </c>
      <c r="E44" s="163"/>
      <c r="F44" s="164"/>
      <c r="G44" s="165"/>
      <c r="H44" s="3792"/>
      <c r="I44" s="3824"/>
      <c r="J44" s="167"/>
      <c r="V44" s="159"/>
      <c r="X44" s="159"/>
    </row>
    <row r="45" spans="1:122" s="158" customFormat="1" ht="13.5" customHeight="1">
      <c r="A45" s="702"/>
      <c r="B45" s="161"/>
      <c r="C45" s="162"/>
      <c r="D45" s="163" t="s">
        <v>6154</v>
      </c>
      <c r="E45" s="163"/>
      <c r="F45" s="164">
        <f>(1.6*1.6*1.15)*0.6</f>
        <v>1.7664000000000002</v>
      </c>
      <c r="G45" s="165"/>
      <c r="H45" s="3792"/>
      <c r="I45" s="3824"/>
      <c r="J45" s="167"/>
      <c r="K45" s="171"/>
      <c r="V45" s="159"/>
      <c r="X45" s="159"/>
    </row>
    <row r="46" spans="1:122" s="158" customFormat="1" ht="13.5" customHeight="1">
      <c r="A46" s="702"/>
      <c r="B46" s="161"/>
      <c r="C46" s="162"/>
      <c r="D46" s="163" t="s">
        <v>6141</v>
      </c>
      <c r="E46" s="163"/>
      <c r="F46" s="164"/>
      <c r="G46" s="165"/>
      <c r="H46" s="3792"/>
      <c r="I46" s="3824"/>
      <c r="J46" s="167"/>
      <c r="K46" s="171"/>
      <c r="V46" s="159"/>
      <c r="X46" s="159"/>
    </row>
    <row r="47" spans="1:122" s="192" customFormat="1" ht="27" customHeight="1">
      <c r="A47" s="2251">
        <v>11</v>
      </c>
      <c r="B47" s="151" t="s">
        <v>850</v>
      </c>
      <c r="C47" s="151">
        <v>132454101</v>
      </c>
      <c r="D47" s="151" t="s">
        <v>6155</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6156</v>
      </c>
      <c r="E48" s="151"/>
      <c r="F48" s="136"/>
      <c r="G48" s="362"/>
      <c r="H48" s="3790"/>
      <c r="I48" s="3822"/>
      <c r="J48" s="153"/>
    </row>
    <row r="49" spans="1:122" s="120" customFormat="1" ht="27" customHeight="1">
      <c r="A49" s="115"/>
      <c r="B49" s="121"/>
      <c r="C49" s="163"/>
      <c r="D49" s="163" t="s">
        <v>6157</v>
      </c>
      <c r="E49" s="163"/>
      <c r="F49" s="164">
        <f>(((32)*0.8)*1)*0.1</f>
        <v>2.5600000000000005</v>
      </c>
      <c r="G49" s="513"/>
      <c r="H49" s="3791"/>
      <c r="I49" s="3823"/>
      <c r="J49" s="122"/>
    </row>
    <row r="50" spans="1:122" s="120" customFormat="1" ht="27" customHeight="1">
      <c r="A50" s="115"/>
      <c r="B50" s="121"/>
      <c r="C50" s="163"/>
      <c r="D50" s="163" t="s">
        <v>6158</v>
      </c>
      <c r="E50" s="163"/>
      <c r="F50" s="164">
        <f>(((81.4)*0.8)*1)*0.1</f>
        <v>6.5120000000000005</v>
      </c>
      <c r="G50" s="513"/>
      <c r="H50" s="3791"/>
      <c r="I50" s="3823"/>
      <c r="J50" s="122"/>
    </row>
    <row r="51" spans="1:122" s="120" customFormat="1" ht="27" customHeight="1">
      <c r="A51" s="115"/>
      <c r="B51" s="121"/>
      <c r="C51" s="163"/>
      <c r="D51" s="163" t="s">
        <v>6159</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6160</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6156</v>
      </c>
      <c r="E54" s="151"/>
      <c r="F54" s="136"/>
      <c r="G54" s="362"/>
      <c r="H54" s="3790"/>
      <c r="I54" s="3822"/>
      <c r="J54" s="153"/>
    </row>
    <row r="55" spans="1:122" s="120" customFormat="1" ht="27" customHeight="1">
      <c r="A55" s="115"/>
      <c r="B55" s="121"/>
      <c r="C55" s="163"/>
      <c r="D55" s="163" t="s">
        <v>6161</v>
      </c>
      <c r="E55" s="163"/>
      <c r="F55" s="164">
        <f>(((4.7+2.3+4)*1.2)*4)*0.1</f>
        <v>5.28</v>
      </c>
      <c r="G55" s="513"/>
      <c r="H55" s="3791"/>
      <c r="I55" s="3823"/>
      <c r="J55" s="122"/>
      <c r="L55" s="598"/>
    </row>
    <row r="56" spans="1:122" s="120" customFormat="1" ht="27" customHeight="1">
      <c r="A56" s="115"/>
      <c r="B56" s="121"/>
      <c r="C56" s="163"/>
      <c r="D56" s="163" t="s">
        <v>6162</v>
      </c>
      <c r="E56" s="163"/>
      <c r="F56" s="164">
        <f>(((4.1+1+7.6)*1.2)*4)*0.1</f>
        <v>6.0960000000000001</v>
      </c>
      <c r="G56" s="513"/>
      <c r="H56" s="3791"/>
      <c r="I56" s="3823"/>
      <c r="J56" s="122"/>
    </row>
    <row r="57" spans="1:122" s="158" customFormat="1" ht="13.5" customHeight="1">
      <c r="A57" s="702"/>
      <c r="B57" s="161"/>
      <c r="C57" s="162"/>
      <c r="D57" s="193" t="s">
        <v>6163</v>
      </c>
      <c r="E57" s="163"/>
      <c r="F57" s="164"/>
      <c r="G57" s="165"/>
      <c r="H57" s="3792"/>
      <c r="I57" s="3824"/>
      <c r="J57" s="167"/>
      <c r="V57" s="159"/>
      <c r="X57" s="159"/>
    </row>
    <row r="58" spans="1:122" s="158" customFormat="1" ht="13.5" customHeight="1">
      <c r="A58" s="702"/>
      <c r="B58" s="161"/>
      <c r="C58" s="162"/>
      <c r="D58" s="163" t="s">
        <v>6164</v>
      </c>
      <c r="E58" s="163"/>
      <c r="F58" s="164">
        <f>(1.6*1.6*4.8)*0.1</f>
        <v>1.2288000000000003</v>
      </c>
      <c r="G58" s="165"/>
      <c r="H58" s="3792"/>
      <c r="I58" s="3824"/>
      <c r="J58" s="167"/>
      <c r="K58" s="171"/>
      <c r="V58" s="159"/>
      <c r="X58" s="159"/>
    </row>
    <row r="59" spans="1:122" s="158" customFormat="1" ht="13.5" customHeight="1">
      <c r="A59" s="702"/>
      <c r="B59" s="161"/>
      <c r="C59" s="162"/>
      <c r="D59" s="163" t="s">
        <v>6165</v>
      </c>
      <c r="E59" s="163"/>
      <c r="F59" s="164">
        <f>(1.6*1.6*4.6)*0.1</f>
        <v>1.1776000000000002</v>
      </c>
      <c r="G59" s="165"/>
      <c r="H59" s="3792"/>
      <c r="I59" s="3824"/>
      <c r="J59" s="167"/>
      <c r="K59" s="171"/>
      <c r="V59" s="159"/>
      <c r="X59" s="159"/>
    </row>
    <row r="60" spans="1:122" s="158" customFormat="1" ht="13.5" customHeight="1">
      <c r="A60" s="702"/>
      <c r="B60" s="161"/>
      <c r="C60" s="162"/>
      <c r="D60" s="193" t="s">
        <v>6166</v>
      </c>
      <c r="E60" s="163"/>
      <c r="F60" s="164"/>
      <c r="G60" s="165"/>
      <c r="H60" s="3792"/>
      <c r="I60" s="3824"/>
      <c r="J60" s="167"/>
      <c r="V60" s="159"/>
      <c r="X60" s="159"/>
    </row>
    <row r="61" spans="1:122" s="158" customFormat="1" ht="13.5" customHeight="1">
      <c r="A61" s="702"/>
      <c r="B61" s="161"/>
      <c r="C61" s="162"/>
      <c r="D61" s="163" t="s">
        <v>6167</v>
      </c>
      <c r="E61" s="163"/>
      <c r="F61" s="164">
        <f>(1.6*1.6*1.15)*0.1</f>
        <v>0.29440000000000005</v>
      </c>
      <c r="G61" s="165"/>
      <c r="H61" s="3792"/>
      <c r="I61" s="3824"/>
      <c r="J61" s="167"/>
      <c r="K61" s="171"/>
      <c r="V61" s="159"/>
      <c r="X61" s="159"/>
    </row>
    <row r="62" spans="1:122" s="158" customFormat="1" ht="13.5" customHeight="1">
      <c r="A62" s="702"/>
      <c r="B62" s="161"/>
      <c r="C62" s="162"/>
      <c r="D62" s="163" t="s">
        <v>6141</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6168</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6169</v>
      </c>
      <c r="E66" s="163"/>
      <c r="F66" s="164"/>
      <c r="G66" s="165"/>
      <c r="H66" s="3792"/>
      <c r="I66" s="3824"/>
      <c r="J66" s="167"/>
      <c r="K66" s="512"/>
      <c r="L66" s="4802"/>
      <c r="V66" s="159"/>
      <c r="X66" s="159"/>
    </row>
    <row r="67" spans="1:256" s="120" customFormat="1" ht="27" customHeight="1">
      <c r="A67" s="115"/>
      <c r="B67" s="121"/>
      <c r="C67" s="163"/>
      <c r="D67" s="163" t="s">
        <v>6170</v>
      </c>
      <c r="E67" s="163"/>
      <c r="F67" s="164">
        <f>(((32)*1)*2)*0.6</f>
        <v>38.4</v>
      </c>
      <c r="G67" s="513"/>
      <c r="H67" s="3791"/>
      <c r="I67" s="3823"/>
      <c r="J67" s="122"/>
    </row>
    <row r="68" spans="1:256" s="120" customFormat="1" ht="27" customHeight="1">
      <c r="A68" s="115"/>
      <c r="B68" s="121"/>
      <c r="C68" s="163"/>
      <c r="D68" s="163" t="s">
        <v>6171</v>
      </c>
      <c r="E68" s="163"/>
      <c r="F68" s="164">
        <f>(((81.4)*1)*2)*0.6</f>
        <v>97.68</v>
      </c>
      <c r="G68" s="513"/>
      <c r="H68" s="3791"/>
      <c r="I68" s="3823"/>
      <c r="J68" s="122"/>
    </row>
    <row r="69" spans="1:256" s="120" customFormat="1" ht="27" customHeight="1">
      <c r="A69" s="115"/>
      <c r="B69" s="121"/>
      <c r="C69" s="163"/>
      <c r="D69" s="163" t="s">
        <v>6172</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6173</v>
      </c>
      <c r="E71" s="163"/>
      <c r="F71" s="164"/>
      <c r="G71" s="513"/>
      <c r="H71" s="3791"/>
      <c r="I71" s="3823"/>
      <c r="J71" s="122"/>
    </row>
    <row r="72" spans="1:256" s="187" customFormat="1" ht="27" customHeight="1">
      <c r="A72" s="1749"/>
      <c r="B72" s="207"/>
      <c r="C72" s="151"/>
      <c r="D72" s="163" t="s">
        <v>6174</v>
      </c>
      <c r="E72" s="151"/>
      <c r="F72" s="136">
        <f>(((4.7+2.3+4)*4)*2)*0.8</f>
        <v>70.400000000000006</v>
      </c>
      <c r="G72" s="362"/>
      <c r="H72" s="3790"/>
      <c r="I72" s="3822"/>
      <c r="J72" s="153"/>
    </row>
    <row r="73" spans="1:256" s="187" customFormat="1" ht="27" customHeight="1">
      <c r="A73" s="1749"/>
      <c r="B73" s="207"/>
      <c r="C73" s="151"/>
      <c r="D73" s="163" t="s">
        <v>6175</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6176</v>
      </c>
      <c r="E76" s="121" t="s">
        <v>611</v>
      </c>
      <c r="F76" s="210">
        <f>ROUND(SUM(F77:F79),3)</f>
        <v>60.16</v>
      </c>
      <c r="G76" s="137"/>
      <c r="H76" s="3789">
        <f>ROUND(F76*G76,2)</f>
        <v>0</v>
      </c>
      <c r="I76" s="3821"/>
      <c r="J76" s="122" t="s">
        <v>142</v>
      </c>
    </row>
    <row r="77" spans="1:256" s="120" customFormat="1" ht="13.5" customHeight="1">
      <c r="A77" s="115"/>
      <c r="B77" s="121"/>
      <c r="C77" s="163"/>
      <c r="D77" s="135" t="s">
        <v>6177</v>
      </c>
      <c r="E77" s="163"/>
      <c r="F77" s="164"/>
      <c r="G77" s="513"/>
      <c r="H77" s="3791"/>
      <c r="I77" s="3823"/>
      <c r="J77" s="122"/>
    </row>
    <row r="78" spans="1:256" s="120" customFormat="1" ht="13.5" customHeight="1">
      <c r="A78" s="115"/>
      <c r="B78" s="121"/>
      <c r="C78" s="163"/>
      <c r="D78" s="135" t="s">
        <v>6178</v>
      </c>
      <c r="E78" s="163"/>
      <c r="F78" s="164">
        <f>(1.6*4.8)*4</f>
        <v>30.72</v>
      </c>
      <c r="G78" s="513"/>
      <c r="H78" s="3791"/>
      <c r="I78" s="3823"/>
      <c r="J78" s="122"/>
    </row>
    <row r="79" spans="1:256" s="120" customFormat="1" ht="13.5" customHeight="1">
      <c r="A79" s="115"/>
      <c r="B79" s="121"/>
      <c r="C79" s="163"/>
      <c r="D79" s="135" t="s">
        <v>6179</v>
      </c>
      <c r="E79" s="163"/>
      <c r="F79" s="164">
        <f>(1.6*4.6)*4</f>
        <v>29.439999999999998</v>
      </c>
      <c r="G79" s="513"/>
      <c r="H79" s="3791"/>
      <c r="I79" s="3823"/>
      <c r="J79" s="122"/>
    </row>
    <row r="80" spans="1:256" s="120" customFormat="1" ht="13.5" customHeight="1">
      <c r="A80" s="115">
        <v>19</v>
      </c>
      <c r="B80" s="121" t="s">
        <v>850</v>
      </c>
      <c r="C80" s="121">
        <v>151811242</v>
      </c>
      <c r="D80" s="121" t="s">
        <v>6180</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6181</v>
      </c>
      <c r="E81" s="121" t="s">
        <v>221</v>
      </c>
      <c r="F81" s="210">
        <f>ROUND(SUM(F84:F85),3)</f>
        <v>13.234999999999999</v>
      </c>
      <c r="G81" s="137"/>
      <c r="H81" s="3789">
        <f>ROUND(F81*G81,2)</f>
        <v>0</v>
      </c>
      <c r="I81" s="3821"/>
      <c r="J81" s="122" t="s">
        <v>142</v>
      </c>
    </row>
    <row r="82" spans="1:11" s="120" customFormat="1" ht="13.5" customHeight="1">
      <c r="A82" s="115"/>
      <c r="B82" s="121"/>
      <c r="C82" s="163"/>
      <c r="D82" s="163" t="s">
        <v>6182</v>
      </c>
      <c r="E82" s="163"/>
      <c r="F82" s="164"/>
      <c r="G82" s="513"/>
      <c r="H82" s="3791"/>
      <c r="I82" s="3823"/>
      <c r="J82" s="122"/>
      <c r="K82" s="187"/>
    </row>
    <row r="83" spans="1:11" s="120" customFormat="1" ht="13.5" customHeight="1">
      <c r="A83" s="115"/>
      <c r="B83" s="121"/>
      <c r="C83" s="163"/>
      <c r="D83" s="163" t="s">
        <v>6183</v>
      </c>
      <c r="E83" s="163"/>
      <c r="F83" s="164"/>
      <c r="G83" s="513"/>
      <c r="H83" s="3791"/>
      <c r="I83" s="3823"/>
      <c r="J83" s="122"/>
      <c r="K83" s="187"/>
    </row>
    <row r="84" spans="1:11" s="120" customFormat="1" ht="13.5" customHeight="1">
      <c r="A84" s="115"/>
      <c r="B84" s="121"/>
      <c r="C84" s="163"/>
      <c r="D84" s="163" t="s">
        <v>6184</v>
      </c>
      <c r="E84" s="163"/>
      <c r="F84" s="164">
        <f>6.758</f>
        <v>6.758</v>
      </c>
      <c r="G84" s="513"/>
      <c r="H84" s="3791"/>
      <c r="I84" s="3823"/>
      <c r="J84" s="122"/>
      <c r="K84" s="187"/>
    </row>
    <row r="85" spans="1:11" s="120" customFormat="1" ht="13.5" customHeight="1">
      <c r="A85" s="115"/>
      <c r="B85" s="121"/>
      <c r="C85" s="163"/>
      <c r="D85" s="163" t="s">
        <v>6185</v>
      </c>
      <c r="E85" s="163"/>
      <c r="F85" s="164">
        <f>6.477</f>
        <v>6.4770000000000003</v>
      </c>
      <c r="G85" s="513"/>
      <c r="H85" s="3791"/>
      <c r="I85" s="3823"/>
      <c r="J85" s="122"/>
      <c r="K85" s="187"/>
    </row>
    <row r="86" spans="1:11" s="120" customFormat="1" ht="13.5" customHeight="1">
      <c r="A86" s="115"/>
      <c r="B86" s="121"/>
      <c r="C86" s="163"/>
      <c r="D86" s="163" t="s">
        <v>6186</v>
      </c>
      <c r="E86" s="163"/>
      <c r="F86" s="164"/>
      <c r="G86" s="513"/>
      <c r="H86" s="3791"/>
      <c r="I86" s="3823"/>
      <c r="J86" s="122"/>
    </row>
    <row r="87" spans="1:11" s="120" customFormat="1" ht="13.5" customHeight="1">
      <c r="A87" s="115">
        <v>21</v>
      </c>
      <c r="B87" s="121" t="s">
        <v>850</v>
      </c>
      <c r="C87" s="121">
        <v>161151113</v>
      </c>
      <c r="D87" s="121" t="s">
        <v>6187</v>
      </c>
      <c r="E87" s="121" t="s">
        <v>221</v>
      </c>
      <c r="F87" s="210">
        <f>ROUND(SUM(F90:F91),3)</f>
        <v>10.83</v>
      </c>
      <c r="G87" s="137"/>
      <c r="H87" s="3789">
        <f>ROUND(F87*G87,2)</f>
        <v>0</v>
      </c>
      <c r="I87" s="3821"/>
      <c r="J87" s="122" t="s">
        <v>142</v>
      </c>
    </row>
    <row r="88" spans="1:11" s="120" customFormat="1" ht="13.5" customHeight="1">
      <c r="A88" s="115"/>
      <c r="B88" s="121"/>
      <c r="C88" s="163"/>
      <c r="D88" s="163" t="s">
        <v>6182</v>
      </c>
      <c r="E88" s="163"/>
      <c r="F88" s="164"/>
      <c r="G88" s="513"/>
      <c r="H88" s="3791"/>
      <c r="I88" s="3823"/>
      <c r="J88" s="122"/>
      <c r="K88" s="187"/>
    </row>
    <row r="89" spans="1:11" s="120" customFormat="1" ht="13.5" customHeight="1">
      <c r="A89" s="115"/>
      <c r="B89" s="121"/>
      <c r="C89" s="163"/>
      <c r="D89" s="163" t="s">
        <v>6183</v>
      </c>
      <c r="E89" s="163"/>
      <c r="F89" s="164"/>
      <c r="G89" s="513"/>
      <c r="H89" s="3791"/>
      <c r="I89" s="3823"/>
      <c r="J89" s="122"/>
      <c r="K89" s="187"/>
    </row>
    <row r="90" spans="1:11" s="120" customFormat="1" ht="13.5" customHeight="1">
      <c r="A90" s="115"/>
      <c r="B90" s="121"/>
      <c r="C90" s="163"/>
      <c r="D90" s="163" t="s">
        <v>6188</v>
      </c>
      <c r="E90" s="163"/>
      <c r="F90" s="164">
        <f>(4.301)+(1.229)</f>
        <v>5.53</v>
      </c>
      <c r="G90" s="513"/>
      <c r="H90" s="3791"/>
      <c r="I90" s="3823"/>
      <c r="J90" s="122"/>
      <c r="K90" s="187"/>
    </row>
    <row r="91" spans="1:11" s="120" customFormat="1" ht="13.5" customHeight="1">
      <c r="A91" s="115"/>
      <c r="B91" s="121"/>
      <c r="C91" s="163"/>
      <c r="D91" s="163" t="s">
        <v>6189</v>
      </c>
      <c r="E91" s="163"/>
      <c r="F91" s="164">
        <f>(4.122)+(1.178)</f>
        <v>5.3</v>
      </c>
      <c r="G91" s="513"/>
      <c r="H91" s="3791"/>
      <c r="I91" s="3823"/>
      <c r="J91" s="122"/>
      <c r="K91" s="187"/>
    </row>
    <row r="92" spans="1:11" s="120" customFormat="1" ht="13.5" customHeight="1">
      <c r="A92" s="115"/>
      <c r="B92" s="121"/>
      <c r="C92" s="163"/>
      <c r="D92" s="163" t="s">
        <v>6186</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6190</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6191</v>
      </c>
      <c r="E96" s="121"/>
      <c r="F96" s="173"/>
      <c r="G96" s="137"/>
      <c r="H96" s="3791"/>
      <c r="I96" s="3823"/>
      <c r="J96" s="122"/>
      <c r="K96" s="278"/>
    </row>
    <row r="97" spans="1:24" s="120" customFormat="1" ht="27" customHeight="1">
      <c r="A97" s="115"/>
      <c r="B97" s="121"/>
      <c r="C97" s="163"/>
      <c r="D97" s="163" t="s">
        <v>6192</v>
      </c>
      <c r="E97" s="163"/>
      <c r="F97" s="164">
        <f>(32*0.8)*(1-0.15-0.4)</f>
        <v>11.52</v>
      </c>
      <c r="G97" s="513"/>
      <c r="H97" s="3791"/>
      <c r="I97" s="3823"/>
      <c r="J97" s="122"/>
    </row>
    <row r="98" spans="1:24" s="120" customFormat="1" ht="27" customHeight="1">
      <c r="A98" s="115"/>
      <c r="B98" s="121"/>
      <c r="C98" s="163"/>
      <c r="D98" s="163" t="s">
        <v>6193</v>
      </c>
      <c r="E98" s="163"/>
      <c r="F98" s="164">
        <f>(81.4*0.8)*(1-0.15-0.4)</f>
        <v>29.303999999999998</v>
      </c>
      <c r="G98" s="513"/>
      <c r="H98" s="3791"/>
      <c r="I98" s="3823"/>
      <c r="J98" s="122"/>
      <c r="K98" s="598"/>
    </row>
    <row r="99" spans="1:24" s="120" customFormat="1" ht="27" customHeight="1">
      <c r="A99" s="115"/>
      <c r="B99" s="121"/>
      <c r="C99" s="163"/>
      <c r="D99" s="163" t="s">
        <v>6194</v>
      </c>
      <c r="E99" s="163"/>
      <c r="F99" s="164">
        <f>(10.4*0.8)*(1-0.15-0.4)</f>
        <v>3.7439999999999998</v>
      </c>
      <c r="G99" s="513"/>
      <c r="H99" s="3791"/>
      <c r="I99" s="3823"/>
      <c r="J99" s="122"/>
    </row>
    <row r="100" spans="1:24" s="120" customFormat="1" ht="27" customHeight="1">
      <c r="A100" s="115"/>
      <c r="B100" s="121"/>
      <c r="C100" s="163"/>
      <c r="D100" s="163" t="s">
        <v>6195</v>
      </c>
      <c r="E100" s="163"/>
      <c r="F100" s="164">
        <f>((4.7+2.3+4)*1.2)*(4-0.15-0.4)</f>
        <v>45.54</v>
      </c>
      <c r="G100" s="513"/>
      <c r="H100" s="3791"/>
      <c r="I100" s="3823"/>
      <c r="J100" s="122"/>
      <c r="K100" s="598"/>
    </row>
    <row r="101" spans="1:24" s="120" customFormat="1" ht="27" customHeight="1">
      <c r="A101" s="115"/>
      <c r="B101" s="121"/>
      <c r="C101" s="163"/>
      <c r="D101" s="163" t="s">
        <v>6196</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6197</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6198</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6199</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6200</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6201</v>
      </c>
      <c r="E109" s="417"/>
      <c r="F109" s="418">
        <f>(10.589)*2</f>
        <v>21.178000000000001</v>
      </c>
      <c r="G109" s="733"/>
      <c r="H109" s="3794"/>
      <c r="I109" s="3826"/>
      <c r="J109" s="735"/>
      <c r="K109" s="726"/>
      <c r="V109" s="159"/>
      <c r="X109" s="159"/>
    </row>
    <row r="110" spans="1:24" s="158" customFormat="1" ht="13.5" customHeight="1">
      <c r="A110" s="729"/>
      <c r="B110" s="730"/>
      <c r="C110" s="731"/>
      <c r="D110" s="417" t="s">
        <v>6202</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6203</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6204</v>
      </c>
      <c r="E113" s="163"/>
      <c r="F113" s="164">
        <f>((32)*0.8)*0.4</f>
        <v>10.240000000000002</v>
      </c>
      <c r="G113" s="513"/>
      <c r="H113" s="3791"/>
      <c r="I113" s="3823"/>
      <c r="J113" s="122"/>
    </row>
    <row r="114" spans="1:257" s="120" customFormat="1" ht="27" customHeight="1">
      <c r="A114" s="115"/>
      <c r="B114" s="121"/>
      <c r="C114" s="163"/>
      <c r="D114" s="163" t="s">
        <v>6205</v>
      </c>
      <c r="E114" s="163"/>
      <c r="F114" s="164">
        <f>((81.4)*0.8)*0.4</f>
        <v>26.048000000000002</v>
      </c>
      <c r="G114" s="513"/>
      <c r="H114" s="3791"/>
      <c r="I114" s="3823"/>
      <c r="J114" s="122"/>
    </row>
    <row r="115" spans="1:257" s="120" customFormat="1" ht="27" customHeight="1">
      <c r="A115" s="115"/>
      <c r="B115" s="121"/>
      <c r="C115" s="163"/>
      <c r="D115" s="163" t="s">
        <v>6206</v>
      </c>
      <c r="E115" s="163"/>
      <c r="F115" s="164">
        <f>((10.4)*0.8)*0.4</f>
        <v>3.3280000000000003</v>
      </c>
      <c r="G115" s="513"/>
      <c r="H115" s="3791"/>
      <c r="I115" s="3823"/>
      <c r="J115" s="122"/>
    </row>
    <row r="116" spans="1:257" s="120" customFormat="1" ht="27" customHeight="1">
      <c r="A116" s="115"/>
      <c r="B116" s="121"/>
      <c r="C116" s="163"/>
      <c r="D116" s="163" t="s">
        <v>6207</v>
      </c>
      <c r="E116" s="163"/>
      <c r="F116" s="164">
        <f>((4.7+2.3+4)*1.2)*0.4</f>
        <v>5.28</v>
      </c>
      <c r="G116" s="513"/>
      <c r="H116" s="3791"/>
      <c r="I116" s="3823"/>
      <c r="J116" s="122"/>
    </row>
    <row r="117" spans="1:257" s="120" customFormat="1" ht="27" customHeight="1">
      <c r="A117" s="115"/>
      <c r="B117" s="121"/>
      <c r="C117" s="163"/>
      <c r="D117" s="163" t="s">
        <v>6208</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6203</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6209</v>
      </c>
      <c r="E120" s="417"/>
      <c r="F120" s="418">
        <f>(10.24)*2</f>
        <v>20.48</v>
      </c>
      <c r="G120" s="2252"/>
      <c r="H120" s="3795"/>
      <c r="I120" s="3827"/>
      <c r="J120" s="143"/>
    </row>
    <row r="121" spans="1:257" s="120" customFormat="1" ht="27" customHeight="1">
      <c r="A121" s="727"/>
      <c r="B121" s="140"/>
      <c r="C121" s="417"/>
      <c r="D121" s="417" t="s">
        <v>6210</v>
      </c>
      <c r="E121" s="417"/>
      <c r="F121" s="418">
        <f>(26.048)*2</f>
        <v>52.095999999999997</v>
      </c>
      <c r="G121" s="2252"/>
      <c r="H121" s="3795"/>
      <c r="I121" s="3827"/>
      <c r="J121" s="143"/>
    </row>
    <row r="122" spans="1:257" s="120" customFormat="1" ht="27" customHeight="1">
      <c r="A122" s="727"/>
      <c r="B122" s="140"/>
      <c r="C122" s="417"/>
      <c r="D122" s="417" t="s">
        <v>6211</v>
      </c>
      <c r="E122" s="417"/>
      <c r="F122" s="418">
        <f>(3.328)*2</f>
        <v>6.6559999999999997</v>
      </c>
      <c r="G122" s="2252"/>
      <c r="H122" s="3795"/>
      <c r="I122" s="3827"/>
      <c r="J122" s="143"/>
    </row>
    <row r="123" spans="1:257" s="120" customFormat="1" ht="27" customHeight="1">
      <c r="A123" s="727"/>
      <c r="B123" s="140"/>
      <c r="C123" s="417"/>
      <c r="D123" s="417" t="s">
        <v>6212</v>
      </c>
      <c r="E123" s="417"/>
      <c r="F123" s="418">
        <f>(5.28)*2</f>
        <v>10.56</v>
      </c>
      <c r="G123" s="2252"/>
      <c r="H123" s="3795"/>
      <c r="I123" s="3827"/>
      <c r="J123" s="143"/>
    </row>
    <row r="124" spans="1:257" s="120" customFormat="1" ht="27" customHeight="1">
      <c r="A124" s="727"/>
      <c r="B124" s="140"/>
      <c r="C124" s="417"/>
      <c r="D124" s="417" t="s">
        <v>6213</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 t="shared" ref="H133:H137" si="1">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 t="shared" si="1"/>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 t="shared" si="1"/>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 t="shared" si="1"/>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 t="shared" si="1"/>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 t="shared" ref="H147:H150" si="2">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 t="shared" si="2"/>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 t="shared" si="2"/>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 t="shared" si="2"/>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6214</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6215</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6216</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6217</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6218</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6219</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6220</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6221</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6222</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6223</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3">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3"/>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3"/>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3"/>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3"/>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3"/>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6224</v>
      </c>
      <c r="E176" s="163"/>
      <c r="F176" s="164"/>
      <c r="G176" s="165"/>
      <c r="H176" s="3792"/>
      <c r="I176" s="3824"/>
      <c r="J176" s="167"/>
      <c r="K176" s="171"/>
      <c r="V176" s="159"/>
      <c r="X176" s="159"/>
    </row>
    <row r="177" spans="1:256" s="120" customFormat="1" ht="27" customHeight="1">
      <c r="A177" s="115"/>
      <c r="B177" s="121"/>
      <c r="C177" s="163"/>
      <c r="D177" s="163" t="s">
        <v>6225</v>
      </c>
      <c r="E177" s="163"/>
      <c r="F177" s="164">
        <f>((32)*0.8)*0.15</f>
        <v>3.84</v>
      </c>
      <c r="G177" s="513"/>
      <c r="H177" s="3791"/>
      <c r="I177" s="3823"/>
      <c r="J177" s="122"/>
    </row>
    <row r="178" spans="1:256" s="120" customFormat="1" ht="27" customHeight="1">
      <c r="A178" s="115"/>
      <c r="B178" s="121"/>
      <c r="C178" s="163"/>
      <c r="D178" s="163" t="s">
        <v>6226</v>
      </c>
      <c r="E178" s="163"/>
      <c r="F178" s="164">
        <f>((81.4)*0.8)*0.15</f>
        <v>9.7680000000000007</v>
      </c>
      <c r="G178" s="513"/>
      <c r="H178" s="3791"/>
      <c r="I178" s="3823"/>
      <c r="J178" s="122"/>
    </row>
    <row r="179" spans="1:256" s="120" customFormat="1" ht="27" customHeight="1">
      <c r="A179" s="115"/>
      <c r="B179" s="121"/>
      <c r="C179" s="163"/>
      <c r="D179" s="163" t="s">
        <v>6227</v>
      </c>
      <c r="E179" s="163"/>
      <c r="F179" s="164">
        <f>((10.4)*0.8)*0.15</f>
        <v>1.248</v>
      </c>
      <c r="G179" s="513"/>
      <c r="H179" s="3791"/>
      <c r="I179" s="3823"/>
      <c r="J179" s="122"/>
    </row>
    <row r="180" spans="1:256" s="120" customFormat="1" ht="27" customHeight="1">
      <c r="A180" s="115"/>
      <c r="B180" s="121"/>
      <c r="C180" s="163"/>
      <c r="D180" s="163" t="s">
        <v>6228</v>
      </c>
      <c r="E180" s="163"/>
      <c r="F180" s="164">
        <f>((4.7+2.3+4)*1.2)*0.15</f>
        <v>1.9799999999999998</v>
      </c>
      <c r="G180" s="513"/>
      <c r="H180" s="3791"/>
      <c r="I180" s="3823"/>
      <c r="J180" s="122"/>
    </row>
    <row r="181" spans="1:256" s="120" customFormat="1" ht="27" customHeight="1">
      <c r="A181" s="115"/>
      <c r="B181" s="121"/>
      <c r="C181" s="163"/>
      <c r="D181" s="163" t="s">
        <v>6229</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6230</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6231</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6232</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6233</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6234</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6235</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6236</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6237</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6238</v>
      </c>
      <c r="E197" s="121" t="s">
        <v>155</v>
      </c>
      <c r="F197" s="210">
        <f>ROUND(SUM(F198),3)</f>
        <v>31</v>
      </c>
      <c r="G197" s="137"/>
      <c r="H197" s="3789">
        <f>ROUND(F197*G197,2)</f>
        <v>0</v>
      </c>
      <c r="I197" s="3821"/>
      <c r="J197" s="153" t="s">
        <v>60</v>
      </c>
    </row>
    <row r="198" spans="1:256" s="158" customFormat="1" ht="13.5" customHeight="1">
      <c r="A198" s="702"/>
      <c r="B198" s="161"/>
      <c r="C198" s="162"/>
      <c r="D198" s="193" t="s">
        <v>6239</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6240</v>
      </c>
      <c r="E203" s="163"/>
      <c r="F203" s="164">
        <v>2</v>
      </c>
      <c r="G203" s="165"/>
      <c r="H203" s="3792"/>
      <c r="I203" s="3824"/>
      <c r="J203" s="167"/>
      <c r="K203" s="781"/>
      <c r="V203" s="159"/>
      <c r="X203" s="159"/>
    </row>
    <row r="204" spans="1:256" s="158" customFormat="1" ht="13.5" customHeight="1">
      <c r="A204" s="702"/>
      <c r="B204" s="161"/>
      <c r="C204" s="162"/>
      <c r="D204" s="193" t="s">
        <v>6241</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6242</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6243</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6244</v>
      </c>
      <c r="E213" s="163"/>
      <c r="F213" s="164">
        <v>1</v>
      </c>
      <c r="G213" s="165"/>
      <c r="H213" s="3792"/>
      <c r="I213" s="3824"/>
      <c r="J213" s="167"/>
      <c r="K213" s="171"/>
      <c r="V213" s="159"/>
      <c r="X213" s="159"/>
    </row>
    <row r="214" spans="1:122" s="158" customFormat="1" ht="13.5" customHeight="1">
      <c r="A214" s="702"/>
      <c r="B214" s="161"/>
      <c r="C214" s="162"/>
      <c r="D214" s="193" t="s">
        <v>6245</v>
      </c>
      <c r="E214" s="163"/>
      <c r="F214" s="164"/>
      <c r="G214" s="165"/>
      <c r="H214" s="3792"/>
      <c r="I214" s="3824"/>
      <c r="J214" s="167"/>
      <c r="K214" s="171"/>
      <c r="V214" s="159"/>
      <c r="X214" s="159"/>
    </row>
    <row r="215" spans="1:122" s="158" customFormat="1" ht="27" customHeight="1">
      <c r="A215" s="702"/>
      <c r="B215" s="161"/>
      <c r="C215" s="162"/>
      <c r="D215" s="193" t="s">
        <v>6246</v>
      </c>
      <c r="E215" s="163"/>
      <c r="F215" s="164"/>
      <c r="G215" s="165"/>
      <c r="H215" s="3792"/>
      <c r="I215" s="3824"/>
      <c r="J215" s="167"/>
      <c r="K215" s="171"/>
      <c r="V215" s="159"/>
      <c r="X215" s="159"/>
    </row>
    <row r="216" spans="1:122" s="1992" customFormat="1" ht="27" customHeight="1">
      <c r="A216" s="2345"/>
      <c r="B216" s="2346"/>
      <c r="C216" s="2347"/>
      <c r="D216" s="177" t="s">
        <v>6247</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6248</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6249</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6250</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6251</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6252</v>
      </c>
      <c r="E226" s="580"/>
      <c r="F226" s="581"/>
      <c r="G226" s="582"/>
      <c r="H226" s="3805"/>
      <c r="I226" s="3837"/>
      <c r="J226" s="119"/>
      <c r="K226" s="4644"/>
      <c r="L226" s="583"/>
      <c r="M226" s="583"/>
    </row>
    <row r="227" spans="1:122" s="187" customFormat="1" ht="13.5" customHeight="1">
      <c r="A227" s="2251">
        <v>42</v>
      </c>
      <c r="B227" s="151">
        <v>721</v>
      </c>
      <c r="C227" s="151" t="s">
        <v>6253</v>
      </c>
      <c r="D227" s="151" t="s">
        <v>6254</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6255</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6256</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6252</v>
      </c>
      <c r="E230" s="580"/>
      <c r="F230" s="581"/>
      <c r="G230" s="582"/>
      <c r="H230" s="3805"/>
      <c r="I230" s="3837"/>
      <c r="J230" s="119"/>
      <c r="K230" s="4644"/>
      <c r="L230" s="583"/>
      <c r="M230" s="583"/>
    </row>
    <row r="231" spans="1:122" s="187" customFormat="1" ht="13.5" customHeight="1">
      <c r="A231" s="2251">
        <v>43</v>
      </c>
      <c r="B231" s="151">
        <v>721</v>
      </c>
      <c r="C231" s="151">
        <v>721173402</v>
      </c>
      <c r="D231" s="151" t="s">
        <v>6257</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6250</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6258</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6252</v>
      </c>
      <c r="E234" s="580"/>
      <c r="F234" s="581"/>
      <c r="G234" s="582"/>
      <c r="H234" s="3805"/>
      <c r="I234" s="3837"/>
      <c r="J234" s="119"/>
      <c r="K234" s="4644"/>
      <c r="L234" s="583"/>
      <c r="M234" s="583"/>
    </row>
    <row r="235" spans="1:122" s="187" customFormat="1" ht="13.5" customHeight="1">
      <c r="A235" s="2251">
        <v>44</v>
      </c>
      <c r="B235" s="151">
        <v>721</v>
      </c>
      <c r="C235" s="151">
        <v>721173403</v>
      </c>
      <c r="D235" s="151" t="s">
        <v>6259</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6250</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6260</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6252</v>
      </c>
      <c r="E238" s="580"/>
      <c r="F238" s="581"/>
      <c r="G238" s="582"/>
      <c r="H238" s="3805"/>
      <c r="I238" s="3837"/>
      <c r="J238" s="119"/>
      <c r="K238" s="4644"/>
      <c r="L238" s="583"/>
      <c r="M238" s="583"/>
    </row>
    <row r="239" spans="1:122" s="187" customFormat="1" ht="13.5" customHeight="1">
      <c r="A239" s="2251">
        <v>45</v>
      </c>
      <c r="B239" s="151">
        <v>721</v>
      </c>
      <c r="C239" s="151">
        <v>721173404</v>
      </c>
      <c r="D239" s="151" t="s">
        <v>6261</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6250</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6262</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6252</v>
      </c>
      <c r="E242" s="580"/>
      <c r="F242" s="581"/>
      <c r="G242" s="582"/>
      <c r="H242" s="3805"/>
      <c r="I242" s="3837"/>
      <c r="J242" s="119"/>
      <c r="K242" s="4644"/>
      <c r="L242" s="583"/>
      <c r="M242" s="583"/>
    </row>
    <row r="243" spans="1:122" s="187" customFormat="1" ht="13.5" customHeight="1">
      <c r="A243" s="2251">
        <v>46</v>
      </c>
      <c r="B243" s="151">
        <v>721</v>
      </c>
      <c r="C243" s="151" t="s">
        <v>6263</v>
      </c>
      <c r="D243" s="151" t="s">
        <v>6264</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6255</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6265</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6252</v>
      </c>
      <c r="E246" s="580"/>
      <c r="F246" s="581"/>
      <c r="G246" s="582"/>
      <c r="H246" s="3805"/>
      <c r="I246" s="3837"/>
      <c r="J246" s="119"/>
      <c r="K246" s="4644"/>
      <c r="L246" s="583"/>
      <c r="M246" s="583"/>
    </row>
    <row r="247" spans="1:122" s="187" customFormat="1" ht="13.5" customHeight="1">
      <c r="A247" s="2251">
        <v>47</v>
      </c>
      <c r="B247" s="151">
        <v>721</v>
      </c>
      <c r="C247" s="151">
        <v>721174042</v>
      </c>
      <c r="D247" s="151" t="s">
        <v>6266</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6267</v>
      </c>
      <c r="E248" s="135"/>
      <c r="F248" s="2332"/>
      <c r="G248" s="2260"/>
      <c r="H248" s="3807"/>
      <c r="I248" s="3839"/>
      <c r="J248" s="2261"/>
      <c r="P248" s="421"/>
      <c r="S248" s="4817"/>
    </row>
    <row r="249" spans="1:122" s="187" customFormat="1" ht="13.5" customHeight="1">
      <c r="A249" s="764"/>
      <c r="B249" s="151"/>
      <c r="C249" s="135"/>
      <c r="D249" s="135" t="s">
        <v>6268</v>
      </c>
      <c r="E249" s="135"/>
      <c r="F249" s="136">
        <f>(54.6)*1.1</f>
        <v>60.060000000000009</v>
      </c>
      <c r="G249" s="2260"/>
      <c r="H249" s="3807"/>
      <c r="I249" s="3839"/>
      <c r="J249" s="153"/>
      <c r="P249" s="421"/>
    </row>
    <row r="250" spans="1:122" s="187" customFormat="1" ht="27" customHeight="1">
      <c r="A250" s="1995"/>
      <c r="B250" s="135"/>
      <c r="C250" s="135"/>
      <c r="D250" s="163" t="s">
        <v>6252</v>
      </c>
      <c r="E250" s="135"/>
      <c r="F250" s="2333"/>
      <c r="G250" s="2260"/>
      <c r="H250" s="3807"/>
      <c r="I250" s="3839"/>
      <c r="J250" s="2262"/>
      <c r="K250" s="2263"/>
      <c r="P250" s="421"/>
      <c r="S250" s="4817"/>
    </row>
    <row r="251" spans="1:122" s="187" customFormat="1" ht="13.5" customHeight="1">
      <c r="A251" s="2251">
        <v>48</v>
      </c>
      <c r="B251" s="151">
        <v>721</v>
      </c>
      <c r="C251" s="151">
        <v>721174043</v>
      </c>
      <c r="D251" s="151" t="s">
        <v>6269</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6267</v>
      </c>
      <c r="E252" s="135"/>
      <c r="F252" s="2332"/>
      <c r="G252" s="2260"/>
      <c r="H252" s="3807"/>
      <c r="I252" s="3839"/>
      <c r="J252" s="2261"/>
      <c r="P252" s="421"/>
      <c r="S252" s="4817"/>
    </row>
    <row r="253" spans="1:122" s="187" customFormat="1" ht="13.5" customHeight="1">
      <c r="A253" s="764"/>
      <c r="B253" s="151"/>
      <c r="C253" s="135"/>
      <c r="D253" s="135" t="s">
        <v>6270</v>
      </c>
      <c r="E253" s="135"/>
      <c r="F253" s="136">
        <f>(42.3)*1.1</f>
        <v>46.53</v>
      </c>
      <c r="G253" s="2260"/>
      <c r="H253" s="3807"/>
      <c r="I253" s="3839"/>
      <c r="J253" s="153"/>
      <c r="P253" s="421"/>
    </row>
    <row r="254" spans="1:122" s="187" customFormat="1" ht="27" customHeight="1">
      <c r="A254" s="1995"/>
      <c r="B254" s="135"/>
      <c r="C254" s="135"/>
      <c r="D254" s="163" t="s">
        <v>6252</v>
      </c>
      <c r="E254" s="135"/>
      <c r="F254" s="2333"/>
      <c r="G254" s="2260"/>
      <c r="H254" s="3807"/>
      <c r="I254" s="3839"/>
      <c r="J254" s="2262"/>
      <c r="K254" s="2263"/>
      <c r="P254" s="421"/>
      <c r="S254" s="4817"/>
    </row>
    <row r="255" spans="1:122" s="187" customFormat="1" ht="13.5" customHeight="1">
      <c r="A255" s="2251">
        <v>49</v>
      </c>
      <c r="B255" s="151">
        <v>721</v>
      </c>
      <c r="C255" s="151">
        <v>721174044</v>
      </c>
      <c r="D255" s="151" t="s">
        <v>6271</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6267</v>
      </c>
      <c r="E256" s="135"/>
      <c r="F256" s="2332"/>
      <c r="G256" s="2260"/>
      <c r="H256" s="3807"/>
      <c r="I256" s="3839"/>
      <c r="J256" s="2261"/>
      <c r="P256" s="421"/>
      <c r="S256" s="4817"/>
    </row>
    <row r="257" spans="1:19" s="187" customFormat="1" ht="13.5" customHeight="1">
      <c r="A257" s="764"/>
      <c r="B257" s="151"/>
      <c r="C257" s="135"/>
      <c r="D257" s="135" t="s">
        <v>6272</v>
      </c>
      <c r="E257" s="135"/>
      <c r="F257" s="136">
        <f>(4.6)*1.1</f>
        <v>5.0599999999999996</v>
      </c>
      <c r="G257" s="2260"/>
      <c r="H257" s="3807"/>
      <c r="I257" s="3839"/>
      <c r="J257" s="153"/>
      <c r="P257" s="421"/>
    </row>
    <row r="258" spans="1:19" s="187" customFormat="1" ht="27" customHeight="1">
      <c r="A258" s="1995"/>
      <c r="B258" s="135"/>
      <c r="C258" s="135"/>
      <c r="D258" s="163" t="s">
        <v>6252</v>
      </c>
      <c r="E258" s="135"/>
      <c r="F258" s="2333"/>
      <c r="G258" s="2260"/>
      <c r="H258" s="3807"/>
      <c r="I258" s="3839"/>
      <c r="J258" s="2262"/>
      <c r="K258" s="2263"/>
      <c r="P258" s="421"/>
      <c r="S258" s="4817"/>
    </row>
    <row r="259" spans="1:19" s="187" customFormat="1" ht="13.5" customHeight="1">
      <c r="A259" s="2251">
        <v>50</v>
      </c>
      <c r="B259" s="151">
        <v>721</v>
      </c>
      <c r="C259" s="151">
        <v>721174045</v>
      </c>
      <c r="D259" s="151" t="s">
        <v>6273</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6267</v>
      </c>
      <c r="E260" s="135"/>
      <c r="F260" s="2332"/>
      <c r="G260" s="2260"/>
      <c r="H260" s="3807"/>
      <c r="I260" s="3839"/>
      <c r="J260" s="2261"/>
      <c r="P260" s="421"/>
      <c r="S260" s="4817"/>
    </row>
    <row r="261" spans="1:19" s="187" customFormat="1" ht="13.5" customHeight="1">
      <c r="A261" s="764"/>
      <c r="B261" s="151"/>
      <c r="C261" s="135"/>
      <c r="D261" s="135" t="s">
        <v>6274</v>
      </c>
      <c r="E261" s="135"/>
      <c r="F261" s="136">
        <f>(38.3)*1.1</f>
        <v>42.13</v>
      </c>
      <c r="G261" s="2260"/>
      <c r="H261" s="3807"/>
      <c r="I261" s="3839"/>
      <c r="J261" s="153"/>
      <c r="P261" s="421"/>
    </row>
    <row r="262" spans="1:19" s="187" customFormat="1" ht="27" customHeight="1">
      <c r="A262" s="1995"/>
      <c r="B262" s="135"/>
      <c r="C262" s="135"/>
      <c r="D262" s="163" t="s">
        <v>6252</v>
      </c>
      <c r="E262" s="135"/>
      <c r="F262" s="2333"/>
      <c r="G262" s="2260"/>
      <c r="H262" s="3807"/>
      <c r="I262" s="3839"/>
      <c r="J262" s="2262"/>
      <c r="K262" s="2263"/>
      <c r="P262" s="421"/>
      <c r="S262" s="4817"/>
    </row>
    <row r="263" spans="1:19" s="187" customFormat="1" ht="13.5" customHeight="1">
      <c r="A263" s="2251">
        <v>51</v>
      </c>
      <c r="B263" s="151">
        <v>721</v>
      </c>
      <c r="C263" s="151">
        <v>721175211</v>
      </c>
      <c r="D263" s="151" t="s">
        <v>6275</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6276</v>
      </c>
      <c r="E264" s="135"/>
      <c r="F264" s="2332"/>
      <c r="G264" s="2260"/>
      <c r="H264" s="3807"/>
      <c r="I264" s="3839"/>
      <c r="J264" s="2261"/>
      <c r="K264" s="2264"/>
      <c r="S264" s="4817"/>
    </row>
    <row r="265" spans="1:19" s="187" customFormat="1" ht="13.5" customHeight="1">
      <c r="A265" s="1995"/>
      <c r="B265" s="135"/>
      <c r="C265" s="135"/>
      <c r="D265" s="135" t="s">
        <v>6277</v>
      </c>
      <c r="E265" s="135"/>
      <c r="F265" s="136">
        <f>(240.6)*1.1</f>
        <v>264.66000000000003</v>
      </c>
      <c r="G265" s="2260"/>
      <c r="H265" s="3807"/>
      <c r="I265" s="3839"/>
      <c r="J265" s="153"/>
      <c r="K265" s="2265"/>
      <c r="S265" s="4817"/>
    </row>
    <row r="266" spans="1:19" s="187" customFormat="1" ht="27" customHeight="1">
      <c r="A266" s="1995"/>
      <c r="B266" s="135"/>
      <c r="C266" s="135"/>
      <c r="D266" s="163" t="s">
        <v>6252</v>
      </c>
      <c r="E266" s="135"/>
      <c r="F266" s="2333"/>
      <c r="G266" s="2260"/>
      <c r="H266" s="3807"/>
      <c r="I266" s="3839"/>
      <c r="J266" s="2262"/>
      <c r="K266" s="2263"/>
      <c r="S266" s="4817"/>
    </row>
    <row r="267" spans="1:19" s="187" customFormat="1" ht="13.5" customHeight="1">
      <c r="A267" s="2251">
        <v>52</v>
      </c>
      <c r="B267" s="151">
        <v>721</v>
      </c>
      <c r="C267" s="151">
        <v>721175212</v>
      </c>
      <c r="D267" s="151" t="s">
        <v>6278</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6276</v>
      </c>
      <c r="E268" s="135"/>
      <c r="F268" s="2332"/>
      <c r="G268" s="2260"/>
      <c r="H268" s="3807"/>
      <c r="I268" s="3839"/>
      <c r="J268" s="2261"/>
      <c r="K268" s="2264"/>
      <c r="S268" s="4817"/>
    </row>
    <row r="269" spans="1:19" s="187" customFormat="1" ht="13.5" customHeight="1">
      <c r="A269" s="1995"/>
      <c r="B269" s="135"/>
      <c r="C269" s="135"/>
      <c r="D269" s="135" t="s">
        <v>6279</v>
      </c>
      <c r="E269" s="135"/>
      <c r="F269" s="136">
        <f>(265.5+16.1)*1.1</f>
        <v>309.76000000000005</v>
      </c>
      <c r="G269" s="2260"/>
      <c r="H269" s="3807"/>
      <c r="I269" s="3839"/>
      <c r="J269" s="153"/>
      <c r="K269" s="2265"/>
      <c r="S269" s="4817"/>
    </row>
    <row r="270" spans="1:19" s="187" customFormat="1" ht="13.5" customHeight="1">
      <c r="A270" s="1995"/>
      <c r="B270" s="135"/>
      <c r="C270" s="135"/>
      <c r="D270" s="135" t="s">
        <v>6280</v>
      </c>
      <c r="E270" s="135"/>
      <c r="F270" s="136">
        <f>-(11.2+8.9)*1.1</f>
        <v>-22.110000000000003</v>
      </c>
      <c r="G270" s="2260"/>
      <c r="H270" s="3807"/>
      <c r="I270" s="3839"/>
      <c r="J270" s="153"/>
      <c r="K270" s="2265"/>
      <c r="S270" s="4817"/>
    </row>
    <row r="271" spans="1:19" s="187" customFormat="1" ht="27" customHeight="1">
      <c r="A271" s="1995"/>
      <c r="B271" s="135"/>
      <c r="C271" s="135"/>
      <c r="D271" s="163" t="s">
        <v>6252</v>
      </c>
      <c r="E271" s="135"/>
      <c r="F271" s="2333"/>
      <c r="G271" s="2260"/>
      <c r="H271" s="3807"/>
      <c r="I271" s="3839"/>
      <c r="J271" s="2262"/>
      <c r="K271" s="2263"/>
      <c r="S271" s="4817"/>
    </row>
    <row r="272" spans="1:19" s="187" customFormat="1" ht="13.5" customHeight="1">
      <c r="A272" s="2251">
        <v>53</v>
      </c>
      <c r="B272" s="151">
        <v>721</v>
      </c>
      <c r="C272" s="151">
        <v>721175213</v>
      </c>
      <c r="D272" s="151" t="s">
        <v>6281</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6276</v>
      </c>
      <c r="E273" s="135"/>
      <c r="F273" s="2332"/>
      <c r="G273" s="2260"/>
      <c r="H273" s="3807"/>
      <c r="I273" s="3839"/>
      <c r="J273" s="2261"/>
      <c r="K273" s="2264"/>
      <c r="S273" s="4817"/>
    </row>
    <row r="274" spans="1:23" s="187" customFormat="1" ht="13.5" customHeight="1">
      <c r="A274" s="1995"/>
      <c r="B274" s="135"/>
      <c r="C274" s="135"/>
      <c r="D274" s="135" t="s">
        <v>6282</v>
      </c>
      <c r="E274" s="135"/>
      <c r="F274" s="136">
        <f>(102.8+97.9)*1.1</f>
        <v>220.77</v>
      </c>
      <c r="G274" s="2260"/>
      <c r="H274" s="3807"/>
      <c r="I274" s="3839"/>
      <c r="J274" s="153"/>
      <c r="K274" s="2265"/>
      <c r="S274" s="4817"/>
    </row>
    <row r="275" spans="1:23" s="187" customFormat="1" ht="13.5" customHeight="1">
      <c r="A275" s="1995"/>
      <c r="B275" s="135"/>
      <c r="C275" s="135"/>
      <c r="D275" s="135" t="s">
        <v>6283</v>
      </c>
      <c r="E275" s="135"/>
      <c r="F275" s="136">
        <f>-(110.5+19)*1.1</f>
        <v>-142.45000000000002</v>
      </c>
      <c r="G275" s="2260"/>
      <c r="H275" s="3807"/>
      <c r="I275" s="3839"/>
      <c r="J275" s="153"/>
      <c r="K275" s="2265"/>
      <c r="S275" s="4817"/>
    </row>
    <row r="276" spans="1:23" s="187" customFormat="1" ht="27" customHeight="1">
      <c r="A276" s="1995"/>
      <c r="B276" s="135"/>
      <c r="C276" s="135"/>
      <c r="D276" s="163" t="s">
        <v>6252</v>
      </c>
      <c r="E276" s="135"/>
      <c r="F276" s="2333"/>
      <c r="G276" s="2260"/>
      <c r="H276" s="3807"/>
      <c r="I276" s="3839"/>
      <c r="J276" s="2262"/>
      <c r="K276" s="2263"/>
      <c r="S276" s="4817"/>
    </row>
    <row r="277" spans="1:23" s="187" customFormat="1" ht="13.5" customHeight="1">
      <c r="A277" s="2251">
        <v>54</v>
      </c>
      <c r="B277" s="151">
        <v>721</v>
      </c>
      <c r="C277" s="151">
        <v>721175214</v>
      </c>
      <c r="D277" s="151" t="s">
        <v>6284</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6276</v>
      </c>
      <c r="E278" s="135"/>
      <c r="F278" s="2332"/>
      <c r="G278" s="2260"/>
      <c r="H278" s="3807"/>
      <c r="I278" s="3839"/>
      <c r="J278" s="2261"/>
      <c r="K278" s="2264"/>
      <c r="S278" s="4817"/>
    </row>
    <row r="279" spans="1:23" s="187" customFormat="1" ht="13.5" customHeight="1">
      <c r="A279" s="1995"/>
      <c r="B279" s="135"/>
      <c r="C279" s="135"/>
      <c r="D279" s="135" t="s">
        <v>6285</v>
      </c>
      <c r="E279" s="135"/>
      <c r="F279" s="136">
        <f>(16.7+45.3)*1.1</f>
        <v>68.2</v>
      </c>
      <c r="G279" s="2260"/>
      <c r="H279" s="3807"/>
      <c r="I279" s="3839"/>
      <c r="J279" s="153"/>
      <c r="K279" s="2265"/>
      <c r="S279" s="4817"/>
    </row>
    <row r="280" spans="1:23" s="187" customFormat="1" ht="13.5" customHeight="1">
      <c r="A280" s="1995"/>
      <c r="B280" s="135"/>
      <c r="C280" s="135"/>
      <c r="D280" s="135" t="s">
        <v>6286</v>
      </c>
      <c r="E280" s="135"/>
      <c r="F280" s="136">
        <f>-(33.4)*1.1</f>
        <v>-36.74</v>
      </c>
      <c r="G280" s="2260"/>
      <c r="H280" s="3807"/>
      <c r="I280" s="3839"/>
      <c r="J280" s="153"/>
      <c r="K280" s="2265"/>
      <c r="S280" s="4817"/>
    </row>
    <row r="281" spans="1:23" s="187" customFormat="1" ht="27" customHeight="1">
      <c r="A281" s="1995"/>
      <c r="B281" s="135"/>
      <c r="C281" s="135"/>
      <c r="D281" s="163" t="s">
        <v>6252</v>
      </c>
      <c r="E281" s="135"/>
      <c r="F281" s="2333"/>
      <c r="G281" s="2260"/>
      <c r="H281" s="3807"/>
      <c r="I281" s="3839"/>
      <c r="J281" s="2262"/>
      <c r="K281" s="2263"/>
      <c r="S281" s="4817"/>
    </row>
    <row r="282" spans="1:23" s="187" customFormat="1" ht="13.5" customHeight="1">
      <c r="A282" s="2251">
        <v>55</v>
      </c>
      <c r="B282" s="151">
        <v>721</v>
      </c>
      <c r="C282" s="151">
        <v>721175232</v>
      </c>
      <c r="D282" s="151" t="s">
        <v>6287</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6288</v>
      </c>
      <c r="E283" s="135"/>
      <c r="F283" s="2332"/>
      <c r="G283" s="2260"/>
      <c r="H283" s="3807"/>
      <c r="I283" s="3839"/>
      <c r="J283" s="2261"/>
      <c r="K283" s="2264"/>
      <c r="S283" s="4817"/>
    </row>
    <row r="284" spans="1:23" s="187" customFormat="1" ht="13.5" customHeight="1">
      <c r="A284" s="1995"/>
      <c r="B284" s="135"/>
      <c r="C284" s="135"/>
      <c r="D284" s="135" t="s">
        <v>6289</v>
      </c>
      <c r="E284" s="135"/>
      <c r="F284" s="136">
        <f>(11.2)*1.1</f>
        <v>12.32</v>
      </c>
      <c r="G284" s="2260"/>
      <c r="H284" s="3807"/>
      <c r="I284" s="3839"/>
      <c r="J284" s="153"/>
      <c r="K284" s="2265"/>
      <c r="S284" s="4817"/>
    </row>
    <row r="285" spans="1:23" s="187" customFormat="1" ht="27" customHeight="1">
      <c r="A285" s="1995"/>
      <c r="B285" s="135"/>
      <c r="C285" s="135"/>
      <c r="D285" s="163" t="s">
        <v>6252</v>
      </c>
      <c r="E285" s="135"/>
      <c r="F285" s="2333"/>
      <c r="G285" s="2260"/>
      <c r="H285" s="3807"/>
      <c r="I285" s="3839"/>
      <c r="J285" s="2262"/>
      <c r="K285" s="2263"/>
      <c r="S285" s="4817"/>
    </row>
    <row r="286" spans="1:23" s="187" customFormat="1" ht="13.5" customHeight="1">
      <c r="A286" s="2251">
        <v>56</v>
      </c>
      <c r="B286" s="151">
        <v>721</v>
      </c>
      <c r="C286" s="151" t="s">
        <v>6290</v>
      </c>
      <c r="D286" s="151" t="s">
        <v>6291</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6292</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6293</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6294</v>
      </c>
      <c r="B289" s="223"/>
      <c r="C289" s="228">
        <v>721175232</v>
      </c>
      <c r="D289" s="135" t="s">
        <v>6295</v>
      </c>
      <c r="E289" s="228" t="s">
        <v>141</v>
      </c>
      <c r="F289" s="136">
        <f>(8.9)*1.1</f>
        <v>9.7900000000000009</v>
      </c>
      <c r="G289" s="2270"/>
      <c r="H289" s="3799">
        <f t="shared" ref="H289:H291" si="4">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6296</v>
      </c>
      <c r="B290" s="223"/>
      <c r="C290" s="228">
        <v>713463131</v>
      </c>
      <c r="D290" s="135" t="s">
        <v>6297</v>
      </c>
      <c r="E290" s="228" t="s">
        <v>141</v>
      </c>
      <c r="F290" s="136">
        <f>F286</f>
        <v>8.9</v>
      </c>
      <c r="G290" s="2270"/>
      <c r="H290" s="3799">
        <f t="shared" si="4"/>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6298</v>
      </c>
      <c r="B291" s="2273"/>
      <c r="C291" s="2274" t="s">
        <v>6299</v>
      </c>
      <c r="D291" s="146" t="s">
        <v>6300</v>
      </c>
      <c r="E291" s="2274" t="s">
        <v>141</v>
      </c>
      <c r="F291" s="147">
        <f>(8.9)*1.1</f>
        <v>9.7900000000000009</v>
      </c>
      <c r="G291" s="2275"/>
      <c r="H291" s="3809">
        <f t="shared" si="4"/>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6301</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6252</v>
      </c>
      <c r="E293" s="135"/>
      <c r="F293" s="2333"/>
      <c r="G293" s="2260"/>
      <c r="H293" s="3807"/>
      <c r="I293" s="3839"/>
      <c r="J293" s="2262"/>
      <c r="K293" s="2263"/>
      <c r="S293" s="4817"/>
    </row>
    <row r="294" spans="1:31" s="187" customFormat="1" ht="13.5" customHeight="1">
      <c r="A294" s="2251">
        <v>57</v>
      </c>
      <c r="B294" s="151">
        <v>721</v>
      </c>
      <c r="C294" s="151">
        <v>721175233</v>
      </c>
      <c r="D294" s="151" t="s">
        <v>6302</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6288</v>
      </c>
      <c r="E295" s="135"/>
      <c r="F295" s="2332"/>
      <c r="G295" s="2260"/>
      <c r="H295" s="3807"/>
      <c r="I295" s="3839"/>
      <c r="J295" s="2261"/>
      <c r="K295" s="2264"/>
      <c r="S295" s="4817"/>
    </row>
    <row r="296" spans="1:31" s="187" customFormat="1" ht="13.5" customHeight="1">
      <c r="A296" s="1995"/>
      <c r="B296" s="135"/>
      <c r="C296" s="135"/>
      <c r="D296" s="135" t="s">
        <v>6303</v>
      </c>
      <c r="E296" s="135"/>
      <c r="F296" s="136">
        <f>(110.5)*1.1</f>
        <v>121.55000000000001</v>
      </c>
      <c r="G296" s="2260"/>
      <c r="H296" s="3807"/>
      <c r="I296" s="3839"/>
      <c r="J296" s="153"/>
      <c r="K296" s="2265"/>
      <c r="S296" s="4817"/>
    </row>
    <row r="297" spans="1:31" s="187" customFormat="1" ht="27" customHeight="1">
      <c r="A297" s="1995"/>
      <c r="B297" s="135"/>
      <c r="C297" s="135"/>
      <c r="D297" s="163" t="s">
        <v>6252</v>
      </c>
      <c r="E297" s="135"/>
      <c r="F297" s="2333"/>
      <c r="G297" s="2260"/>
      <c r="H297" s="3807"/>
      <c r="I297" s="3839"/>
      <c r="J297" s="2262"/>
      <c r="K297" s="2263"/>
      <c r="S297" s="4817"/>
    </row>
    <row r="298" spans="1:31" s="187" customFormat="1" ht="13.5" customHeight="1">
      <c r="A298" s="2251">
        <v>58</v>
      </c>
      <c r="B298" s="151">
        <v>721</v>
      </c>
      <c r="C298" s="151" t="s">
        <v>6304</v>
      </c>
      <c r="D298" s="151" t="s">
        <v>6305</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6292</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6293</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6306</v>
      </c>
      <c r="B301" s="223"/>
      <c r="C301" s="228">
        <v>721175233</v>
      </c>
      <c r="D301" s="135" t="s">
        <v>11613</v>
      </c>
      <c r="E301" s="228" t="s">
        <v>141</v>
      </c>
      <c r="F301" s="136">
        <f>(19)*1.1</f>
        <v>20.900000000000002</v>
      </c>
      <c r="G301" s="2270"/>
      <c r="H301" s="3799">
        <f t="shared" ref="H301:H303" si="5">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6307</v>
      </c>
      <c r="B302" s="223"/>
      <c r="C302" s="228">
        <v>713463131</v>
      </c>
      <c r="D302" s="135" t="s">
        <v>6308</v>
      </c>
      <c r="E302" s="228" t="s">
        <v>141</v>
      </c>
      <c r="F302" s="136">
        <f>F298</f>
        <v>19</v>
      </c>
      <c r="G302" s="2270"/>
      <c r="H302" s="3799">
        <f t="shared" si="5"/>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6309</v>
      </c>
      <c r="B303" s="2273"/>
      <c r="C303" s="2274" t="s">
        <v>6310</v>
      </c>
      <c r="D303" s="146" t="s">
        <v>6311</v>
      </c>
      <c r="E303" s="2274" t="s">
        <v>141</v>
      </c>
      <c r="F303" s="147">
        <f>(19)*1.1</f>
        <v>20.900000000000002</v>
      </c>
      <c r="G303" s="2275"/>
      <c r="H303" s="3809">
        <f t="shared" si="5"/>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6312</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6252</v>
      </c>
      <c r="E305" s="135"/>
      <c r="F305" s="2333"/>
      <c r="G305" s="2260"/>
      <c r="H305" s="3807"/>
      <c r="I305" s="3839"/>
      <c r="J305" s="2262"/>
      <c r="K305" s="2263"/>
      <c r="S305" s="4817"/>
    </row>
    <row r="306" spans="1:257" s="187" customFormat="1" ht="13.5" customHeight="1">
      <c r="A306" s="2251">
        <v>59</v>
      </c>
      <c r="B306" s="151">
        <v>721</v>
      </c>
      <c r="C306" s="151">
        <v>721175234</v>
      </c>
      <c r="D306" s="151" t="s">
        <v>6313</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6288</v>
      </c>
      <c r="E307" s="135"/>
      <c r="F307" s="2332"/>
      <c r="G307" s="2260"/>
      <c r="H307" s="3807"/>
      <c r="I307" s="3839"/>
      <c r="J307" s="2261"/>
      <c r="K307" s="2264"/>
      <c r="S307" s="4817"/>
    </row>
    <row r="308" spans="1:257" s="187" customFormat="1" ht="13.5" customHeight="1">
      <c r="A308" s="1995"/>
      <c r="B308" s="135"/>
      <c r="C308" s="135"/>
      <c r="D308" s="135" t="s">
        <v>6314</v>
      </c>
      <c r="E308" s="135"/>
      <c r="F308" s="136">
        <f>(33.4)*1.1</f>
        <v>36.74</v>
      </c>
      <c r="G308" s="2260"/>
      <c r="H308" s="3807"/>
      <c r="I308" s="3839"/>
      <c r="J308" s="153"/>
      <c r="K308" s="2265"/>
      <c r="S308" s="4817"/>
    </row>
    <row r="309" spans="1:257" s="187" customFormat="1" ht="27" customHeight="1">
      <c r="A309" s="1995"/>
      <c r="B309" s="135"/>
      <c r="C309" s="135"/>
      <c r="D309" s="163" t="s">
        <v>6252</v>
      </c>
      <c r="E309" s="135"/>
      <c r="F309" s="2333"/>
      <c r="G309" s="2260"/>
      <c r="H309" s="3807"/>
      <c r="I309" s="3839"/>
      <c r="J309" s="2262"/>
      <c r="K309" s="2263"/>
      <c r="S309" s="4817"/>
    </row>
    <row r="310" spans="1:257" s="2276" customFormat="1" ht="13.5" customHeight="1">
      <c r="A310" s="2251">
        <v>60</v>
      </c>
      <c r="B310" s="151">
        <v>721</v>
      </c>
      <c r="C310" s="151" t="s">
        <v>6315</v>
      </c>
      <c r="D310" s="151" t="s">
        <v>6316</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6317</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6318</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6319</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6320</v>
      </c>
      <c r="D315" s="151" t="s">
        <v>6321</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6317</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6322</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6252</v>
      </c>
      <c r="E318" s="2278"/>
      <c r="F318" s="2280"/>
      <c r="G318" s="2279"/>
      <c r="H318" s="3810"/>
      <c r="I318" s="3842"/>
      <c r="J318" s="2261"/>
    </row>
    <row r="319" spans="1:257" s="2276" customFormat="1" ht="27" customHeight="1">
      <c r="A319" s="2251">
        <v>62</v>
      </c>
      <c r="B319" s="151">
        <v>721</v>
      </c>
      <c r="C319" s="151" t="s">
        <v>6323</v>
      </c>
      <c r="D319" s="151" t="s">
        <v>6324</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6325</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6326</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6252</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6327</v>
      </c>
      <c r="D323" s="151" t="s">
        <v>6328</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6329</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6330</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6331</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6332</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6333</v>
      </c>
      <c r="D328" s="151" t="s">
        <v>6334</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6329</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6330</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6335</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6332</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6336</v>
      </c>
      <c r="D333" s="151" t="s">
        <v>6337</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6338</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6339</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6340</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6332</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6341</v>
      </c>
      <c r="D338" s="151" t="s">
        <v>6342</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6343</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6344</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6345</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6346</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6347</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6348</v>
      </c>
      <c r="D344" s="151" t="s">
        <v>6349</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6350</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6344</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6351</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6346</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6347</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6352</v>
      </c>
      <c r="D350" s="151" t="s">
        <v>6353</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6343</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6354</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6355</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6346</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6347</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6356</v>
      </c>
      <c r="D356" s="151" t="s">
        <v>6357</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6358</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6344</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6359</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6360</v>
      </c>
      <c r="D360" s="151" t="s">
        <v>6361</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6362</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6363</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6344</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6346</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6364</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6365</v>
      </c>
      <c r="D366" s="151" t="s">
        <v>6366</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6367</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6368</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6369</v>
      </c>
      <c r="D369" s="151" t="s">
        <v>6370</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6371</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6372</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6359</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6373</v>
      </c>
      <c r="D373" s="151" t="s">
        <v>6374</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6371</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6375</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6359</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6376</v>
      </c>
      <c r="D377" s="151" t="s">
        <v>6377</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6371</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6378</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6359</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6376</v>
      </c>
      <c r="D381" s="151" t="s">
        <v>6379</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6371</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6372</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6359</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6380</v>
      </c>
      <c r="D385" s="151" t="s">
        <v>6381</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6382</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6383</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6384</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6385</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6386</v>
      </c>
      <c r="D390" s="151" t="s">
        <v>6387</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6388</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6389</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6390</v>
      </c>
      <c r="E393" s="2037"/>
      <c r="F393" s="136"/>
      <c r="G393" s="2039"/>
      <c r="H393" s="3813"/>
      <c r="I393" s="3845"/>
      <c r="J393" s="2340"/>
    </row>
    <row r="394" spans="1:41" s="2290" customFormat="1" ht="37.5" customHeight="1">
      <c r="A394" s="2329"/>
      <c r="B394" s="2329"/>
      <c r="C394" s="193"/>
      <c r="D394" s="193" t="s">
        <v>6391</v>
      </c>
      <c r="E394" s="193"/>
      <c r="F394" s="136"/>
      <c r="G394" s="2292"/>
      <c r="H394" s="3814"/>
      <c r="I394" s="3846"/>
      <c r="J394" s="2341"/>
      <c r="K394" s="4845"/>
    </row>
    <row r="395" spans="1:41" s="187" customFormat="1" ht="13.5" customHeight="1">
      <c r="A395" s="764">
        <v>78</v>
      </c>
      <c r="B395" s="151">
        <v>721</v>
      </c>
      <c r="C395" s="151">
        <v>721290111</v>
      </c>
      <c r="D395" s="151" t="s">
        <v>6392</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6393</v>
      </c>
      <c r="E396" s="151"/>
      <c r="F396" s="210"/>
      <c r="G396" s="362"/>
      <c r="H396" s="3790"/>
      <c r="I396" s="3822"/>
      <c r="J396" s="153"/>
      <c r="K396" s="2293"/>
      <c r="S396" s="4817"/>
    </row>
    <row r="397" spans="1:41" s="187" customFormat="1" ht="13.5" customHeight="1">
      <c r="A397" s="764"/>
      <c r="B397" s="151"/>
      <c r="C397" s="151"/>
      <c r="D397" s="135" t="s">
        <v>6394</v>
      </c>
      <c r="E397" s="151"/>
      <c r="F397" s="210"/>
      <c r="G397" s="362"/>
      <c r="H397" s="3790"/>
      <c r="I397" s="3822"/>
      <c r="J397" s="153"/>
      <c r="K397" s="2293"/>
      <c r="S397" s="4817"/>
    </row>
    <row r="398" spans="1:41" s="187" customFormat="1" ht="13.5" customHeight="1">
      <c r="A398" s="764"/>
      <c r="B398" s="151"/>
      <c r="C398" s="151"/>
      <c r="D398" s="135" t="s">
        <v>6395</v>
      </c>
      <c r="E398" s="2278"/>
      <c r="F398" s="136">
        <f>(196.4+10)</f>
        <v>206.4</v>
      </c>
      <c r="G398" s="362"/>
      <c r="H398" s="3790"/>
      <c r="I398" s="3822"/>
      <c r="J398" s="153"/>
      <c r="K398" s="2294"/>
      <c r="M398" s="1967"/>
      <c r="S398" s="4817"/>
    </row>
    <row r="399" spans="1:41" s="187" customFormat="1" ht="13.5" customHeight="1">
      <c r="A399" s="764"/>
      <c r="B399" s="151"/>
      <c r="C399" s="151"/>
      <c r="D399" s="135" t="s">
        <v>6396</v>
      </c>
      <c r="E399" s="2278"/>
      <c r="F399" s="136">
        <f>(31.8)</f>
        <v>31.8</v>
      </c>
      <c r="G399" s="362"/>
      <c r="H399" s="3790"/>
      <c r="I399" s="3822"/>
      <c r="J399" s="153"/>
      <c r="K399" s="2294"/>
      <c r="S399" s="4817"/>
    </row>
    <row r="400" spans="1:41" s="187" customFormat="1" ht="13.5" customHeight="1">
      <c r="A400" s="764"/>
      <c r="B400" s="151"/>
      <c r="C400" s="151"/>
      <c r="D400" s="135" t="s">
        <v>6397</v>
      </c>
      <c r="E400" s="151"/>
      <c r="F400" s="210"/>
      <c r="G400" s="362"/>
      <c r="H400" s="3790"/>
      <c r="I400" s="3822"/>
      <c r="J400" s="153"/>
      <c r="K400" s="2293"/>
      <c r="S400" s="4817"/>
    </row>
    <row r="401" spans="1:19" s="187" customFormat="1" ht="13.5" customHeight="1">
      <c r="A401" s="764"/>
      <c r="B401" s="151"/>
      <c r="C401" s="151"/>
      <c r="D401" s="135" t="s">
        <v>6398</v>
      </c>
      <c r="E401" s="2278"/>
      <c r="F401" s="136">
        <f>(15)</f>
        <v>15</v>
      </c>
      <c r="G401" s="362"/>
      <c r="H401" s="3790"/>
      <c r="I401" s="3822"/>
      <c r="J401" s="153"/>
      <c r="K401" s="2294"/>
      <c r="S401" s="4817"/>
    </row>
    <row r="402" spans="1:19" s="187" customFormat="1" ht="13.5" customHeight="1">
      <c r="A402" s="764"/>
      <c r="B402" s="151"/>
      <c r="C402" s="151"/>
      <c r="D402" s="135" t="s">
        <v>6399</v>
      </c>
      <c r="E402" s="151"/>
      <c r="F402" s="210"/>
      <c r="G402" s="362"/>
      <c r="H402" s="3790"/>
      <c r="I402" s="3822"/>
      <c r="J402" s="153"/>
      <c r="K402" s="2293"/>
      <c r="P402" s="4801"/>
      <c r="S402" s="4817"/>
    </row>
    <row r="403" spans="1:19" s="187" customFormat="1" ht="13.5" customHeight="1">
      <c r="A403" s="764"/>
      <c r="B403" s="151"/>
      <c r="C403" s="151"/>
      <c r="D403" s="135" t="s">
        <v>6400</v>
      </c>
      <c r="E403" s="2278"/>
      <c r="F403" s="136">
        <f>(44.2+12.7)</f>
        <v>56.900000000000006</v>
      </c>
      <c r="G403" s="362"/>
      <c r="H403" s="3790"/>
      <c r="I403" s="3822"/>
      <c r="J403" s="153"/>
      <c r="K403" s="2294"/>
      <c r="S403" s="4817"/>
    </row>
    <row r="404" spans="1:19" s="187" customFormat="1" ht="13.5" customHeight="1">
      <c r="A404" s="764"/>
      <c r="B404" s="151"/>
      <c r="C404" s="151"/>
      <c r="D404" s="135" t="s">
        <v>6401</v>
      </c>
      <c r="E404" s="2278"/>
      <c r="F404" s="136">
        <f>(26.4)</f>
        <v>26.4</v>
      </c>
      <c r="G404" s="362"/>
      <c r="H404" s="3790"/>
      <c r="I404" s="3822"/>
      <c r="J404" s="153"/>
      <c r="K404" s="2294"/>
      <c r="S404" s="4817"/>
    </row>
    <row r="405" spans="1:19" s="187" customFormat="1" ht="13.5" customHeight="1">
      <c r="A405" s="764"/>
      <c r="B405" s="151"/>
      <c r="C405" s="151"/>
      <c r="D405" s="135" t="s">
        <v>6402</v>
      </c>
      <c r="E405" s="151"/>
      <c r="F405" s="210"/>
      <c r="G405" s="362"/>
      <c r="H405" s="3790"/>
      <c r="I405" s="3822"/>
      <c r="J405" s="153"/>
      <c r="K405" s="2293"/>
      <c r="S405" s="4817"/>
    </row>
    <row r="406" spans="1:19" s="187" customFormat="1" ht="13.5" customHeight="1">
      <c r="A406" s="764"/>
      <c r="B406" s="151"/>
      <c r="C406" s="151"/>
      <c r="D406" s="135" t="s">
        <v>6403</v>
      </c>
      <c r="E406" s="2278"/>
      <c r="F406" s="136">
        <f>(54.6)</f>
        <v>54.6</v>
      </c>
      <c r="G406" s="362"/>
      <c r="H406" s="3790"/>
      <c r="I406" s="3822"/>
      <c r="J406" s="153"/>
      <c r="K406" s="2294"/>
      <c r="L406" s="2294"/>
      <c r="S406" s="4817"/>
    </row>
    <row r="407" spans="1:19" s="187" customFormat="1" ht="13.5" customHeight="1">
      <c r="A407" s="764"/>
      <c r="B407" s="151"/>
      <c r="C407" s="151"/>
      <c r="D407" s="135" t="s">
        <v>6404</v>
      </c>
      <c r="E407" s="2278"/>
      <c r="F407" s="136">
        <f>(42.3)</f>
        <v>42.3</v>
      </c>
      <c r="G407" s="362"/>
      <c r="H407" s="3790"/>
      <c r="I407" s="3822"/>
      <c r="J407" s="153"/>
      <c r="K407" s="2294"/>
      <c r="L407" s="2294"/>
      <c r="S407" s="4817"/>
    </row>
    <row r="408" spans="1:19" s="187" customFormat="1" ht="13.5" customHeight="1">
      <c r="A408" s="764"/>
      <c r="B408" s="151"/>
      <c r="C408" s="151"/>
      <c r="D408" s="135" t="s">
        <v>6405</v>
      </c>
      <c r="E408" s="2278"/>
      <c r="F408" s="136">
        <f>(4.6)</f>
        <v>4.5999999999999996</v>
      </c>
      <c r="G408" s="362"/>
      <c r="H408" s="3790"/>
      <c r="I408" s="3822"/>
      <c r="J408" s="153"/>
      <c r="K408" s="2295"/>
      <c r="L408" s="2295"/>
      <c r="S408" s="4817"/>
    </row>
    <row r="409" spans="1:19" s="187" customFormat="1" ht="13.5" customHeight="1">
      <c r="A409" s="764"/>
      <c r="B409" s="151"/>
      <c r="C409" s="151"/>
      <c r="D409" s="135" t="s">
        <v>6406</v>
      </c>
      <c r="E409" s="2278"/>
      <c r="F409" s="136">
        <f>(38.3)</f>
        <v>38.299999999999997</v>
      </c>
      <c r="G409" s="362"/>
      <c r="H409" s="3790"/>
      <c r="I409" s="3822"/>
      <c r="J409" s="153"/>
      <c r="K409" s="2294"/>
      <c r="S409" s="4817"/>
    </row>
    <row r="410" spans="1:19" s="187" customFormat="1" ht="13.5" customHeight="1">
      <c r="A410" s="764"/>
      <c r="B410" s="151"/>
      <c r="C410" s="151"/>
      <c r="D410" s="135" t="s">
        <v>6407</v>
      </c>
      <c r="E410" s="151"/>
      <c r="F410" s="210"/>
      <c r="G410" s="362"/>
      <c r="H410" s="3790"/>
      <c r="I410" s="3822"/>
      <c r="J410" s="153"/>
      <c r="K410" s="2293"/>
      <c r="S410" s="4817"/>
    </row>
    <row r="411" spans="1:19" s="187" customFormat="1" ht="13.5" customHeight="1">
      <c r="A411" s="764"/>
      <c r="B411" s="151"/>
      <c r="C411" s="151"/>
      <c r="D411" s="135" t="s">
        <v>6408</v>
      </c>
      <c r="E411" s="2278"/>
      <c r="F411" s="136">
        <f>(240.6)</f>
        <v>240.6</v>
      </c>
      <c r="G411" s="362"/>
      <c r="H411" s="3790"/>
      <c r="I411" s="3822"/>
      <c r="J411" s="153"/>
      <c r="K411" s="2295"/>
      <c r="L411" s="2295"/>
      <c r="S411" s="4817"/>
    </row>
    <row r="412" spans="1:19" s="187" customFormat="1" ht="13.5" customHeight="1">
      <c r="A412" s="764"/>
      <c r="B412" s="151"/>
      <c r="C412" s="151"/>
      <c r="D412" s="135" t="s">
        <v>6409</v>
      </c>
      <c r="E412" s="2278"/>
      <c r="F412" s="136">
        <f>(261.5)</f>
        <v>261.5</v>
      </c>
      <c r="G412" s="362"/>
      <c r="H412" s="3790"/>
      <c r="I412" s="3822"/>
      <c r="J412" s="153"/>
      <c r="K412" s="2294"/>
      <c r="S412" s="4817"/>
    </row>
    <row r="413" spans="1:19" s="187" customFormat="1" ht="13.5" customHeight="1">
      <c r="A413" s="764"/>
      <c r="B413" s="151"/>
      <c r="C413" s="151"/>
      <c r="D413" s="135" t="s">
        <v>6410</v>
      </c>
      <c r="E413" s="2278"/>
      <c r="F413" s="136">
        <f>(71.2)</f>
        <v>71.2</v>
      </c>
      <c r="G413" s="362"/>
      <c r="H413" s="3790"/>
      <c r="I413" s="3822"/>
      <c r="J413" s="153"/>
      <c r="K413" s="2294"/>
      <c r="S413" s="4817"/>
    </row>
    <row r="414" spans="1:19" s="187" customFormat="1" ht="13.5" customHeight="1">
      <c r="A414" s="764"/>
      <c r="B414" s="151"/>
      <c r="C414" s="151"/>
      <c r="D414" s="135" t="s">
        <v>6411</v>
      </c>
      <c r="E414" s="151"/>
      <c r="F414" s="210"/>
      <c r="G414" s="362"/>
      <c r="H414" s="3790"/>
      <c r="I414" s="3822"/>
      <c r="J414" s="153"/>
      <c r="K414" s="2293"/>
      <c r="S414" s="4817"/>
    </row>
    <row r="415" spans="1:19" s="187" customFormat="1" ht="13.5" customHeight="1">
      <c r="A415" s="764"/>
      <c r="B415" s="151"/>
      <c r="C415" s="151"/>
      <c r="D415" s="135" t="s">
        <v>6412</v>
      </c>
      <c r="E415" s="2278"/>
      <c r="F415" s="136">
        <f>(11.2+8.9)</f>
        <v>20.100000000000001</v>
      </c>
      <c r="G415" s="362"/>
      <c r="H415" s="3790"/>
      <c r="I415" s="3822"/>
      <c r="J415" s="153"/>
      <c r="K415" s="2294"/>
      <c r="S415" s="4817"/>
    </row>
    <row r="416" spans="1:19" s="187" customFormat="1" ht="13.5" customHeight="1">
      <c r="A416" s="764"/>
      <c r="B416" s="151"/>
      <c r="C416" s="151"/>
      <c r="D416" s="135" t="s">
        <v>6413</v>
      </c>
      <c r="E416" s="2278"/>
      <c r="F416" s="136">
        <f>(110.5+19)</f>
        <v>129.5</v>
      </c>
      <c r="G416" s="362"/>
      <c r="H416" s="3790"/>
      <c r="I416" s="3822"/>
      <c r="J416" s="153"/>
      <c r="K416" s="2294"/>
      <c r="S416" s="4817"/>
    </row>
    <row r="417" spans="1:41" s="187" customFormat="1" ht="13.5" customHeight="1">
      <c r="A417" s="764">
        <v>79</v>
      </c>
      <c r="B417" s="151">
        <v>721</v>
      </c>
      <c r="C417" s="151">
        <v>721290112</v>
      </c>
      <c r="D417" s="151" t="s">
        <v>6414</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6393</v>
      </c>
      <c r="E418" s="151"/>
      <c r="F418" s="210"/>
      <c r="G418" s="362"/>
      <c r="H418" s="3790"/>
      <c r="I418" s="3822"/>
      <c r="J418" s="153"/>
      <c r="K418" s="2293"/>
      <c r="S418" s="4817"/>
    </row>
    <row r="419" spans="1:41" s="187" customFormat="1" ht="13.5" customHeight="1">
      <c r="A419" s="764"/>
      <c r="B419" s="151"/>
      <c r="C419" s="151"/>
      <c r="D419" s="135" t="s">
        <v>6399</v>
      </c>
      <c r="E419" s="151"/>
      <c r="F419" s="210"/>
      <c r="G419" s="362"/>
      <c r="H419" s="3790"/>
      <c r="I419" s="3822"/>
      <c r="J419" s="153"/>
      <c r="K419" s="2293"/>
      <c r="S419" s="4817"/>
    </row>
    <row r="420" spans="1:41" s="187" customFormat="1" ht="13.5" customHeight="1">
      <c r="A420" s="764"/>
      <c r="B420" s="151"/>
      <c r="C420" s="151"/>
      <c r="D420" s="135" t="s">
        <v>6415</v>
      </c>
      <c r="E420" s="2278"/>
      <c r="F420" s="136">
        <f>(23.2)</f>
        <v>23.2</v>
      </c>
      <c r="G420" s="362"/>
      <c r="H420" s="3790"/>
      <c r="I420" s="3822"/>
      <c r="J420" s="153"/>
      <c r="K420" s="2264"/>
      <c r="L420" s="188"/>
      <c r="S420" s="4817"/>
    </row>
    <row r="421" spans="1:41" s="187" customFormat="1" ht="13.5" customHeight="1">
      <c r="A421" s="764"/>
      <c r="B421" s="151"/>
      <c r="C421" s="151"/>
      <c r="D421" s="135" t="s">
        <v>6416</v>
      </c>
      <c r="E421" s="2278"/>
      <c r="F421" s="136">
        <f>(29+11)</f>
        <v>40</v>
      </c>
      <c r="G421" s="362"/>
      <c r="H421" s="3790"/>
      <c r="I421" s="3822"/>
      <c r="J421" s="153"/>
      <c r="K421" s="2264"/>
      <c r="L421" s="188"/>
      <c r="S421" s="4817"/>
    </row>
    <row r="422" spans="1:41" s="187" customFormat="1" ht="13.5" customHeight="1">
      <c r="A422" s="764"/>
      <c r="B422" s="151"/>
      <c r="C422" s="151"/>
      <c r="D422" s="135" t="s">
        <v>6407</v>
      </c>
      <c r="E422" s="151"/>
      <c r="F422" s="210"/>
      <c r="G422" s="362"/>
      <c r="H422" s="3790"/>
      <c r="I422" s="3822"/>
      <c r="J422" s="153"/>
      <c r="K422" s="2293"/>
      <c r="S422" s="4817"/>
    </row>
    <row r="423" spans="1:41" s="187" customFormat="1" ht="13.5" customHeight="1">
      <c r="A423" s="764"/>
      <c r="B423" s="151"/>
      <c r="C423" s="151"/>
      <c r="D423" s="135" t="s">
        <v>6417</v>
      </c>
      <c r="E423" s="2278"/>
      <c r="F423" s="136">
        <f>(28.6)</f>
        <v>28.6</v>
      </c>
      <c r="G423" s="362"/>
      <c r="H423" s="3790"/>
      <c r="I423" s="3822"/>
      <c r="J423" s="153"/>
      <c r="K423" s="2264"/>
      <c r="L423" s="188"/>
      <c r="S423" s="4817"/>
    </row>
    <row r="424" spans="1:41" s="187" customFormat="1" ht="13.5" customHeight="1">
      <c r="A424" s="764"/>
      <c r="B424" s="151"/>
      <c r="C424" s="151"/>
      <c r="D424" s="135" t="s">
        <v>6411</v>
      </c>
      <c r="E424" s="151"/>
      <c r="F424" s="210"/>
      <c r="G424" s="362"/>
      <c r="H424" s="3790"/>
      <c r="I424" s="3822"/>
      <c r="J424" s="153"/>
      <c r="K424" s="2293"/>
      <c r="S424" s="4817"/>
    </row>
    <row r="425" spans="1:41" s="187" customFormat="1" ht="13.5" customHeight="1">
      <c r="A425" s="764"/>
      <c r="B425" s="151"/>
      <c r="C425" s="151"/>
      <c r="D425" s="135" t="s">
        <v>6418</v>
      </c>
      <c r="E425" s="2278"/>
      <c r="F425" s="136">
        <f>(33.4)</f>
        <v>33.4</v>
      </c>
      <c r="G425" s="362"/>
      <c r="H425" s="3790"/>
      <c r="I425" s="3822"/>
      <c r="J425" s="153"/>
      <c r="K425" s="2294"/>
      <c r="S425" s="4817"/>
    </row>
    <row r="426" spans="1:41" s="2276" customFormat="1" ht="13.5" customHeight="1">
      <c r="A426" s="764">
        <v>80</v>
      </c>
      <c r="B426" s="207" t="s">
        <v>1007</v>
      </c>
      <c r="C426" s="151" t="s">
        <v>6419</v>
      </c>
      <c r="D426" s="151" t="s">
        <v>6420</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6421</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6422</v>
      </c>
      <c r="B428" s="223"/>
      <c r="C428" s="228" t="s">
        <v>6423</v>
      </c>
      <c r="D428" s="135" t="s">
        <v>6424</v>
      </c>
      <c r="E428" s="228" t="s">
        <v>155</v>
      </c>
      <c r="F428" s="136">
        <f>F426</f>
        <v>23</v>
      </c>
      <c r="G428" s="2270"/>
      <c r="H428" s="3799">
        <f t="shared" ref="H428:H431" si="6">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6425</v>
      </c>
      <c r="B429" s="223"/>
      <c r="C429" s="228" t="s">
        <v>6426</v>
      </c>
      <c r="D429" s="135" t="s">
        <v>6427</v>
      </c>
      <c r="E429" s="228" t="s">
        <v>155</v>
      </c>
      <c r="F429" s="136">
        <f>F426</f>
        <v>23</v>
      </c>
      <c r="G429" s="2270"/>
      <c r="H429" s="3799">
        <f t="shared" si="6"/>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6428</v>
      </c>
      <c r="B430" s="2273"/>
      <c r="C430" s="2274" t="s">
        <v>6429</v>
      </c>
      <c r="D430" s="146" t="s">
        <v>6430</v>
      </c>
      <c r="E430" s="2274" t="s">
        <v>155</v>
      </c>
      <c r="F430" s="147">
        <f>F426</f>
        <v>23</v>
      </c>
      <c r="G430" s="2275"/>
      <c r="H430" s="3809">
        <f t="shared" si="6"/>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6431</v>
      </c>
      <c r="B431" s="223"/>
      <c r="C431" s="228" t="s">
        <v>6432</v>
      </c>
      <c r="D431" s="135" t="s">
        <v>6433</v>
      </c>
      <c r="E431" s="228" t="s">
        <v>23</v>
      </c>
      <c r="F431" s="136">
        <f>F426</f>
        <v>23</v>
      </c>
      <c r="G431" s="2270"/>
      <c r="H431" s="3799">
        <f t="shared" si="6"/>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6434</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6435</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6436</v>
      </c>
      <c r="D434" s="3734" t="s">
        <v>6437</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6421</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6438</v>
      </c>
      <c r="B436" s="4397"/>
      <c r="C436" s="4398" t="s">
        <v>6423</v>
      </c>
      <c r="D436" s="3739" t="s">
        <v>6424</v>
      </c>
      <c r="E436" s="4398" t="s">
        <v>155</v>
      </c>
      <c r="F436" s="4387">
        <f>F434</f>
        <v>3</v>
      </c>
      <c r="G436" s="4399"/>
      <c r="H436" s="3870">
        <f t="shared" ref="H436:H439" si="7">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6439</v>
      </c>
      <c r="B437" s="4397"/>
      <c r="C437" s="4398" t="s">
        <v>6440</v>
      </c>
      <c r="D437" s="3739" t="s">
        <v>6441</v>
      </c>
      <c r="E437" s="4398" t="s">
        <v>155</v>
      </c>
      <c r="F437" s="4387">
        <f>F434</f>
        <v>3</v>
      </c>
      <c r="G437" s="4399"/>
      <c r="H437" s="3870">
        <f t="shared" si="7"/>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6442</v>
      </c>
      <c r="B438" s="4401"/>
      <c r="C438" s="4402" t="s">
        <v>6443</v>
      </c>
      <c r="D438" s="3746" t="s">
        <v>6444</v>
      </c>
      <c r="E438" s="4402" t="s">
        <v>155</v>
      </c>
      <c r="F438" s="4403">
        <f>F434</f>
        <v>3</v>
      </c>
      <c r="G438" s="4404"/>
      <c r="H438" s="3979">
        <f t="shared" si="7"/>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6445</v>
      </c>
      <c r="B439" s="4397"/>
      <c r="C439" s="4398" t="s">
        <v>6432</v>
      </c>
      <c r="D439" s="3739" t="s">
        <v>6446</v>
      </c>
      <c r="E439" s="4398" t="s">
        <v>23</v>
      </c>
      <c r="F439" s="4387">
        <f>F434</f>
        <v>3</v>
      </c>
      <c r="G439" s="4399"/>
      <c r="H439" s="3870">
        <f t="shared" si="7"/>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6447</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6435</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6448</v>
      </c>
      <c r="D442" s="3734" t="s">
        <v>6449</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6421</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6450</v>
      </c>
      <c r="B444" s="4397"/>
      <c r="C444" s="4398" t="s">
        <v>6451</v>
      </c>
      <c r="D444" s="3739" t="s">
        <v>6452</v>
      </c>
      <c r="E444" s="4398" t="s">
        <v>155</v>
      </c>
      <c r="F444" s="4387">
        <f>F442</f>
        <v>2</v>
      </c>
      <c r="G444" s="4399"/>
      <c r="H444" s="3870">
        <f t="shared" ref="H444:H447" si="8">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6453</v>
      </c>
      <c r="B445" s="4397"/>
      <c r="C445" s="4398" t="s">
        <v>6454</v>
      </c>
      <c r="D445" s="3739" t="s">
        <v>6455</v>
      </c>
      <c r="E445" s="4398" t="s">
        <v>155</v>
      </c>
      <c r="F445" s="4387">
        <f>F442</f>
        <v>2</v>
      </c>
      <c r="G445" s="4399"/>
      <c r="H445" s="3870">
        <f t="shared" si="8"/>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6456</v>
      </c>
      <c r="B446" s="4401"/>
      <c r="C446" s="4402" t="s">
        <v>6457</v>
      </c>
      <c r="D446" s="3746" t="s">
        <v>6458</v>
      </c>
      <c r="E446" s="4402" t="s">
        <v>155</v>
      </c>
      <c r="F446" s="4403">
        <f>F442</f>
        <v>2</v>
      </c>
      <c r="G446" s="4404"/>
      <c r="H446" s="3979">
        <f t="shared" si="8"/>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6459</v>
      </c>
      <c r="B447" s="4397"/>
      <c r="C447" s="4398" t="s">
        <v>6432</v>
      </c>
      <c r="D447" s="3739" t="s">
        <v>6433</v>
      </c>
      <c r="E447" s="4398" t="s">
        <v>23</v>
      </c>
      <c r="F447" s="4387">
        <f>F442</f>
        <v>2</v>
      </c>
      <c r="G447" s="4399"/>
      <c r="H447" s="3870">
        <f t="shared" si="8"/>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6460</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6435</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6448</v>
      </c>
      <c r="D450" s="3734" t="s">
        <v>6461</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6462</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6463</v>
      </c>
      <c r="B452" s="4397"/>
      <c r="C452" s="4398">
        <v>763131911</v>
      </c>
      <c r="D452" s="3739" t="s">
        <v>6464</v>
      </c>
      <c r="E452" s="4398" t="s">
        <v>155</v>
      </c>
      <c r="F452" s="4387">
        <f>F450</f>
        <v>6</v>
      </c>
      <c r="G452" s="4399"/>
      <c r="H452" s="3870">
        <f t="shared" ref="H452:H455" si="9">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6465</v>
      </c>
      <c r="B453" s="4397"/>
      <c r="C453" s="4398" t="s">
        <v>6466</v>
      </c>
      <c r="D453" s="3739" t="s">
        <v>6467</v>
      </c>
      <c r="E453" s="4398" t="s">
        <v>155</v>
      </c>
      <c r="F453" s="4387">
        <f>F450</f>
        <v>6</v>
      </c>
      <c r="G453" s="4399"/>
      <c r="H453" s="3870">
        <f t="shared" si="9"/>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6468</v>
      </c>
      <c r="B454" s="4401"/>
      <c r="C454" s="4402" t="s">
        <v>6429</v>
      </c>
      <c r="D454" s="3746" t="s">
        <v>6430</v>
      </c>
      <c r="E454" s="4402" t="s">
        <v>155</v>
      </c>
      <c r="F454" s="4403">
        <f>F450</f>
        <v>6</v>
      </c>
      <c r="G454" s="4404"/>
      <c r="H454" s="3979">
        <f t="shared" si="9"/>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6469</v>
      </c>
      <c r="B455" s="4397"/>
      <c r="C455" s="4398" t="s">
        <v>6432</v>
      </c>
      <c r="D455" s="3739" t="s">
        <v>6470</v>
      </c>
      <c r="E455" s="4398" t="s">
        <v>23</v>
      </c>
      <c r="F455" s="4387">
        <f>F450</f>
        <v>6</v>
      </c>
      <c r="G455" s="4399"/>
      <c r="H455" s="3870">
        <f t="shared" si="9"/>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6471</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6435</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6472</v>
      </c>
      <c r="D458" s="3734" t="s">
        <v>6473</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6474</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6475</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6476</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6477</v>
      </c>
      <c r="E462" s="3734"/>
      <c r="F462" s="4387"/>
      <c r="G462" s="4394"/>
      <c r="H462" s="4378"/>
      <c r="I462" s="4377"/>
      <c r="J462" s="3767"/>
      <c r="K462" s="4848"/>
    </row>
    <row r="463" spans="1:41" s="2276" customFormat="1" ht="27" customHeight="1">
      <c r="A463" s="3741">
        <v>85</v>
      </c>
      <c r="B463" s="4392">
        <v>721</v>
      </c>
      <c r="C463" s="3734" t="s">
        <v>6478</v>
      </c>
      <c r="D463" s="3734" t="s">
        <v>6479</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6480</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6481</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6477</v>
      </c>
      <c r="E466" s="3734"/>
      <c r="F466" s="4387"/>
      <c r="G466" s="4394"/>
      <c r="H466" s="4378"/>
      <c r="I466" s="4377"/>
      <c r="J466" s="3767"/>
      <c r="K466" s="4848"/>
    </row>
    <row r="467" spans="1:41" s="2276" customFormat="1" ht="27" customHeight="1">
      <c r="A467" s="3741">
        <v>86</v>
      </c>
      <c r="B467" s="4392">
        <v>721</v>
      </c>
      <c r="C467" s="3734" t="s">
        <v>6482</v>
      </c>
      <c r="D467" s="3734" t="s">
        <v>6483</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6484</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6485</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6477</v>
      </c>
      <c r="E470" s="3734"/>
      <c r="F470" s="4387"/>
      <c r="G470" s="4394"/>
      <c r="H470" s="4378"/>
      <c r="I470" s="4377"/>
      <c r="J470" s="3767"/>
      <c r="K470" s="4848"/>
    </row>
    <row r="471" spans="1:41" s="2276" customFormat="1" ht="27" customHeight="1">
      <c r="A471" s="3741">
        <v>87</v>
      </c>
      <c r="B471" s="4392">
        <v>721</v>
      </c>
      <c r="C471" s="3734" t="s">
        <v>6486</v>
      </c>
      <c r="D471" s="3734" t="s">
        <v>6487</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6488</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6489</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6477</v>
      </c>
      <c r="E474" s="3734"/>
      <c r="F474" s="4387"/>
      <c r="G474" s="4394"/>
      <c r="H474" s="4378"/>
      <c r="I474" s="4377"/>
      <c r="J474" s="3767"/>
      <c r="K474" s="4848"/>
    </row>
    <row r="475" spans="1:41" s="2276" customFormat="1" ht="27" customHeight="1">
      <c r="A475" s="3741">
        <v>88</v>
      </c>
      <c r="B475" s="4392">
        <v>721</v>
      </c>
      <c r="C475" s="3734" t="s">
        <v>6490</v>
      </c>
      <c r="D475" s="3734" t="s">
        <v>6491</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6492</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6493</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6477</v>
      </c>
      <c r="E478" s="3734"/>
      <c r="F478" s="4387"/>
      <c r="G478" s="4394"/>
      <c r="H478" s="4378"/>
      <c r="I478" s="4377"/>
      <c r="J478" s="3767"/>
      <c r="K478" s="4848"/>
    </row>
    <row r="479" spans="1:41" s="2276" customFormat="1" ht="13.5" customHeight="1">
      <c r="A479" s="3741">
        <v>89</v>
      </c>
      <c r="B479" s="4392">
        <v>721</v>
      </c>
      <c r="C479" s="3734" t="s">
        <v>6494</v>
      </c>
      <c r="D479" s="3734" t="s">
        <v>6495</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6496</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6497</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6477</v>
      </c>
      <c r="E482" s="3734"/>
      <c r="F482" s="4387"/>
      <c r="G482" s="4394"/>
      <c r="H482" s="4378"/>
      <c r="I482" s="4377"/>
      <c r="J482" s="3767"/>
      <c r="K482" s="4848"/>
    </row>
    <row r="483" spans="1:41" s="2276" customFormat="1" ht="13.5" customHeight="1">
      <c r="A483" s="3741">
        <v>90</v>
      </c>
      <c r="B483" s="4392">
        <v>721</v>
      </c>
      <c r="C483" s="3734" t="s">
        <v>6498</v>
      </c>
      <c r="D483" s="3734" t="s">
        <v>6499</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6500</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6500</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6477</v>
      </c>
      <c r="E486" s="3734"/>
      <c r="F486" s="4387"/>
      <c r="G486" s="4394"/>
      <c r="H486" s="4378"/>
      <c r="I486" s="4377"/>
      <c r="J486" s="3767"/>
      <c r="K486" s="4848"/>
    </row>
    <row r="487" spans="1:41" s="2276" customFormat="1" ht="13.5" customHeight="1">
      <c r="A487" s="3741">
        <v>91</v>
      </c>
      <c r="B487" s="4392">
        <v>721</v>
      </c>
      <c r="C487" s="3734" t="s">
        <v>6501</v>
      </c>
      <c r="D487" s="3734" t="s">
        <v>6502</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6503</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6504</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6477</v>
      </c>
      <c r="E490" s="3734"/>
      <c r="F490" s="4387"/>
      <c r="G490" s="4394"/>
      <c r="H490" s="4378"/>
      <c r="I490" s="4377"/>
      <c r="J490" s="3767"/>
      <c r="K490" s="4848"/>
    </row>
    <row r="491" spans="1:41" s="2276" customFormat="1" ht="27" customHeight="1">
      <c r="A491" s="3741">
        <v>92</v>
      </c>
      <c r="B491" s="4392">
        <v>721</v>
      </c>
      <c r="C491" s="3734" t="s">
        <v>6505</v>
      </c>
      <c r="D491" s="3734" t="s">
        <v>6506</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6507</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6508</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6477</v>
      </c>
      <c r="E494" s="3734"/>
      <c r="F494" s="4387"/>
      <c r="G494" s="4394"/>
      <c r="H494" s="4378"/>
      <c r="I494" s="4377"/>
      <c r="J494" s="3767"/>
      <c r="K494" s="4848"/>
    </row>
    <row r="495" spans="1:41" s="2276" customFormat="1" ht="27" customHeight="1">
      <c r="A495" s="3741">
        <v>93</v>
      </c>
      <c r="B495" s="4392">
        <v>721</v>
      </c>
      <c r="C495" s="3734" t="s">
        <v>6509</v>
      </c>
      <c r="D495" s="3734" t="s">
        <v>6510</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6511</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6512</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6477</v>
      </c>
      <c r="E498" s="3734"/>
      <c r="F498" s="4387"/>
      <c r="G498" s="4394"/>
      <c r="H498" s="4378"/>
      <c r="I498" s="4377"/>
      <c r="J498" s="3767"/>
      <c r="K498" s="4848"/>
    </row>
    <row r="499" spans="1:41" s="2276" customFormat="1" ht="27" customHeight="1">
      <c r="A499" s="3741">
        <v>94</v>
      </c>
      <c r="B499" s="4392">
        <v>721</v>
      </c>
      <c r="C499" s="3734" t="s">
        <v>6513</v>
      </c>
      <c r="D499" s="3734" t="s">
        <v>6514</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6515</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6516</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6477</v>
      </c>
      <c r="E502" s="3734"/>
      <c r="F502" s="4387"/>
      <c r="G502" s="4394"/>
      <c r="H502" s="4378"/>
      <c r="I502" s="4377"/>
      <c r="J502" s="3767"/>
      <c r="K502" s="4848"/>
    </row>
    <row r="503" spans="1:41" s="2276" customFormat="1" ht="13.5" customHeight="1">
      <c r="A503" s="3741">
        <v>95</v>
      </c>
      <c r="B503" s="4392">
        <v>721</v>
      </c>
      <c r="C503" s="3734" t="s">
        <v>6517</v>
      </c>
      <c r="D503" s="3734" t="s">
        <v>6518</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6519</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6520</v>
      </c>
      <c r="D505" s="3734" t="s">
        <v>6521</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6522</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6523</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6472</v>
      </c>
      <c r="D508" s="3108" t="s">
        <v>6524</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6527</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6528</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6529</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6530</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6531</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6532</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6528</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6529</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6530</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6525</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6533</v>
      </c>
      <c r="D519" s="3536" t="s">
        <v>6534</v>
      </c>
      <c r="E519" s="3536" t="s">
        <v>23</v>
      </c>
      <c r="F519" s="3541">
        <f>ROUND(SUM(F520),3)</f>
        <v>1</v>
      </c>
      <c r="G519" s="3528"/>
      <c r="H519" s="3861">
        <f>ROUND(F519*G519,2)</f>
        <v>0</v>
      </c>
      <c r="I519" s="4028"/>
      <c r="J519" s="3529" t="s">
        <v>60</v>
      </c>
    </row>
    <row r="520" spans="1:122" s="2595" customFormat="1" ht="27" customHeight="1">
      <c r="A520" s="3567"/>
      <c r="B520" s="3558"/>
      <c r="C520" s="3558"/>
      <c r="D520" s="3696" t="s">
        <v>10691</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10486</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10696</v>
      </c>
      <c r="E522" s="4374"/>
      <c r="F522" s="4375"/>
      <c r="G522" s="4376"/>
      <c r="H522" s="4370"/>
      <c r="I522" s="3849"/>
      <c r="J522" s="3726"/>
      <c r="K522" s="4855"/>
      <c r="L522" s="4855"/>
    </row>
    <row r="523" spans="1:122" customFormat="1" ht="13.5" customHeight="1">
      <c r="A523" s="3531"/>
      <c r="B523" s="3532"/>
      <c r="C523" s="3532"/>
      <c r="D523" s="3548" t="s">
        <v>10664</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6535</v>
      </c>
      <c r="D525" s="3734" t="s">
        <v>6536</v>
      </c>
      <c r="E525" s="3734" t="s">
        <v>23</v>
      </c>
      <c r="F525" s="4393">
        <f>ROUND(SUM(F526),3)</f>
        <v>1</v>
      </c>
      <c r="G525" s="4406"/>
      <c r="H525" s="4383"/>
      <c r="I525" s="3942">
        <f>ROUND(F525*G525,2)</f>
        <v>0</v>
      </c>
      <c r="J525" s="3767" t="s">
        <v>60</v>
      </c>
    </row>
    <row r="526" spans="1:122" s="187" customFormat="1" ht="13.5" customHeight="1">
      <c r="A526" s="4413"/>
      <c r="B526" s="3734"/>
      <c r="C526" s="3734"/>
      <c r="D526" s="3739" t="s">
        <v>6537</v>
      </c>
      <c r="E526" s="4414"/>
      <c r="F526" s="4387">
        <v>1</v>
      </c>
      <c r="G526" s="4394"/>
      <c r="H526" s="4378"/>
      <c r="I526" s="4377"/>
      <c r="J526" s="4541"/>
    </row>
    <row r="527" spans="1:122" s="187" customFormat="1" ht="40.5" customHeight="1">
      <c r="A527" s="4413"/>
      <c r="B527" s="3734"/>
      <c r="C527" s="3734"/>
      <c r="D527" s="3739" t="s">
        <v>10690</v>
      </c>
      <c r="E527" s="4414"/>
      <c r="F527" s="4794"/>
      <c r="G527" s="4394"/>
      <c r="H527" s="4378"/>
      <c r="I527" s="4377"/>
      <c r="J527" s="4541"/>
      <c r="K527" s="1967"/>
    </row>
    <row r="528" spans="1:122" s="2259" customFormat="1" ht="90">
      <c r="A528" s="4413"/>
      <c r="B528" s="4397"/>
      <c r="C528" s="4397"/>
      <c r="D528" s="4408" t="s">
        <v>6538</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6539</v>
      </c>
      <c r="D529" s="3734" t="s">
        <v>6540</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6541</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6542</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6933</v>
      </c>
      <c r="E532" s="3695"/>
      <c r="F532" s="4484"/>
      <c r="G532" s="3709"/>
      <c r="H532" s="3816"/>
      <c r="I532" s="3849"/>
      <c r="J532" s="3726"/>
      <c r="K532" s="4596"/>
    </row>
    <row r="533" spans="1:122" s="2303" customFormat="1" ht="94.5" customHeight="1">
      <c r="A533" s="3750"/>
      <c r="B533" s="3695"/>
      <c r="C533" s="3695"/>
      <c r="D533" s="4483" t="s">
        <v>6934</v>
      </c>
      <c r="E533" s="3695"/>
      <c r="F533" s="4484"/>
      <c r="G533" s="3709"/>
      <c r="H533" s="3816"/>
      <c r="I533" s="3849"/>
      <c r="J533" s="3726"/>
      <c r="K533" s="4596"/>
    </row>
    <row r="534" spans="1:122" s="2303" customFormat="1" ht="108" customHeight="1">
      <c r="A534" s="3750"/>
      <c r="B534" s="3695"/>
      <c r="C534" s="3695"/>
      <c r="D534" s="4483" t="s">
        <v>6935</v>
      </c>
      <c r="E534" s="3695"/>
      <c r="F534" s="4484"/>
      <c r="G534" s="3709"/>
      <c r="H534" s="3816"/>
      <c r="I534" s="3849"/>
      <c r="J534" s="3726"/>
      <c r="K534" s="4596"/>
    </row>
    <row r="535" spans="1:122" s="2303" customFormat="1" ht="67.5" customHeight="1">
      <c r="A535" s="3750"/>
      <c r="B535" s="3695"/>
      <c r="C535" s="3695"/>
      <c r="D535" s="4483" t="s">
        <v>6936</v>
      </c>
      <c r="E535" s="3695"/>
      <c r="F535" s="4484"/>
      <c r="G535" s="3709"/>
      <c r="H535" s="3816"/>
      <c r="I535" s="3849"/>
      <c r="J535" s="3726"/>
      <c r="K535" s="4596"/>
    </row>
    <row r="536" spans="1:122" s="2303" customFormat="1" ht="162" customHeight="1">
      <c r="A536" s="3750"/>
      <c r="B536" s="3695"/>
      <c r="C536" s="3695"/>
      <c r="D536" s="4483" t="s">
        <v>6937</v>
      </c>
      <c r="E536" s="3695"/>
      <c r="F536" s="4484"/>
      <c r="G536" s="3709"/>
      <c r="H536" s="3816"/>
      <c r="I536" s="3849"/>
      <c r="J536" s="3726"/>
      <c r="K536" s="4596"/>
    </row>
    <row r="537" spans="1:122" s="2303" customFormat="1" ht="40.5" customHeight="1">
      <c r="A537" s="3750"/>
      <c r="B537" s="3695"/>
      <c r="C537" s="3695"/>
      <c r="D537" s="4483" t="s">
        <v>10480</v>
      </c>
      <c r="E537" s="3695"/>
      <c r="F537" s="4484"/>
      <c r="G537" s="3709"/>
      <c r="H537" s="3816"/>
      <c r="I537" s="3849"/>
      <c r="J537" s="3726"/>
      <c r="K537" s="4596"/>
    </row>
    <row r="538" spans="1:122" s="2303" customFormat="1" ht="54" customHeight="1">
      <c r="A538" s="3750"/>
      <c r="B538" s="3695"/>
      <c r="C538" s="3695"/>
      <c r="D538" s="4483" t="s">
        <v>10470</v>
      </c>
      <c r="E538" s="3695"/>
      <c r="F538" s="4484"/>
      <c r="G538" s="3709"/>
      <c r="H538" s="3816"/>
      <c r="I538" s="3849"/>
      <c r="J538" s="3726"/>
      <c r="K538" s="4596"/>
    </row>
    <row r="539" spans="1:122" s="187" customFormat="1" ht="13.5" customHeight="1">
      <c r="A539" s="3741">
        <v>101</v>
      </c>
      <c r="B539" s="3734">
        <v>721</v>
      </c>
      <c r="C539" s="3734" t="s">
        <v>6543</v>
      </c>
      <c r="D539" s="3734" t="s">
        <v>6544</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6545</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6546</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10697</v>
      </c>
      <c r="E542" s="4374"/>
      <c r="F542" s="4375"/>
      <c r="G542" s="4376"/>
      <c r="H542" s="4370"/>
      <c r="I542" s="3849"/>
      <c r="J542" s="3726"/>
      <c r="K542" s="4855"/>
      <c r="L542" s="4855"/>
    </row>
    <row r="543" spans="1:122" s="4367" customFormat="1" ht="40.700000000000003" customHeight="1">
      <c r="A543" s="4372"/>
      <c r="B543" s="4373"/>
      <c r="C543" s="4373"/>
      <c r="D543" s="4483" t="s">
        <v>10699</v>
      </c>
      <c r="E543" s="4374"/>
      <c r="F543" s="4375"/>
      <c r="G543" s="4376"/>
      <c r="H543" s="4370"/>
      <c r="I543" s="3849"/>
      <c r="J543" s="3726"/>
      <c r="K543" s="4855"/>
      <c r="L543" s="4855"/>
    </row>
    <row r="544" spans="1:122" s="4367" customFormat="1" ht="27" customHeight="1">
      <c r="A544" s="4372"/>
      <c r="B544" s="4373"/>
      <c r="C544" s="4373"/>
      <c r="D544" s="3548" t="s">
        <v>10698</v>
      </c>
      <c r="E544" s="4374"/>
      <c r="F544" s="4375"/>
      <c r="G544" s="4376"/>
      <c r="H544" s="4370"/>
      <c r="I544" s="3849"/>
      <c r="J544" s="3726"/>
      <c r="K544" s="4855"/>
      <c r="L544" s="4855"/>
    </row>
    <row r="545" spans="1:122" s="2306" customFormat="1" ht="13.5" customHeight="1">
      <c r="A545" s="4571" t="s">
        <v>3700</v>
      </c>
      <c r="B545" s="4417">
        <v>721</v>
      </c>
      <c r="C545" s="4417" t="s">
        <v>6547</v>
      </c>
      <c r="D545" s="4417" t="s">
        <v>6548</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6549</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6550</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6551</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6552</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6553</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6554</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6555</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6556</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6557</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6555</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6558</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6559</v>
      </c>
      <c r="D560" s="3734" t="s">
        <v>6560</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6561</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10294</v>
      </c>
      <c r="B562" s="4397"/>
      <c r="C562" s="4398">
        <v>722140111</v>
      </c>
      <c r="D562" s="3739" t="s">
        <v>11584</v>
      </c>
      <c r="E562" s="4398" t="s">
        <v>141</v>
      </c>
      <c r="F562" s="4387">
        <f>(542.1)*1.1</f>
        <v>596.31000000000006</v>
      </c>
      <c r="G562" s="4399"/>
      <c r="H562" s="3870">
        <f t="shared" ref="H562:H563" si="10">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10295</v>
      </c>
      <c r="B563" s="4397"/>
      <c r="C563" s="4398">
        <v>722181221</v>
      </c>
      <c r="D563" s="3739" t="s">
        <v>11585</v>
      </c>
      <c r="E563" s="4398" t="s">
        <v>141</v>
      </c>
      <c r="F563" s="4387">
        <f>(542.1)*1.1</f>
        <v>596.31000000000006</v>
      </c>
      <c r="G563" s="4399"/>
      <c r="H563" s="3870">
        <f t="shared" si="10"/>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11582</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6564</v>
      </c>
      <c r="D566" s="3734" t="s">
        <v>6565</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6566</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6562</v>
      </c>
      <c r="B568" s="4397"/>
      <c r="C568" s="4398">
        <v>722140111</v>
      </c>
      <c r="D568" s="3739" t="s">
        <v>11587</v>
      </c>
      <c r="E568" s="4398" t="s">
        <v>141</v>
      </c>
      <c r="F568" s="4387">
        <f>(554)*1.1</f>
        <v>609.40000000000009</v>
      </c>
      <c r="G568" s="4399"/>
      <c r="H568" s="3870">
        <f t="shared" ref="H568:H570" si="11">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6563</v>
      </c>
      <c r="B569" s="4397"/>
      <c r="C569" s="4398">
        <v>713463211</v>
      </c>
      <c r="D569" s="3739" t="s">
        <v>11586</v>
      </c>
      <c r="E569" s="4398" t="s">
        <v>141</v>
      </c>
      <c r="F569" s="4387">
        <f>F566</f>
        <v>554</v>
      </c>
      <c r="G569" s="4399"/>
      <c r="H569" s="3870">
        <f t="shared" si="11"/>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10299</v>
      </c>
      <c r="B570" s="4401"/>
      <c r="C570" s="4402" t="s">
        <v>6570</v>
      </c>
      <c r="D570" s="3746" t="s">
        <v>11588</v>
      </c>
      <c r="E570" s="4402" t="s">
        <v>141</v>
      </c>
      <c r="F570" s="4403">
        <f>(554)*1.1</f>
        <v>609.40000000000009</v>
      </c>
      <c r="G570" s="4404"/>
      <c r="H570" s="3979">
        <f t="shared" si="11"/>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11583</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6571</v>
      </c>
      <c r="D573" s="3734" t="s">
        <v>6572</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6561</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6567</v>
      </c>
      <c r="B575" s="4397"/>
      <c r="C575" s="4398">
        <v>722140112</v>
      </c>
      <c r="D575" s="3739" t="s">
        <v>6574</v>
      </c>
      <c r="E575" s="4398" t="s">
        <v>141</v>
      </c>
      <c r="F575" s="4387">
        <f>(225.5)*1.1</f>
        <v>248.05</v>
      </c>
      <c r="G575" s="4399"/>
      <c r="H575" s="3870">
        <f t="shared" ref="H575:H576" si="12">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6568</v>
      </c>
      <c r="B576" s="4397"/>
      <c r="C576" s="4398">
        <v>722181221</v>
      </c>
      <c r="D576" s="3739" t="s">
        <v>6576</v>
      </c>
      <c r="E576" s="4398" t="s">
        <v>141</v>
      </c>
      <c r="F576" s="4387">
        <f>(225.5)*1.1</f>
        <v>248.05</v>
      </c>
      <c r="G576" s="4399"/>
      <c r="H576" s="3870">
        <f t="shared" si="12"/>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6577</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6578</v>
      </c>
      <c r="D579" s="3734" t="s">
        <v>6579</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6580</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6573</v>
      </c>
      <c r="B581" s="4397"/>
      <c r="C581" s="4398">
        <v>722140112</v>
      </c>
      <c r="D581" s="3739" t="s">
        <v>11590</v>
      </c>
      <c r="E581" s="4398" t="s">
        <v>141</v>
      </c>
      <c r="F581" s="4387">
        <f>(187.2)*1.1</f>
        <v>205.92000000000002</v>
      </c>
      <c r="G581" s="4399"/>
      <c r="H581" s="3870">
        <f t="shared" ref="H581:H583" si="13">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6575</v>
      </c>
      <c r="B582" s="4397"/>
      <c r="C582" s="4398">
        <v>713463211</v>
      </c>
      <c r="D582" s="3739" t="s">
        <v>11591</v>
      </c>
      <c r="E582" s="4398" t="s">
        <v>141</v>
      </c>
      <c r="F582" s="4387">
        <f>F579</f>
        <v>187.2</v>
      </c>
      <c r="G582" s="4399"/>
      <c r="H582" s="3870">
        <f t="shared" si="13"/>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10304</v>
      </c>
      <c r="B583" s="4401"/>
      <c r="C583" s="4402" t="s">
        <v>6584</v>
      </c>
      <c r="D583" s="3746" t="s">
        <v>11592</v>
      </c>
      <c r="E583" s="4402" t="s">
        <v>141</v>
      </c>
      <c r="F583" s="4403">
        <f>(187.2)*1.1</f>
        <v>205.92000000000002</v>
      </c>
      <c r="G583" s="4404"/>
      <c r="H583" s="3979">
        <f t="shared" si="13"/>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11589</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6585</v>
      </c>
      <c r="D586" s="3734" t="s">
        <v>6586</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6561</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6581</v>
      </c>
      <c r="B588" s="4397"/>
      <c r="C588" s="4398">
        <v>722140113</v>
      </c>
      <c r="D588" s="3739" t="s">
        <v>6588</v>
      </c>
      <c r="E588" s="4398" t="s">
        <v>141</v>
      </c>
      <c r="F588" s="4387">
        <f>(153.6)*1.1</f>
        <v>168.96</v>
      </c>
      <c r="G588" s="4399"/>
      <c r="H588" s="3870">
        <f t="shared" ref="H588:H589" si="14">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6582</v>
      </c>
      <c r="B589" s="4397"/>
      <c r="C589" s="4398">
        <v>722181221</v>
      </c>
      <c r="D589" s="3739" t="s">
        <v>6590</v>
      </c>
      <c r="E589" s="4398" t="s">
        <v>141</v>
      </c>
      <c r="F589" s="4387">
        <f>(153.6)*1.1</f>
        <v>168.96</v>
      </c>
      <c r="G589" s="4399"/>
      <c r="H589" s="3870">
        <f t="shared" si="14"/>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6591</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6592</v>
      </c>
      <c r="D592" s="3734" t="s">
        <v>6593</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6580</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6587</v>
      </c>
      <c r="B594" s="4397"/>
      <c r="C594" s="4398">
        <v>722140113</v>
      </c>
      <c r="D594" s="3739" t="s">
        <v>6595</v>
      </c>
      <c r="E594" s="4398" t="s">
        <v>141</v>
      </c>
      <c r="F594" s="4387">
        <f>(147.5)*1.1</f>
        <v>162.25</v>
      </c>
      <c r="G594" s="4399"/>
      <c r="H594" s="3870">
        <f t="shared" ref="H594:H596" si="15">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6589</v>
      </c>
      <c r="B595" s="4397"/>
      <c r="C595" s="4398">
        <v>713463211</v>
      </c>
      <c r="D595" s="3739" t="s">
        <v>6597</v>
      </c>
      <c r="E595" s="4398" t="s">
        <v>141</v>
      </c>
      <c r="F595" s="4387">
        <f>F592</f>
        <v>147.5</v>
      </c>
      <c r="G595" s="4399"/>
      <c r="H595" s="3870">
        <f t="shared" si="15"/>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10309</v>
      </c>
      <c r="B596" s="4401"/>
      <c r="C596" s="4402" t="s">
        <v>6599</v>
      </c>
      <c r="D596" s="3746" t="s">
        <v>6600</v>
      </c>
      <c r="E596" s="4402" t="s">
        <v>141</v>
      </c>
      <c r="F596" s="4403">
        <f>(147.5)*1.1</f>
        <v>162.25</v>
      </c>
      <c r="G596" s="4404"/>
      <c r="H596" s="3979">
        <f t="shared" si="15"/>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6601</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6602</v>
      </c>
      <c r="D599" s="3734" t="s">
        <v>6603</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6561</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6594</v>
      </c>
      <c r="B601" s="4397"/>
      <c r="C601" s="4398">
        <v>722140114</v>
      </c>
      <c r="D601" s="3739" t="s">
        <v>6605</v>
      </c>
      <c r="E601" s="4398" t="s">
        <v>141</v>
      </c>
      <c r="F601" s="4387">
        <f>(156.7)*1.1</f>
        <v>172.37</v>
      </c>
      <c r="G601" s="4399"/>
      <c r="H601" s="3870">
        <f t="shared" ref="H601:H602" si="16">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6596</v>
      </c>
      <c r="B602" s="4397"/>
      <c r="C602" s="4398">
        <v>722181222</v>
      </c>
      <c r="D602" s="3739" t="s">
        <v>6607</v>
      </c>
      <c r="E602" s="4398" t="s">
        <v>141</v>
      </c>
      <c r="F602" s="4387">
        <f>(156.7)*1.1</f>
        <v>172.37</v>
      </c>
      <c r="G602" s="4399"/>
      <c r="H602" s="3870">
        <f t="shared" si="16"/>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6608</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6609</v>
      </c>
      <c r="D605" s="3734" t="s">
        <v>6610</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6611</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6604</v>
      </c>
      <c r="B607" s="4397"/>
      <c r="C607" s="4398">
        <v>722140114</v>
      </c>
      <c r="D607" s="3739" t="s">
        <v>6613</v>
      </c>
      <c r="E607" s="4398" t="s">
        <v>141</v>
      </c>
      <c r="F607" s="4387">
        <f>(102.1)*1.1</f>
        <v>112.31</v>
      </c>
      <c r="G607" s="4399"/>
      <c r="H607" s="3870">
        <f t="shared" ref="H607:H609" si="17">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6606</v>
      </c>
      <c r="B608" s="4397"/>
      <c r="C608" s="4398">
        <v>713463211</v>
      </c>
      <c r="D608" s="3739" t="s">
        <v>6615</v>
      </c>
      <c r="E608" s="4398" t="s">
        <v>141</v>
      </c>
      <c r="F608" s="4387">
        <f>F605</f>
        <v>102.1</v>
      </c>
      <c r="G608" s="4399"/>
      <c r="H608" s="3870">
        <f t="shared" si="17"/>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10314</v>
      </c>
      <c r="B609" s="4401"/>
      <c r="C609" s="4402" t="s">
        <v>6617</v>
      </c>
      <c r="D609" s="3746" t="s">
        <v>6618</v>
      </c>
      <c r="E609" s="4402" t="s">
        <v>141</v>
      </c>
      <c r="F609" s="4403">
        <f>(102.1)*1.1</f>
        <v>112.31</v>
      </c>
      <c r="G609" s="4404"/>
      <c r="H609" s="3979">
        <f t="shared" si="17"/>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6619</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6620</v>
      </c>
      <c r="D612" s="3734" t="s">
        <v>6621</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6561</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6612</v>
      </c>
      <c r="B614" s="4397"/>
      <c r="C614" s="4398">
        <v>722140115</v>
      </c>
      <c r="D614" s="3739" t="s">
        <v>6623</v>
      </c>
      <c r="E614" s="4398" t="s">
        <v>141</v>
      </c>
      <c r="F614" s="4387">
        <f>(39.9)*1.1</f>
        <v>43.89</v>
      </c>
      <c r="G614" s="4399"/>
      <c r="H614" s="3870">
        <f t="shared" ref="H614:H615" si="18">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6614</v>
      </c>
      <c r="B615" s="4397"/>
      <c r="C615" s="4398">
        <v>722181222</v>
      </c>
      <c r="D615" s="3739" t="s">
        <v>6625</v>
      </c>
      <c r="E615" s="4398" t="s">
        <v>141</v>
      </c>
      <c r="F615" s="4387">
        <f>(39.9)*1.1</f>
        <v>43.89</v>
      </c>
      <c r="G615" s="4399"/>
      <c r="H615" s="3870">
        <f t="shared" si="18"/>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6626</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6627</v>
      </c>
      <c r="D618" s="3734" t="s">
        <v>6628</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6629</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6622</v>
      </c>
      <c r="B620" s="4397"/>
      <c r="C620" s="4398">
        <v>722140115</v>
      </c>
      <c r="D620" s="3739" t="s">
        <v>6631</v>
      </c>
      <c r="E620" s="4398" t="s">
        <v>141</v>
      </c>
      <c r="F620" s="4387">
        <f>(20.7)*1.1</f>
        <v>22.77</v>
      </c>
      <c r="G620" s="4399"/>
      <c r="H620" s="3870">
        <f t="shared" ref="H620:H622" si="19">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6624</v>
      </c>
      <c r="B621" s="4397"/>
      <c r="C621" s="4398">
        <v>713463211</v>
      </c>
      <c r="D621" s="3739" t="s">
        <v>6633</v>
      </c>
      <c r="E621" s="4398" t="s">
        <v>141</v>
      </c>
      <c r="F621" s="4387">
        <f>F618</f>
        <v>20.7</v>
      </c>
      <c r="G621" s="4399"/>
      <c r="H621" s="3870">
        <f t="shared" si="19"/>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10319</v>
      </c>
      <c r="B622" s="4401"/>
      <c r="C622" s="4402" t="s">
        <v>6635</v>
      </c>
      <c r="D622" s="3746" t="s">
        <v>6636</v>
      </c>
      <c r="E622" s="4402" t="s">
        <v>141</v>
      </c>
      <c r="F622" s="4403">
        <f>(20.7)*1.1</f>
        <v>22.77</v>
      </c>
      <c r="G622" s="4404"/>
      <c r="H622" s="3979">
        <f t="shared" si="19"/>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6637</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6638</v>
      </c>
      <c r="D625" s="3734" t="s">
        <v>6639</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6561</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6630</v>
      </c>
      <c r="B627" s="4397"/>
      <c r="C627" s="4398">
        <v>722140116</v>
      </c>
      <c r="D627" s="3739" t="s">
        <v>6641</v>
      </c>
      <c r="E627" s="4398" t="s">
        <v>141</v>
      </c>
      <c r="F627" s="4387">
        <f>(16)*1.1</f>
        <v>17.600000000000001</v>
      </c>
      <c r="G627" s="4399"/>
      <c r="H627" s="3870">
        <f t="shared" ref="H627:H628" si="20">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6632</v>
      </c>
      <c r="B628" s="4397"/>
      <c r="C628" s="4398">
        <v>722181222</v>
      </c>
      <c r="D628" s="3739" t="s">
        <v>6643</v>
      </c>
      <c r="E628" s="4398" t="s">
        <v>141</v>
      </c>
      <c r="F628" s="4387">
        <f>(16)*1.1</f>
        <v>17.600000000000001</v>
      </c>
      <c r="G628" s="4399"/>
      <c r="H628" s="3870">
        <f t="shared" si="20"/>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6644</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6645</v>
      </c>
      <c r="D631" s="3734" t="s">
        <v>6646</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6629</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6640</v>
      </c>
      <c r="B633" s="4397"/>
      <c r="C633" s="4398">
        <v>722140116</v>
      </c>
      <c r="D633" s="3739" t="s">
        <v>6641</v>
      </c>
      <c r="E633" s="4398" t="s">
        <v>141</v>
      </c>
      <c r="F633" s="4387">
        <f>(16)*1.1</f>
        <v>17.600000000000001</v>
      </c>
      <c r="G633" s="4399"/>
      <c r="H633" s="3870">
        <f t="shared" ref="H633:H635" si="21">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6642</v>
      </c>
      <c r="B634" s="4397"/>
      <c r="C634" s="4398">
        <v>713463211</v>
      </c>
      <c r="D634" s="3739" t="s">
        <v>6649</v>
      </c>
      <c r="E634" s="4398" t="s">
        <v>141</v>
      </c>
      <c r="F634" s="4387">
        <f>F631</f>
        <v>16</v>
      </c>
      <c r="G634" s="4399"/>
      <c r="H634" s="3870">
        <f t="shared" si="21"/>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10706</v>
      </c>
      <c r="B635" s="4401"/>
      <c r="C635" s="4402" t="s">
        <v>6650</v>
      </c>
      <c r="D635" s="3746" t="s">
        <v>6651</v>
      </c>
      <c r="E635" s="4402" t="s">
        <v>141</v>
      </c>
      <c r="F635" s="4403">
        <f>(16)*1.1</f>
        <v>17.600000000000001</v>
      </c>
      <c r="G635" s="4404"/>
      <c r="H635" s="3979">
        <f t="shared" si="21"/>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6652</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6653</v>
      </c>
      <c r="D638" s="3734" t="s">
        <v>6654</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6561</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6647</v>
      </c>
      <c r="B640" s="4397"/>
      <c r="C640" s="4398">
        <v>722140117</v>
      </c>
      <c r="D640" s="3739" t="s">
        <v>11610</v>
      </c>
      <c r="E640" s="4398" t="s">
        <v>141</v>
      </c>
      <c r="F640" s="4387">
        <f>(30)*1.1</f>
        <v>33</v>
      </c>
      <c r="G640" s="4399"/>
      <c r="H640" s="3870">
        <f t="shared" ref="H640:H641" si="22">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6648</v>
      </c>
      <c r="B641" s="4397"/>
      <c r="C641" s="4398">
        <v>722181223</v>
      </c>
      <c r="D641" s="3739" t="s">
        <v>11611</v>
      </c>
      <c r="E641" s="4398" t="s">
        <v>141</v>
      </c>
      <c r="F641" s="4387">
        <f>(30)*1.1</f>
        <v>33</v>
      </c>
      <c r="G641" s="4399"/>
      <c r="H641" s="3870">
        <f t="shared" si="22"/>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6657</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6658</v>
      </c>
      <c r="D644" s="3734" t="s">
        <v>6659</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6629</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6655</v>
      </c>
      <c r="B646" s="4397"/>
      <c r="C646" s="4398">
        <v>722140117</v>
      </c>
      <c r="D646" s="3739" t="s">
        <v>6660</v>
      </c>
      <c r="E646" s="4398" t="s">
        <v>141</v>
      </c>
      <c r="F646" s="4387">
        <f>(22.3)*1.1</f>
        <v>24.53</v>
      </c>
      <c r="G646" s="4399"/>
      <c r="H646" s="3870">
        <f t="shared" ref="H646:H648" si="23">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6656</v>
      </c>
      <c r="B647" s="4397"/>
      <c r="C647" s="4398">
        <v>713463212</v>
      </c>
      <c r="D647" s="3739" t="s">
        <v>6661</v>
      </c>
      <c r="E647" s="4398" t="s">
        <v>141</v>
      </c>
      <c r="F647" s="4387">
        <f>F644</f>
        <v>22.3</v>
      </c>
      <c r="G647" s="4399"/>
      <c r="H647" s="3870">
        <f t="shared" si="23"/>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10707</v>
      </c>
      <c r="B648" s="4401"/>
      <c r="C648" s="4402" t="s">
        <v>6662</v>
      </c>
      <c r="D648" s="3746" t="s">
        <v>6663</v>
      </c>
      <c r="E648" s="4402" t="s">
        <v>141</v>
      </c>
      <c r="F648" s="4403">
        <f>(22.3)*1.1</f>
        <v>24.53</v>
      </c>
      <c r="G648" s="4404"/>
      <c r="H648" s="3979">
        <f t="shared" si="23"/>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6664</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6665</v>
      </c>
      <c r="D651" s="3734" t="s">
        <v>6666</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6667</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6668</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6669</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6670</v>
      </c>
      <c r="D655" s="3734" t="s">
        <v>6671</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6672</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6673</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6674</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6675</v>
      </c>
      <c r="D659" s="3734" t="s">
        <v>6676</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6677</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6678</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6674</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6679</v>
      </c>
      <c r="D663" s="3734" t="s">
        <v>6680</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6681</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6682</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6674</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6683</v>
      </c>
      <c r="D667" s="3734" t="s">
        <v>6684</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6685</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6686</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6674</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6687</v>
      </c>
      <c r="D671" s="3734" t="s">
        <v>6688</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6689</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6690</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6669</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6691</v>
      </c>
      <c r="D675" s="3734" t="s">
        <v>6692</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6693</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6690</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6669</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6694</v>
      </c>
      <c r="D679" s="3734" t="s">
        <v>6695</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6696</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6697</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6698</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6699</v>
      </c>
      <c r="D683" s="3734" t="s">
        <v>6700</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6701</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6702</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6703</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6704</v>
      </c>
      <c r="D687" s="3734" t="s">
        <v>6705</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6706</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6707</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6703</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6708</v>
      </c>
      <c r="D691" s="3734" t="s">
        <v>6709</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6710</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6711</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6712</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6713</v>
      </c>
      <c r="D695" s="3734" t="s">
        <v>6714</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6715</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6716</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6712</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6717</v>
      </c>
      <c r="D699" s="3734" t="s">
        <v>6718</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6719</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6720</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6712</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6721</v>
      </c>
      <c r="D703" s="3734" t="s">
        <v>6722</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6723</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6724</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6712</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6725</v>
      </c>
      <c r="D707" s="3734" t="s">
        <v>6726</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6727</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6728</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6724</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6712</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3832</v>
      </c>
      <c r="B712" s="3734">
        <v>721</v>
      </c>
      <c r="C712" s="3734" t="s">
        <v>6729</v>
      </c>
      <c r="D712" s="3734" t="s">
        <v>6730</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6731</v>
      </c>
      <c r="E713" s="3734"/>
      <c r="F713" s="4393"/>
      <c r="G713" s="4429"/>
      <c r="H713" s="4378"/>
      <c r="I713" s="4377"/>
      <c r="J713" s="3767"/>
      <c r="K713" s="1512"/>
    </row>
    <row r="714" spans="1:30" s="2276" customFormat="1" ht="13.5" customHeight="1">
      <c r="A714" s="4574"/>
      <c r="B714" s="4386"/>
      <c r="C714" s="4386"/>
      <c r="D714" s="3739" t="s">
        <v>6732</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6733</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3837</v>
      </c>
      <c r="B716" s="3734">
        <v>721</v>
      </c>
      <c r="C716" s="3734" t="s">
        <v>6734</v>
      </c>
      <c r="D716" s="3734" t="s">
        <v>6735</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6736</v>
      </c>
      <c r="E717" s="3734"/>
      <c r="F717" s="4393"/>
      <c r="G717" s="4429"/>
      <c r="H717" s="4378"/>
      <c r="I717" s="4377"/>
      <c r="J717" s="3767"/>
      <c r="K717" s="1512"/>
    </row>
    <row r="718" spans="1:30" s="2276" customFormat="1" ht="13.5" customHeight="1">
      <c r="A718" s="4574"/>
      <c r="B718" s="4386"/>
      <c r="C718" s="4386"/>
      <c r="D718" s="3739" t="s">
        <v>6737</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6738</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3841</v>
      </c>
      <c r="B720" s="3734">
        <v>721</v>
      </c>
      <c r="C720" s="3734" t="s">
        <v>6739</v>
      </c>
      <c r="D720" s="3734" t="s">
        <v>6740</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6741</v>
      </c>
      <c r="E721" s="3734"/>
      <c r="F721" s="4393"/>
      <c r="G721" s="4429"/>
      <c r="H721" s="4378"/>
      <c r="I721" s="4377"/>
      <c r="J721" s="3767"/>
      <c r="K721" s="1512"/>
    </row>
    <row r="722" spans="1:30" s="2276" customFormat="1" ht="13.5" customHeight="1">
      <c r="A722" s="4574"/>
      <c r="B722" s="4386"/>
      <c r="C722" s="4386"/>
      <c r="D722" s="3739" t="s">
        <v>6742</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6738</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6743</v>
      </c>
      <c r="D724" s="3734" t="s">
        <v>6744</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6745</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6746</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6669</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6747</v>
      </c>
      <c r="D728" s="3734" t="s">
        <v>6748</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6749</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6750</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6751</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3853</v>
      </c>
      <c r="B732" s="3734" t="s">
        <v>1007</v>
      </c>
      <c r="C732" s="3734" t="s">
        <v>6752</v>
      </c>
      <c r="D732" s="3734" t="s">
        <v>6753</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6754</v>
      </c>
      <c r="E733" s="4397"/>
      <c r="F733" s="4387"/>
      <c r="G733" s="4425"/>
      <c r="H733" s="4383"/>
      <c r="I733" s="4384"/>
      <c r="J733" s="4541"/>
    </row>
    <row r="734" spans="1:30" s="187" customFormat="1" ht="13.5" customHeight="1">
      <c r="A734" s="4576"/>
      <c r="B734" s="4397"/>
      <c r="C734" s="4397"/>
      <c r="D734" s="3739" t="s">
        <v>6755</v>
      </c>
      <c r="E734" s="4397"/>
      <c r="F734" s="4387">
        <v>1</v>
      </c>
      <c r="G734" s="4425"/>
      <c r="H734" s="4383"/>
      <c r="I734" s="4384"/>
      <c r="J734" s="4541"/>
    </row>
    <row r="735" spans="1:30" s="187" customFormat="1" ht="13.5" customHeight="1">
      <c r="A735" s="4576"/>
      <c r="B735" s="4397"/>
      <c r="C735" s="4397"/>
      <c r="D735" s="3739" t="s">
        <v>6756</v>
      </c>
      <c r="E735" s="4397"/>
      <c r="F735" s="4387"/>
      <c r="G735" s="4425"/>
      <c r="H735" s="4383"/>
      <c r="I735" s="4384"/>
      <c r="J735" s="4541"/>
    </row>
    <row r="736" spans="1:30" s="2276" customFormat="1" ht="13.5" customHeight="1">
      <c r="A736" s="3635" t="s">
        <v>3857</v>
      </c>
      <c r="B736" s="3734" t="s">
        <v>1007</v>
      </c>
      <c r="C736" s="3734" t="s">
        <v>6757</v>
      </c>
      <c r="D736" s="3734" t="s">
        <v>6758</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6759</v>
      </c>
      <c r="E737" s="3734"/>
      <c r="F737" s="4393"/>
      <c r="G737" s="4429"/>
      <c r="H737" s="4378"/>
      <c r="I737" s="4377"/>
      <c r="J737" s="4541"/>
      <c r="K737" s="4874"/>
    </row>
    <row r="738" spans="1:30" s="187" customFormat="1" ht="13.5" customHeight="1">
      <c r="A738" s="4576"/>
      <c r="B738" s="4397"/>
      <c r="C738" s="4397"/>
      <c r="D738" s="3739" t="s">
        <v>6760</v>
      </c>
      <c r="E738" s="4397"/>
      <c r="F738" s="4387">
        <v>2</v>
      </c>
      <c r="G738" s="4425"/>
      <c r="H738" s="4383"/>
      <c r="I738" s="4384"/>
      <c r="J738" s="4541"/>
    </row>
    <row r="739" spans="1:30" s="2276" customFormat="1" ht="13.5" customHeight="1">
      <c r="A739" s="3635" t="s">
        <v>3861</v>
      </c>
      <c r="B739" s="3734" t="s">
        <v>1007</v>
      </c>
      <c r="C739" s="3734" t="s">
        <v>6761</v>
      </c>
      <c r="D739" s="3734" t="s">
        <v>6762</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6763</v>
      </c>
      <c r="E740" s="3734"/>
      <c r="F740" s="4393"/>
      <c r="G740" s="4429"/>
      <c r="H740" s="4378"/>
      <c r="I740" s="4377"/>
      <c r="J740" s="4541"/>
      <c r="K740" s="4874"/>
      <c r="Y740" s="4866"/>
    </row>
    <row r="741" spans="1:30" s="187" customFormat="1" ht="13.5" customHeight="1">
      <c r="A741" s="4576"/>
      <c r="B741" s="4397"/>
      <c r="C741" s="4397"/>
      <c r="D741" s="3739" t="s">
        <v>6764</v>
      </c>
      <c r="E741" s="4397"/>
      <c r="F741" s="4387">
        <v>1</v>
      </c>
      <c r="G741" s="4425"/>
      <c r="H741" s="4383"/>
      <c r="I741" s="4384"/>
      <c r="J741" s="4541"/>
      <c r="R741" s="4866"/>
    </row>
    <row r="742" spans="1:30" s="187" customFormat="1" ht="27" customHeight="1">
      <c r="A742" s="4576"/>
      <c r="B742" s="4397"/>
      <c r="C742" s="4397"/>
      <c r="D742" s="3739" t="s">
        <v>6765</v>
      </c>
      <c r="E742" s="4397"/>
      <c r="F742" s="4387"/>
      <c r="G742" s="4425"/>
      <c r="H742" s="4383"/>
      <c r="I742" s="4384"/>
      <c r="J742" s="4541"/>
      <c r="R742" s="845"/>
    </row>
    <row r="743" spans="1:30" s="187" customFormat="1" ht="13.5" customHeight="1">
      <c r="A743" s="3741">
        <v>144</v>
      </c>
      <c r="B743" s="3734">
        <v>721</v>
      </c>
      <c r="C743" s="3734" t="s">
        <v>6766</v>
      </c>
      <c r="D743" s="3734" t="s">
        <v>6767</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6768</v>
      </c>
      <c r="E744" s="4414"/>
      <c r="F744" s="3576"/>
      <c r="G744" s="4406"/>
      <c r="H744" s="4383"/>
      <c r="I744" s="4384"/>
      <c r="J744" s="3767"/>
      <c r="K744" s="4813"/>
      <c r="L744" s="4876"/>
    </row>
    <row r="745" spans="1:30" s="187" customFormat="1" ht="13.5" customHeight="1">
      <c r="A745" s="3741"/>
      <c r="B745" s="3734"/>
      <c r="C745" s="3734"/>
      <c r="D745" s="3739" t="s">
        <v>6769</v>
      </c>
      <c r="E745" s="4414"/>
      <c r="F745" s="4387">
        <v>1</v>
      </c>
      <c r="G745" s="4406"/>
      <c r="H745" s="4383"/>
      <c r="I745" s="4384"/>
      <c r="J745" s="3767"/>
      <c r="K745" s="4813"/>
      <c r="L745" s="4876"/>
    </row>
    <row r="746" spans="1:30" s="2271" customFormat="1" ht="54" customHeight="1">
      <c r="A746" s="4407"/>
      <c r="B746" s="3734"/>
      <c r="C746" s="3734"/>
      <c r="D746" s="4408" t="s">
        <v>6770</v>
      </c>
      <c r="E746" s="3734"/>
      <c r="F746" s="4387"/>
      <c r="G746" s="4394"/>
      <c r="H746" s="4378"/>
      <c r="I746" s="4377"/>
      <c r="J746" s="3767"/>
      <c r="K746" s="4877"/>
    </row>
    <row r="747" spans="1:30" s="187" customFormat="1" ht="27" customHeight="1">
      <c r="A747" s="3741"/>
      <c r="B747" s="3734"/>
      <c r="C747" s="3734"/>
      <c r="D747" s="3739" t="s">
        <v>6771</v>
      </c>
      <c r="E747" s="4414"/>
      <c r="F747" s="3576"/>
      <c r="G747" s="4406"/>
      <c r="H747" s="4383"/>
      <c r="I747" s="4384"/>
      <c r="J747" s="3767"/>
      <c r="K747" s="4813"/>
      <c r="L747" s="4876"/>
    </row>
    <row r="748" spans="1:30" s="187" customFormat="1" ht="27" customHeight="1">
      <c r="A748" s="3741"/>
      <c r="B748" s="3734"/>
      <c r="C748" s="3734"/>
      <c r="D748" s="3739" t="s">
        <v>6772</v>
      </c>
      <c r="E748" s="4414"/>
      <c r="F748" s="3576"/>
      <c r="G748" s="4406"/>
      <c r="H748" s="4383"/>
      <c r="I748" s="4384"/>
      <c r="J748" s="3767"/>
      <c r="K748" s="4813"/>
      <c r="L748" s="4876"/>
    </row>
    <row r="749" spans="1:30" s="333" customFormat="1" ht="13.5" customHeight="1">
      <c r="A749" s="3741">
        <v>145</v>
      </c>
      <c r="B749" s="3734">
        <v>721</v>
      </c>
      <c r="C749" s="3734">
        <v>722290226</v>
      </c>
      <c r="D749" s="3734" t="s">
        <v>6773</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6774</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6775</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6776</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6777</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11612</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11593</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6778</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6779</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6780</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6781</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6782</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6783</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6784</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11594</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11595</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6785</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6786</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6787</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6782</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6788</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6789</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10472</v>
      </c>
      <c r="D771" s="3536" t="s">
        <v>6534</v>
      </c>
      <c r="E771" s="3536" t="s">
        <v>23</v>
      </c>
      <c r="F771" s="3541">
        <f>ROUND(SUM(F772),3)</f>
        <v>1</v>
      </c>
      <c r="G771" s="3528"/>
      <c r="H771" s="3861">
        <f>ROUND(F771*G771,2)</f>
        <v>0</v>
      </c>
      <c r="I771" s="4028"/>
      <c r="J771" s="3529" t="s">
        <v>60</v>
      </c>
    </row>
    <row r="772" spans="1:122" s="2595" customFormat="1" ht="27" customHeight="1">
      <c r="A772" s="3567"/>
      <c r="B772" s="3558"/>
      <c r="C772" s="3558"/>
      <c r="D772" s="3696" t="s">
        <v>10695</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10486</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10703</v>
      </c>
      <c r="E774" s="4374"/>
      <c r="F774" s="4375"/>
      <c r="G774" s="4376"/>
      <c r="H774" s="4370"/>
      <c r="I774" s="3849"/>
      <c r="J774" s="3726"/>
      <c r="K774" s="4855"/>
      <c r="L774" s="4855"/>
    </row>
    <row r="775" spans="1:122" customFormat="1" ht="13.5" customHeight="1">
      <c r="A775" s="3531"/>
      <c r="B775" s="3532"/>
      <c r="C775" s="3532"/>
      <c r="D775" s="3548" t="s">
        <v>10694</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6790</v>
      </c>
      <c r="D777" s="3734" t="s">
        <v>6540</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6791</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6542</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6929</v>
      </c>
      <c r="E780" s="3695"/>
      <c r="F780" s="4484"/>
      <c r="G780" s="3709"/>
      <c r="H780" s="3816"/>
      <c r="I780" s="3849"/>
      <c r="J780" s="3726"/>
      <c r="K780" s="4596"/>
    </row>
    <row r="781" spans="1:122" s="2303" customFormat="1" ht="94.5" customHeight="1">
      <c r="A781" s="3750"/>
      <c r="B781" s="3695"/>
      <c r="C781" s="3695"/>
      <c r="D781" s="4483" t="s">
        <v>6930</v>
      </c>
      <c r="E781" s="3695"/>
      <c r="F781" s="4484"/>
      <c r="G781" s="3709"/>
      <c r="H781" s="3816"/>
      <c r="I781" s="3849"/>
      <c r="J781" s="3726"/>
      <c r="K781" s="4596"/>
    </row>
    <row r="782" spans="1:122" s="2303" customFormat="1" ht="94.5" customHeight="1">
      <c r="A782" s="3750"/>
      <c r="B782" s="3695"/>
      <c r="C782" s="3695"/>
      <c r="D782" s="4483" t="s">
        <v>6931</v>
      </c>
      <c r="E782" s="3695"/>
      <c r="F782" s="4484"/>
      <c r="G782" s="3709"/>
      <c r="H782" s="3816"/>
      <c r="I782" s="3849"/>
      <c r="J782" s="3726"/>
      <c r="K782" s="4596"/>
    </row>
    <row r="783" spans="1:122" s="2303" customFormat="1" ht="54" customHeight="1">
      <c r="A783" s="3750"/>
      <c r="B783" s="3695"/>
      <c r="C783" s="3695"/>
      <c r="D783" s="4483" t="s">
        <v>6932</v>
      </c>
      <c r="E783" s="3695"/>
      <c r="F783" s="4484"/>
      <c r="G783" s="3709"/>
      <c r="H783" s="3816"/>
      <c r="I783" s="3849"/>
      <c r="J783" s="3726"/>
      <c r="K783" s="4596"/>
    </row>
    <row r="784" spans="1:122" s="2303" customFormat="1" ht="229.5" customHeight="1">
      <c r="A784" s="3750"/>
      <c r="B784" s="3695"/>
      <c r="C784" s="3695"/>
      <c r="D784" s="4483" t="s">
        <v>10471</v>
      </c>
      <c r="E784" s="3695"/>
      <c r="F784" s="4484"/>
      <c r="G784" s="3709"/>
      <c r="H784" s="3816"/>
      <c r="I784" s="3849"/>
      <c r="J784" s="3726"/>
      <c r="K784" s="4596"/>
    </row>
    <row r="785" spans="1:122" s="2303" customFormat="1" ht="40.5" customHeight="1">
      <c r="A785" s="3750"/>
      <c r="B785" s="3695"/>
      <c r="C785" s="3695"/>
      <c r="D785" s="4483" t="s">
        <v>10479</v>
      </c>
      <c r="E785" s="3695"/>
      <c r="F785" s="4484"/>
      <c r="G785" s="3709"/>
      <c r="H785" s="3816"/>
      <c r="I785" s="3849"/>
      <c r="J785" s="3726"/>
      <c r="K785" s="4596"/>
    </row>
    <row r="786" spans="1:122" s="2303" customFormat="1" ht="54" customHeight="1">
      <c r="A786" s="3750"/>
      <c r="B786" s="3695"/>
      <c r="C786" s="3695"/>
      <c r="D786" s="4483" t="s">
        <v>10470</v>
      </c>
      <c r="E786" s="3695"/>
      <c r="F786" s="4484"/>
      <c r="G786" s="3709"/>
      <c r="H786" s="3816"/>
      <c r="I786" s="3849"/>
      <c r="J786" s="3726"/>
      <c r="K786" s="4596"/>
    </row>
    <row r="787" spans="1:122" s="187" customFormat="1" ht="13.5" customHeight="1">
      <c r="A787" s="3741">
        <v>149</v>
      </c>
      <c r="B787" s="3734">
        <v>721</v>
      </c>
      <c r="C787" s="3734" t="s">
        <v>6792</v>
      </c>
      <c r="D787" s="3734" t="s">
        <v>6544</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6545</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6546</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10701</v>
      </c>
      <c r="E790" s="4374"/>
      <c r="F790" s="4375"/>
      <c r="G790" s="4376"/>
      <c r="H790" s="4370"/>
      <c r="I790" s="3849"/>
      <c r="J790" s="3726"/>
      <c r="K790" s="4855"/>
      <c r="L790" s="4855"/>
    </row>
    <row r="791" spans="1:122" s="4367" customFormat="1" ht="40.700000000000003" customHeight="1">
      <c r="A791" s="4372"/>
      <c r="B791" s="4373"/>
      <c r="C791" s="4373"/>
      <c r="D791" s="4483" t="s">
        <v>10702</v>
      </c>
      <c r="E791" s="4374"/>
      <c r="F791" s="4375"/>
      <c r="G791" s="4376"/>
      <c r="H791" s="4370"/>
      <c r="I791" s="3849"/>
      <c r="J791" s="3726"/>
      <c r="K791" s="4855"/>
      <c r="L791" s="4855"/>
    </row>
    <row r="792" spans="1:122" s="4367" customFormat="1" ht="40.5" customHeight="1">
      <c r="A792" s="4372"/>
      <c r="B792" s="4373"/>
      <c r="C792" s="4373"/>
      <c r="D792" s="3548" t="s">
        <v>10700</v>
      </c>
      <c r="E792" s="4374"/>
      <c r="F792" s="4375"/>
      <c r="G792" s="4376"/>
      <c r="H792" s="4370"/>
      <c r="I792" s="3849"/>
      <c r="J792" s="3726"/>
      <c r="K792" s="4855"/>
      <c r="L792" s="4855"/>
    </row>
    <row r="793" spans="1:122" s="2306" customFormat="1" ht="13.5" customHeight="1">
      <c r="A793" s="4571" t="s">
        <v>3889</v>
      </c>
      <c r="B793" s="4417">
        <v>721</v>
      </c>
      <c r="C793" s="4417" t="s">
        <v>6793</v>
      </c>
      <c r="D793" s="4417" t="s">
        <v>6794</v>
      </c>
      <c r="E793" s="4417" t="s">
        <v>23</v>
      </c>
      <c r="F793" s="4393">
        <f>ROUND(SUM(F794),3)</f>
        <v>1</v>
      </c>
      <c r="G793" s="4418"/>
      <c r="H793" s="3861">
        <f>ROUND(F793*G793,2)</f>
        <v>0</v>
      </c>
      <c r="I793" s="3942"/>
      <c r="J793" s="4542" t="s">
        <v>60</v>
      </c>
    </row>
    <row r="794" spans="1:122" s="2308" customFormat="1" ht="27" customHeight="1">
      <c r="A794" s="4571"/>
      <c r="B794" s="4572"/>
      <c r="C794" s="4417"/>
      <c r="D794" s="4419" t="s">
        <v>6795</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6796</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6797</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6552</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6798</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6799</v>
      </c>
      <c r="D800" s="4755" t="s">
        <v>6800</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6801</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6532</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6528</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6529</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6530</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6802</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6803</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6804</v>
      </c>
      <c r="D808" s="151" t="s">
        <v>6805</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6806</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6528</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6529</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6530</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6807</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6803</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6808</v>
      </c>
      <c r="D815" s="4769" t="s">
        <v>6809</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6810</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6339</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6811</v>
      </c>
      <c r="E818" s="151"/>
      <c r="F818" s="136">
        <v>3</v>
      </c>
      <c r="G818" s="362"/>
      <c r="H818" s="3812"/>
      <c r="I818" s="3822"/>
      <c r="J818" s="153"/>
      <c r="K818" s="4892"/>
      <c r="U818" s="4893"/>
    </row>
    <row r="819" spans="1:257" s="2271" customFormat="1" ht="13.5" customHeight="1">
      <c r="A819" s="764"/>
      <c r="B819" s="151"/>
      <c r="C819" s="151"/>
      <c r="D819" s="135" t="s">
        <v>6812</v>
      </c>
      <c r="E819" s="151"/>
      <c r="F819" s="136">
        <v>3</v>
      </c>
      <c r="G819" s="362"/>
      <c r="H819" s="3812"/>
      <c r="I819" s="3822"/>
      <c r="J819" s="153"/>
      <c r="K819" s="4892"/>
      <c r="U819" s="4893"/>
    </row>
    <row r="820" spans="1:257" s="2271" customFormat="1" ht="13.5" customHeight="1">
      <c r="A820" s="764"/>
      <c r="B820" s="151"/>
      <c r="C820" s="151"/>
      <c r="D820" s="135" t="s">
        <v>6813</v>
      </c>
      <c r="E820" s="151"/>
      <c r="F820" s="136">
        <v>3</v>
      </c>
      <c r="G820" s="362"/>
      <c r="H820" s="3812"/>
      <c r="I820" s="3822"/>
      <c r="J820" s="153"/>
      <c r="K820" s="4892"/>
      <c r="U820" s="4893"/>
    </row>
    <row r="821" spans="1:257" s="2288" customFormat="1" ht="27" customHeight="1">
      <c r="A821" s="2328"/>
      <c r="B821" s="2329"/>
      <c r="C821" s="193"/>
      <c r="D821" s="193" t="s">
        <v>6814</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6803</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6815</v>
      </c>
      <c r="D823" s="4769" t="s">
        <v>6816</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6817</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6811</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6814</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6803</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6818</v>
      </c>
      <c r="D828" s="4771" t="s">
        <v>6819</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6820</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6528</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6821</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6803</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6822</v>
      </c>
      <c r="D833" s="151" t="s">
        <v>6823</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6824</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6528</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6529</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6530</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6825</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6803</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6826</v>
      </c>
      <c r="D840" s="151" t="s">
        <v>6827</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6828</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6532</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6528</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6529</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6530</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6829</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6803</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6830</v>
      </c>
      <c r="D848" s="151" t="s">
        <v>6831</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6832</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6532</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6528</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6833</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6834</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6835</v>
      </c>
      <c r="D854" s="151" t="s">
        <v>6836</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6837</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6528</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6529</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6530</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6838</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6839</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6840</v>
      </c>
      <c r="D861" s="151" t="s">
        <v>6841</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6837</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6528</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6838</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6839</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6842</v>
      </c>
      <c r="D866" s="151" t="s">
        <v>6843</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6837</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6528</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6844</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6839</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6845</v>
      </c>
      <c r="D871" s="4771" t="s">
        <v>6846</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6847</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6528</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6529</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6530</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6848</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6803</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6849</v>
      </c>
      <c r="D878" s="4771" t="s">
        <v>6850</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6851</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6528</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6848</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6803</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6852</v>
      </c>
      <c r="D883" s="4771" t="s">
        <v>6853</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6854</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6528</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6848</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6803</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6855</v>
      </c>
      <c r="D888" s="4771" t="s">
        <v>6856</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6857</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6532</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6848</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6803</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6858</v>
      </c>
      <c r="D893" s="4771" t="s">
        <v>6859</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6860</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6532</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6848</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6803</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6861</v>
      </c>
      <c r="D898" s="4773" t="s">
        <v>6862</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6863</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6529</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6530</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6864</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6865</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6866</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6867</v>
      </c>
      <c r="D905" s="4773" t="s">
        <v>6868</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6869</v>
      </c>
      <c r="E906" s="4777"/>
      <c r="F906" s="4778"/>
      <c r="G906" s="4779"/>
      <c r="H906" s="3817"/>
      <c r="I906" s="3850"/>
      <c r="J906" s="4554"/>
      <c r="K906" s="4898"/>
    </row>
    <row r="907" spans="1:257" s="2286" customFormat="1" ht="13.5" customHeight="1">
      <c r="A907" s="2281"/>
      <c r="B907" s="2282"/>
      <c r="C907" s="2282"/>
      <c r="D907" s="2282" t="s">
        <v>6528</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6870</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6871</v>
      </c>
      <c r="D909" s="4773" t="s">
        <v>6872</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6873</v>
      </c>
      <c r="E910" s="4777"/>
      <c r="F910" s="4778"/>
      <c r="G910" s="4779"/>
      <c r="H910" s="3817"/>
      <c r="I910" s="3850"/>
      <c r="J910" s="4554"/>
      <c r="K910" s="4898"/>
    </row>
    <row r="911" spans="1:257" s="2286" customFormat="1" ht="13.5" customHeight="1">
      <c r="A911" s="2281"/>
      <c r="B911" s="2282"/>
      <c r="C911" s="2282"/>
      <c r="D911" s="2282" t="s">
        <v>6529</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6530</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6870</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6874</v>
      </c>
      <c r="D914" s="151" t="s">
        <v>6875</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6876</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6877</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6532</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6878</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6879</v>
      </c>
      <c r="D919" s="151" t="s">
        <v>6880</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6881</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6877</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6532</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6882</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6883</v>
      </c>
      <c r="D924" s="151" t="s">
        <v>6884</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6885</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6886</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6532</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6887</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6888</v>
      </c>
      <c r="D929" s="151" t="s">
        <v>6889</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6890</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6891</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6528</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6529</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6530</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6892</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6893</v>
      </c>
      <c r="D936" s="4773" t="s">
        <v>6894</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6895</v>
      </c>
      <c r="E937" s="4777"/>
      <c r="F937" s="4778"/>
      <c r="G937" s="4779"/>
      <c r="H937" s="3817"/>
      <c r="I937" s="3850"/>
      <c r="J937" s="4555"/>
    </row>
    <row r="938" spans="1:257" s="2286" customFormat="1" ht="13.5" customHeight="1">
      <c r="A938" s="2281"/>
      <c r="B938" s="2282"/>
      <c r="C938" s="2282"/>
      <c r="D938" s="2282" t="s">
        <v>6896</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6528</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6529</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6530</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6897</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6898</v>
      </c>
      <c r="D943" s="4773" t="s">
        <v>6899</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6900</v>
      </c>
      <c r="E944" s="4777"/>
      <c r="F944" s="4778"/>
      <c r="G944" s="4779"/>
      <c r="H944" s="3817"/>
      <c r="I944" s="3850"/>
      <c r="J944" s="4555"/>
    </row>
    <row r="945" spans="1:257" s="2286" customFormat="1" ht="13.5" customHeight="1">
      <c r="A945" s="2281"/>
      <c r="B945" s="2282"/>
      <c r="C945" s="2282"/>
      <c r="D945" s="2282" t="s">
        <v>6896</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6532</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6528</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6529</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6530</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6897</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6901</v>
      </c>
      <c r="D951" s="4773" t="s">
        <v>6902</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6903</v>
      </c>
      <c r="E952" s="4777"/>
      <c r="F952" s="4778"/>
      <c r="G952" s="4779"/>
      <c r="H952" s="3817"/>
      <c r="I952" s="3850"/>
      <c r="J952" s="4555"/>
    </row>
    <row r="953" spans="1:257" s="2286" customFormat="1" ht="13.5" customHeight="1">
      <c r="A953" s="2281"/>
      <c r="B953" s="2282"/>
      <c r="C953" s="2282"/>
      <c r="D953" s="2282" t="s">
        <v>6896</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6529</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6530</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6897</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6904</v>
      </c>
      <c r="D957" s="4773" t="s">
        <v>6905</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6903</v>
      </c>
      <c r="E958" s="4777"/>
      <c r="F958" s="4778"/>
      <c r="G958" s="4779"/>
      <c r="H958" s="3817"/>
      <c r="I958" s="3850"/>
      <c r="J958" s="4555"/>
    </row>
    <row r="959" spans="1:257" s="2286" customFormat="1" ht="13.5" customHeight="1">
      <c r="A959" s="2281"/>
      <c r="B959" s="2282"/>
      <c r="C959" s="2282"/>
      <c r="D959" s="2282" t="s">
        <v>6896</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6528</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6529</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6530</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6897</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6906</v>
      </c>
      <c r="D964" s="4773" t="s">
        <v>6907</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6908</v>
      </c>
      <c r="E965" s="4777"/>
      <c r="F965" s="4778"/>
      <c r="G965" s="4779"/>
      <c r="H965" s="3817"/>
      <c r="I965" s="3850"/>
      <c r="J965" s="4555"/>
    </row>
    <row r="966" spans="1:257" s="2286" customFormat="1" ht="13.5" customHeight="1">
      <c r="A966" s="2281"/>
      <c r="B966" s="2282"/>
      <c r="C966" s="2282"/>
      <c r="D966" s="2282" t="s">
        <v>6909</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6532</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6528</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6529</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6530</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6910</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6911</v>
      </c>
      <c r="D972" s="4773" t="s">
        <v>6912</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6913</v>
      </c>
      <c r="E973" s="4777"/>
      <c r="F973" s="4778"/>
      <c r="G973" s="4779"/>
      <c r="H973" s="3817"/>
      <c r="I973" s="3850"/>
      <c r="J973" s="4555"/>
    </row>
    <row r="974" spans="1:257" s="2286" customFormat="1" ht="13.5" customHeight="1">
      <c r="A974" s="2281"/>
      <c r="B974" s="2282"/>
      <c r="C974" s="2282"/>
      <c r="D974" s="2282" t="s">
        <v>6914</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6529</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6530</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6870</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6915</v>
      </c>
      <c r="D978" s="4781" t="s">
        <v>6916</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6917</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6532</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6528</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6529</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6530</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6918</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6919</v>
      </c>
      <c r="D985" s="151" t="s">
        <v>6920</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6921</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6922</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6923</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6924</v>
      </c>
      <c r="D989" s="151" t="s">
        <v>6925</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6926</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6927</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6928</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720" t="s">
        <v>99</v>
      </c>
      <c r="B997" s="5721"/>
      <c r="C997" s="5722"/>
      <c r="D997" s="306" t="s">
        <v>10503</v>
      </c>
      <c r="E997" s="307"/>
      <c r="F997" s="308"/>
      <c r="G997" s="309"/>
      <c r="H997" s="3852">
        <f>H995</f>
        <v>0</v>
      </c>
      <c r="I997" s="3853"/>
      <c r="J997" s="310"/>
    </row>
    <row r="998" spans="1:11" ht="13.5" customHeight="1">
      <c r="A998" s="5720" t="s">
        <v>99</v>
      </c>
      <c r="B998" s="5721"/>
      <c r="C998" s="5722"/>
      <c r="D998" s="306" t="s">
        <v>10504</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650" t="s">
        <v>308</v>
      </c>
      <c r="B1001" s="5650"/>
      <c r="C1001" s="5650"/>
      <c r="D1001" s="5650"/>
      <c r="E1001" s="5650"/>
      <c r="F1001" s="5650"/>
      <c r="G1001" s="5650"/>
      <c r="H1001" s="48"/>
      <c r="I1001" s="48"/>
      <c r="J1001" s="87"/>
    </row>
    <row r="1002" spans="1:11" ht="93.75" customHeight="1">
      <c r="A1002" s="5650" t="s">
        <v>26</v>
      </c>
      <c r="B1002" s="5650"/>
      <c r="C1002" s="5650"/>
      <c r="D1002" s="5650"/>
      <c r="E1002" s="5650"/>
      <c r="F1002" s="5650"/>
      <c r="G1002" s="5650"/>
      <c r="H1002" s="48"/>
      <c r="I1002" s="48"/>
      <c r="J1002" s="48"/>
    </row>
    <row r="1003" spans="1:11" ht="13.5" customHeight="1">
      <c r="A1003" s="5650" t="s">
        <v>27</v>
      </c>
      <c r="B1003" s="5650"/>
      <c r="C1003" s="5650"/>
      <c r="D1003" s="5650"/>
      <c r="E1003" s="5650"/>
      <c r="F1003" s="5650"/>
      <c r="G1003" s="5650"/>
      <c r="H1003" s="318"/>
      <c r="I1003" s="318"/>
      <c r="J1003" s="318"/>
    </row>
    <row r="1004" spans="1:11" ht="13.5" customHeight="1">
      <c r="A1004" s="5650" t="s">
        <v>28</v>
      </c>
      <c r="B1004" s="5650"/>
      <c r="C1004" s="5650"/>
      <c r="D1004" s="5650"/>
      <c r="E1004" s="5650"/>
      <c r="F1004" s="5650"/>
      <c r="G1004" s="5650"/>
      <c r="H1004" s="318"/>
      <c r="I1004" s="318"/>
      <c r="J1004" s="318"/>
    </row>
    <row r="1005" spans="1:11" ht="40.5" customHeight="1">
      <c r="A1005" s="5652" t="s">
        <v>61</v>
      </c>
      <c r="B1005" s="5652"/>
      <c r="C1005" s="5652"/>
      <c r="D1005" s="5652"/>
      <c r="E1005" s="5652"/>
      <c r="F1005" s="5652"/>
      <c r="G1005" s="5652"/>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718" t="s">
        <v>112</v>
      </c>
      <c r="B2" s="5723"/>
      <c r="C2" s="5723"/>
      <c r="D2" s="5723"/>
      <c r="E2" s="5723"/>
      <c r="F2" s="5723"/>
      <c r="G2" s="5723"/>
      <c r="H2" s="5723"/>
      <c r="I2" s="5723"/>
    </row>
    <row r="3" spans="1:255" ht="13.5" customHeight="1">
      <c r="A3" s="2353" t="s">
        <v>6938</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10501</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6939</v>
      </c>
      <c r="E16" s="3695"/>
      <c r="F16" s="3702"/>
      <c r="G16" s="3698"/>
      <c r="H16" s="3862"/>
      <c r="I16" s="3726"/>
      <c r="J16" s="512"/>
    </row>
    <row r="17" spans="1:255" s="120" customFormat="1" ht="13.5" customHeight="1">
      <c r="A17" s="3329"/>
      <c r="B17" s="3330"/>
      <c r="C17" s="3343"/>
      <c r="D17" s="3739" t="s">
        <v>6940</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11605</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6941</v>
      </c>
      <c r="E20" s="3695"/>
      <c r="F20" s="3702"/>
      <c r="G20" s="3698"/>
      <c r="H20" s="3862"/>
      <c r="I20" s="3726"/>
      <c r="J20" s="512"/>
      <c r="K20" s="514"/>
    </row>
    <row r="21" spans="1:255" s="120" customFormat="1" ht="13.5" customHeight="1">
      <c r="A21" s="3329"/>
      <c r="B21" s="3330"/>
      <c r="C21" s="3343"/>
      <c r="D21" s="3739" t="s">
        <v>6942</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6943</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6944</v>
      </c>
      <c r="E26" s="3343"/>
      <c r="F26" s="3202"/>
      <c r="G26" s="3344"/>
      <c r="H26" s="3864"/>
      <c r="I26" s="3345"/>
      <c r="J26" s="512"/>
      <c r="K26" s="4802"/>
      <c r="U26" s="159"/>
      <c r="W26" s="159"/>
    </row>
    <row r="27" spans="1:255" s="120" customFormat="1" ht="13.5" customHeight="1">
      <c r="A27" s="3329"/>
      <c r="B27" s="3330"/>
      <c r="C27" s="3343"/>
      <c r="D27" s="3739" t="s">
        <v>6945</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6946</v>
      </c>
      <c r="E30" s="3330"/>
      <c r="F30" s="3346"/>
      <c r="G30" s="3331"/>
      <c r="H30" s="3865"/>
      <c r="I30" s="3332"/>
      <c r="J30" s="278"/>
    </row>
    <row r="31" spans="1:255" s="120" customFormat="1" ht="27" customHeight="1">
      <c r="A31" s="3329"/>
      <c r="B31" s="3330"/>
      <c r="C31" s="3343"/>
      <c r="D31" s="3739" t="s">
        <v>6947</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6948</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6949</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6950</v>
      </c>
      <c r="E36" s="3743"/>
      <c r="F36" s="3744"/>
      <c r="G36" s="3745"/>
      <c r="H36" s="3867"/>
      <c r="I36" s="4530"/>
    </row>
    <row r="37" spans="1:256" s="120" customFormat="1" ht="27" customHeight="1">
      <c r="A37" s="3742"/>
      <c r="B37" s="3743"/>
      <c r="C37" s="3747"/>
      <c r="D37" s="3746" t="s">
        <v>6951</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6952</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 t="shared" ref="H42:H44" si="1">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 t="shared" si="1"/>
        <v>0</v>
      </c>
      <c r="I43" s="3130" t="s">
        <v>142</v>
      </c>
      <c r="J43" s="4960"/>
      <c r="K43" s="4961"/>
      <c r="L43" s="4961"/>
      <c r="M43" s="4960"/>
      <c r="N43" s="213"/>
      <c r="O43" s="4859"/>
    </row>
    <row r="44" spans="1:256" s="2356" customFormat="1" ht="13.5" customHeight="1">
      <c r="A44" s="3756" t="s">
        <v>6953</v>
      </c>
      <c r="B44" s="3695"/>
      <c r="C44" s="3129">
        <v>171251201</v>
      </c>
      <c r="D44" s="3696" t="s">
        <v>274</v>
      </c>
      <c r="E44" s="3718" t="s">
        <v>221</v>
      </c>
      <c r="F44" s="3702">
        <f>F38</f>
        <v>1.1839999999999999</v>
      </c>
      <c r="G44" s="3757"/>
      <c r="H44" s="3870">
        <f t="shared" si="1"/>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6954</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 t="shared" ref="H51:H52" si="2">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 t="shared" si="2"/>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6955</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6956</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3">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3"/>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3"/>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3"/>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3"/>
        <v>0</v>
      </c>
      <c r="I65" s="3130" t="s">
        <v>142</v>
      </c>
      <c r="J65" s="231"/>
      <c r="K65" s="231"/>
      <c r="L65" s="120"/>
      <c r="M65" s="120"/>
      <c r="N65" s="120"/>
      <c r="O65" s="120"/>
      <c r="P65" s="120"/>
      <c r="Q65" s="120"/>
      <c r="R65" s="120"/>
      <c r="S65" s="232"/>
      <c r="V65" s="120"/>
    </row>
    <row r="66" spans="1:256" s="532" customFormat="1" ht="13.5" customHeight="1">
      <c r="A66" s="3132" t="s">
        <v>6957</v>
      </c>
      <c r="B66" s="3078"/>
      <c r="C66" s="3129">
        <v>171201221</v>
      </c>
      <c r="D66" s="3131" t="s">
        <v>720</v>
      </c>
      <c r="E66" s="3133" t="s">
        <v>302</v>
      </c>
      <c r="F66" s="3134">
        <f>F55*2</f>
        <v>2.3679999999999999</v>
      </c>
      <c r="G66" s="3154"/>
      <c r="H66" s="3870">
        <f t="shared" si="3"/>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6958</v>
      </c>
      <c r="E71" s="3343"/>
      <c r="F71" s="3202"/>
      <c r="G71" s="3344"/>
      <c r="H71" s="3864"/>
      <c r="I71" s="3345"/>
      <c r="J71" s="171"/>
      <c r="U71" s="159"/>
      <c r="W71" s="159"/>
    </row>
    <row r="72" spans="1:256" s="120" customFormat="1" ht="27" customHeight="1">
      <c r="A72" s="3329"/>
      <c r="B72" s="3330"/>
      <c r="C72" s="3343"/>
      <c r="D72" s="3739" t="s">
        <v>6959</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6960</v>
      </c>
      <c r="E75" s="3343"/>
      <c r="F75" s="3730"/>
      <c r="G75" s="3729"/>
      <c r="H75" s="3863"/>
      <c r="I75" s="4534"/>
    </row>
    <row r="76" spans="1:256" s="120" customFormat="1" ht="13.5" customHeight="1">
      <c r="A76" s="3329"/>
      <c r="B76" s="3329"/>
      <c r="C76" s="3343"/>
      <c r="D76" s="3343" t="s">
        <v>6961</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6962</v>
      </c>
      <c r="E78" s="3343"/>
      <c r="F78" s="3730"/>
      <c r="G78" s="3729"/>
      <c r="H78" s="3863"/>
      <c r="I78" s="4534"/>
    </row>
    <row r="79" spans="1:256" s="120" customFormat="1" ht="13.5" customHeight="1">
      <c r="A79" s="3329"/>
      <c r="B79" s="3329"/>
      <c r="C79" s="3343"/>
      <c r="D79" s="3710" t="s">
        <v>6963</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6964</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6965</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6966</v>
      </c>
      <c r="D89" s="3330" t="s">
        <v>6967</v>
      </c>
      <c r="E89" s="3330" t="s">
        <v>141</v>
      </c>
      <c r="F89" s="210">
        <f>ROUND(SUM(F90),3)</f>
        <v>0.22</v>
      </c>
      <c r="G89" s="3331"/>
      <c r="H89" s="3861">
        <f>ROUND(F89*G89,2)</f>
        <v>0</v>
      </c>
      <c r="I89" s="3332" t="s">
        <v>60</v>
      </c>
    </row>
    <row r="90" spans="1:23" s="158" customFormat="1" ht="13.5" customHeight="1">
      <c r="A90" s="3339"/>
      <c r="B90" s="3340"/>
      <c r="C90" s="4923"/>
      <c r="D90" s="3710" t="s">
        <v>6968</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6969</v>
      </c>
      <c r="E92" s="3330" t="s">
        <v>141</v>
      </c>
      <c r="F92" s="210">
        <f>ROUND(SUM(F93),3)</f>
        <v>66</v>
      </c>
      <c r="G92" s="3331"/>
      <c r="H92" s="3861">
        <f>ROUND(F92*G92,2)</f>
        <v>0</v>
      </c>
      <c r="I92" s="3332" t="s">
        <v>60</v>
      </c>
    </row>
    <row r="93" spans="1:23" s="158" customFormat="1" ht="13.5" customHeight="1">
      <c r="A93" s="3339"/>
      <c r="B93" s="3340"/>
      <c r="C93" s="4923"/>
      <c r="D93" s="3710" t="s">
        <v>6970</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6971</v>
      </c>
      <c r="E95" s="3330" t="s">
        <v>141</v>
      </c>
      <c r="F95" s="210">
        <f>ROUND(SUM(F96),3)</f>
        <v>2.2000000000000002</v>
      </c>
      <c r="G95" s="3331"/>
      <c r="H95" s="3861">
        <f>ROUND(F95*G95,2)</f>
        <v>0</v>
      </c>
      <c r="I95" s="3332" t="s">
        <v>863</v>
      </c>
    </row>
    <row r="96" spans="1:23" s="158" customFormat="1" ht="13.5" customHeight="1">
      <c r="A96" s="3339"/>
      <c r="B96" s="3340"/>
      <c r="C96" s="4923"/>
      <c r="D96" s="3710" t="s">
        <v>6972</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6973</v>
      </c>
      <c r="D98" s="3330" t="s">
        <v>6974</v>
      </c>
      <c r="E98" s="3330" t="s">
        <v>141</v>
      </c>
      <c r="F98" s="210">
        <f>ROUND(SUM(F99),3)</f>
        <v>1.1000000000000001</v>
      </c>
      <c r="G98" s="3331"/>
      <c r="H98" s="3861">
        <f>ROUND(F98*G98,2)</f>
        <v>0</v>
      </c>
      <c r="I98" s="3332" t="s">
        <v>60</v>
      </c>
      <c r="J98" s="562"/>
    </row>
    <row r="99" spans="1:23" s="158" customFormat="1" ht="13.5" customHeight="1">
      <c r="A99" s="3339"/>
      <c r="B99" s="3340"/>
      <c r="C99" s="4923"/>
      <c r="D99" s="3710" t="s">
        <v>6975</v>
      </c>
      <c r="E99" s="3343"/>
      <c r="F99" s="3202">
        <f>(1)*1.1</f>
        <v>1.1000000000000001</v>
      </c>
      <c r="G99" s="3344"/>
      <c r="H99" s="3864"/>
      <c r="I99" s="3345"/>
      <c r="J99" s="171"/>
      <c r="N99" s="4969"/>
      <c r="U99" s="159"/>
      <c r="W99" s="159"/>
    </row>
    <row r="100" spans="1:23" s="158" customFormat="1" ht="27" customHeight="1">
      <c r="A100" s="3339"/>
      <c r="B100" s="3340"/>
      <c r="C100" s="3341"/>
      <c r="D100" s="3343" t="s">
        <v>6976</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6977</v>
      </c>
      <c r="D101" s="3330" t="s">
        <v>6978</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6975</v>
      </c>
      <c r="E102" s="3343"/>
      <c r="F102" s="3202">
        <f>(1)*1.1</f>
        <v>1.1000000000000001</v>
      </c>
      <c r="G102" s="3344"/>
      <c r="H102" s="3864"/>
      <c r="I102" s="3345"/>
      <c r="J102" s="171"/>
      <c r="N102" s="4969"/>
      <c r="U102" s="159"/>
      <c r="W102" s="159"/>
    </row>
    <row r="103" spans="1:23" s="158" customFormat="1" ht="27" customHeight="1">
      <c r="A103" s="3339"/>
      <c r="B103" s="3340"/>
      <c r="C103" s="3341"/>
      <c r="D103" s="3343" t="s">
        <v>6976</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6979</v>
      </c>
      <c r="D104" s="3330" t="s">
        <v>6980</v>
      </c>
      <c r="E104" s="3330" t="s">
        <v>141</v>
      </c>
      <c r="F104" s="210">
        <f>ROUND(SUM(F106),3)</f>
        <v>12.65</v>
      </c>
      <c r="G104" s="3331"/>
      <c r="H104" s="3861">
        <f>ROUND(F104*G104,2)</f>
        <v>0</v>
      </c>
      <c r="I104" s="3332" t="s">
        <v>60</v>
      </c>
      <c r="J104" s="278"/>
    </row>
    <row r="105" spans="1:23" s="158" customFormat="1" ht="13.5" customHeight="1">
      <c r="A105" s="3339"/>
      <c r="B105" s="3340"/>
      <c r="C105" s="4923"/>
      <c r="D105" s="3710" t="s">
        <v>6981</v>
      </c>
      <c r="E105" s="3343"/>
      <c r="F105" s="4924"/>
      <c r="G105" s="3344"/>
      <c r="H105" s="3864"/>
      <c r="I105" s="3345"/>
      <c r="J105" s="171"/>
      <c r="U105" s="159"/>
      <c r="W105" s="159"/>
    </row>
    <row r="106" spans="1:23" s="158" customFormat="1" ht="13.5" customHeight="1">
      <c r="A106" s="3339"/>
      <c r="B106" s="3340"/>
      <c r="C106" s="4923"/>
      <c r="D106" s="3710" t="s">
        <v>11608</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6982</v>
      </c>
      <c r="E108" s="3330" t="s">
        <v>155</v>
      </c>
      <c r="F108" s="210">
        <f>ROUND(SUM(F110),3)</f>
        <v>16</v>
      </c>
      <c r="G108" s="3331"/>
      <c r="H108" s="3861">
        <f>ROUND(F108*G108,2)</f>
        <v>0</v>
      </c>
      <c r="I108" s="3332" t="s">
        <v>60</v>
      </c>
    </row>
    <row r="109" spans="1:23" s="158" customFormat="1" ht="13.5" customHeight="1">
      <c r="A109" s="3339"/>
      <c r="B109" s="3340"/>
      <c r="C109" s="4925"/>
      <c r="D109" s="3710" t="s">
        <v>6983</v>
      </c>
      <c r="E109" s="3343"/>
      <c r="F109" s="3202"/>
      <c r="G109" s="3344"/>
      <c r="H109" s="3864"/>
      <c r="I109" s="3345"/>
      <c r="J109" s="171"/>
      <c r="R109" s="4969"/>
      <c r="U109" s="159"/>
      <c r="W109" s="159"/>
    </row>
    <row r="110" spans="1:23" s="158" customFormat="1" ht="13.5" customHeight="1">
      <c r="A110" s="3339"/>
      <c r="B110" s="3340"/>
      <c r="C110" s="4925"/>
      <c r="D110" s="3710" t="s">
        <v>6984</v>
      </c>
      <c r="E110" s="3343"/>
      <c r="F110" s="3202">
        <v>16</v>
      </c>
      <c r="G110" s="3344"/>
      <c r="H110" s="3864"/>
      <c r="I110" s="3345"/>
      <c r="J110" s="781"/>
      <c r="U110" s="159"/>
      <c r="W110" s="159"/>
    </row>
    <row r="111" spans="1:23" s="158" customFormat="1" ht="27" customHeight="1">
      <c r="A111" s="3339"/>
      <c r="B111" s="3340"/>
      <c r="C111" s="4925"/>
      <c r="D111" s="3710" t="s">
        <v>6985</v>
      </c>
      <c r="E111" s="3343"/>
      <c r="F111" s="3202"/>
      <c r="G111" s="3344"/>
      <c r="H111" s="3864"/>
      <c r="I111" s="3345"/>
      <c r="J111" s="4970"/>
      <c r="U111" s="159"/>
      <c r="W111" s="159"/>
    </row>
    <row r="112" spans="1:23" s="120" customFormat="1" ht="13.5" customHeight="1">
      <c r="A112" s="3329">
        <v>31</v>
      </c>
      <c r="B112" s="3330">
        <v>721</v>
      </c>
      <c r="C112" s="3330" t="s">
        <v>6986</v>
      </c>
      <c r="D112" s="3330" t="s">
        <v>6987</v>
      </c>
      <c r="E112" s="3330" t="s">
        <v>155</v>
      </c>
      <c r="F112" s="210">
        <f>ROUND(SUM(F114),3)</f>
        <v>3</v>
      </c>
      <c r="G112" s="3331"/>
      <c r="H112" s="3861">
        <f>ROUND(F112*G112,2)</f>
        <v>0</v>
      </c>
      <c r="I112" s="3332" t="s">
        <v>60</v>
      </c>
    </row>
    <row r="113" spans="1:23" s="158" customFormat="1" ht="13.5" customHeight="1">
      <c r="A113" s="3339"/>
      <c r="B113" s="3340"/>
      <c r="C113" s="4925"/>
      <c r="D113" s="3710" t="s">
        <v>6988</v>
      </c>
      <c r="E113" s="3343"/>
      <c r="F113" s="3202"/>
      <c r="G113" s="3344"/>
      <c r="H113" s="3864"/>
      <c r="I113" s="3345"/>
      <c r="J113" s="171"/>
      <c r="R113" s="4969"/>
      <c r="U113" s="159"/>
      <c r="W113" s="159"/>
    </row>
    <row r="114" spans="1:23" s="158" customFormat="1" ht="13.5" customHeight="1">
      <c r="A114" s="3339"/>
      <c r="B114" s="3340"/>
      <c r="C114" s="4925"/>
      <c r="D114" s="3710" t="s">
        <v>6989</v>
      </c>
      <c r="E114" s="3343"/>
      <c r="F114" s="3202">
        <v>3</v>
      </c>
      <c r="G114" s="3344"/>
      <c r="H114" s="3864"/>
      <c r="I114" s="3345"/>
      <c r="J114" s="781"/>
      <c r="U114" s="159"/>
      <c r="W114" s="159"/>
    </row>
    <row r="115" spans="1:23" s="158" customFormat="1" ht="27" customHeight="1">
      <c r="A115" s="3339"/>
      <c r="B115" s="3340"/>
      <c r="C115" s="4925"/>
      <c r="D115" s="3710" t="s">
        <v>6985</v>
      </c>
      <c r="E115" s="3343"/>
      <c r="F115" s="3202"/>
      <c r="G115" s="3344"/>
      <c r="H115" s="3864"/>
      <c r="I115" s="3345"/>
      <c r="J115" s="171"/>
      <c r="U115" s="159"/>
      <c r="W115" s="159"/>
    </row>
    <row r="116" spans="1:23" s="120" customFormat="1" ht="13.5" customHeight="1">
      <c r="A116" s="3329">
        <v>32</v>
      </c>
      <c r="B116" s="3330">
        <v>721</v>
      </c>
      <c r="C116" s="3330" t="s">
        <v>945</v>
      </c>
      <c r="D116" s="3330" t="s">
        <v>6990</v>
      </c>
      <c r="E116" s="3330" t="s">
        <v>155</v>
      </c>
      <c r="F116" s="210">
        <f>ROUND(SUM(F118),3)</f>
        <v>1</v>
      </c>
      <c r="G116" s="3331"/>
      <c r="H116" s="3861">
        <f>ROUND(F116*G116,2)</f>
        <v>0</v>
      </c>
      <c r="I116" s="3332" t="s">
        <v>60</v>
      </c>
    </row>
    <row r="117" spans="1:23" s="158" customFormat="1" ht="13.5" customHeight="1">
      <c r="A117" s="3339"/>
      <c r="B117" s="3340"/>
      <c r="C117" s="4925"/>
      <c r="D117" s="3710" t="s">
        <v>6991</v>
      </c>
      <c r="E117" s="3343"/>
      <c r="F117" s="3202"/>
      <c r="G117" s="3344"/>
      <c r="H117" s="3864"/>
      <c r="I117" s="3345"/>
      <c r="J117" s="171"/>
      <c r="R117" s="4969"/>
      <c r="U117" s="159"/>
      <c r="W117" s="159"/>
    </row>
    <row r="118" spans="1:23" s="158" customFormat="1" ht="13.5" customHeight="1">
      <c r="A118" s="3339"/>
      <c r="B118" s="3340"/>
      <c r="C118" s="4925"/>
      <c r="D118" s="3710" t="s">
        <v>6992</v>
      </c>
      <c r="E118" s="3343"/>
      <c r="F118" s="3202">
        <v>1</v>
      </c>
      <c r="G118" s="3344"/>
      <c r="H118" s="3864"/>
      <c r="I118" s="3345"/>
      <c r="J118" s="171"/>
      <c r="U118" s="159"/>
      <c r="W118" s="159"/>
    </row>
    <row r="119" spans="1:23" s="158" customFormat="1" ht="27" customHeight="1">
      <c r="A119" s="3339"/>
      <c r="B119" s="3340"/>
      <c r="C119" s="4925"/>
      <c r="D119" s="3710" t="s">
        <v>6985</v>
      </c>
      <c r="E119" s="3343"/>
      <c r="F119" s="3202"/>
      <c r="G119" s="3344"/>
      <c r="H119" s="3864"/>
      <c r="I119" s="3345"/>
      <c r="J119" s="171"/>
      <c r="U119" s="159"/>
      <c r="W119" s="159"/>
    </row>
    <row r="120" spans="1:23" s="120" customFormat="1" ht="13.5" customHeight="1">
      <c r="A120" s="3329">
        <v>33</v>
      </c>
      <c r="B120" s="3330">
        <v>721</v>
      </c>
      <c r="C120" s="3330" t="s">
        <v>6993</v>
      </c>
      <c r="D120" s="3330" t="s">
        <v>6994</v>
      </c>
      <c r="E120" s="3330" t="s">
        <v>155</v>
      </c>
      <c r="F120" s="210">
        <f>ROUND(SUM(F122),3)</f>
        <v>5</v>
      </c>
      <c r="G120" s="3331"/>
      <c r="H120" s="3861">
        <f>ROUND(F120*G120,2)</f>
        <v>0</v>
      </c>
      <c r="I120" s="3332" t="s">
        <v>60</v>
      </c>
    </row>
    <row r="121" spans="1:23" s="158" customFormat="1" ht="13.5" customHeight="1">
      <c r="A121" s="3339"/>
      <c r="B121" s="3340"/>
      <c r="C121" s="4925"/>
      <c r="D121" s="3710" t="s">
        <v>6995</v>
      </c>
      <c r="E121" s="3343"/>
      <c r="F121" s="3202"/>
      <c r="G121" s="3344"/>
      <c r="H121" s="3864"/>
      <c r="I121" s="3345"/>
      <c r="J121" s="171"/>
      <c r="R121" s="4969"/>
      <c r="U121" s="159"/>
      <c r="W121" s="159"/>
    </row>
    <row r="122" spans="1:23" s="158" customFormat="1" ht="13.5" customHeight="1">
      <c r="A122" s="3339"/>
      <c r="B122" s="3340"/>
      <c r="C122" s="4925"/>
      <c r="D122" s="3710" t="s">
        <v>6996</v>
      </c>
      <c r="E122" s="3343"/>
      <c r="F122" s="3202">
        <f>5</f>
        <v>5</v>
      </c>
      <c r="G122" s="3344"/>
      <c r="H122" s="3864"/>
      <c r="I122" s="3345"/>
      <c r="J122" s="171"/>
      <c r="U122" s="159"/>
      <c r="W122" s="159"/>
    </row>
    <row r="123" spans="1:23" s="158" customFormat="1" ht="27" customHeight="1">
      <c r="A123" s="3339"/>
      <c r="B123" s="3340"/>
      <c r="C123" s="4925"/>
      <c r="D123" s="3710" t="s">
        <v>6997</v>
      </c>
      <c r="E123" s="3343"/>
      <c r="F123" s="3202"/>
      <c r="G123" s="3344"/>
      <c r="H123" s="3864"/>
      <c r="I123" s="3345"/>
      <c r="J123" s="1232"/>
      <c r="Q123" s="120"/>
      <c r="U123" s="159"/>
      <c r="W123" s="159"/>
    </row>
    <row r="124" spans="1:23" s="120" customFormat="1" ht="13.5" customHeight="1">
      <c r="A124" s="3329">
        <v>34</v>
      </c>
      <c r="B124" s="3330">
        <v>721</v>
      </c>
      <c r="C124" s="3330" t="s">
        <v>6998</v>
      </c>
      <c r="D124" s="3330" t="s">
        <v>6999</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7000</v>
      </c>
      <c r="E125" s="3330"/>
      <c r="F125" s="3346"/>
      <c r="G125" s="3331"/>
      <c r="H125" s="3865"/>
      <c r="I125" s="3332"/>
      <c r="R125" s="4971"/>
    </row>
    <row r="126" spans="1:23" s="158" customFormat="1" ht="13.5" customHeight="1">
      <c r="A126" s="3339"/>
      <c r="B126" s="3340"/>
      <c r="C126" s="4925"/>
      <c r="D126" s="3710" t="s">
        <v>7001</v>
      </c>
      <c r="E126" s="3343"/>
      <c r="F126" s="3202">
        <v>4</v>
      </c>
      <c r="G126" s="3344"/>
      <c r="H126" s="3864"/>
      <c r="I126" s="3332"/>
      <c r="R126" s="4971"/>
      <c r="U126" s="159"/>
      <c r="W126" s="159"/>
    </row>
    <row r="127" spans="1:23" s="158" customFormat="1" ht="13.5" customHeight="1">
      <c r="A127" s="3339"/>
      <c r="B127" s="3340"/>
      <c r="C127" s="4925"/>
      <c r="D127" s="3710" t="s">
        <v>7002</v>
      </c>
      <c r="E127" s="3343"/>
      <c r="F127" s="3202"/>
      <c r="G127" s="3344"/>
      <c r="H127" s="3864"/>
      <c r="I127" s="3345"/>
      <c r="J127" s="171"/>
      <c r="U127" s="159"/>
      <c r="W127" s="159"/>
    </row>
    <row r="128" spans="1:23" s="120" customFormat="1" ht="27" customHeight="1">
      <c r="A128" s="3329">
        <v>35</v>
      </c>
      <c r="B128" s="3330">
        <v>721</v>
      </c>
      <c r="C128" s="3330" t="s">
        <v>7003</v>
      </c>
      <c r="D128" s="3330" t="s">
        <v>7004</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7005</v>
      </c>
      <c r="E129" s="3330"/>
      <c r="F129" s="3346"/>
      <c r="G129" s="3331"/>
      <c r="H129" s="3865"/>
      <c r="I129" s="3332"/>
      <c r="R129" s="4971"/>
    </row>
    <row r="130" spans="1:100" s="158" customFormat="1" ht="13.5" customHeight="1">
      <c r="A130" s="3339"/>
      <c r="B130" s="3340"/>
      <c r="C130" s="4925"/>
      <c r="D130" s="3710" t="s">
        <v>7006</v>
      </c>
      <c r="E130" s="3343"/>
      <c r="F130" s="3202">
        <v>1</v>
      </c>
      <c r="G130" s="3344"/>
      <c r="H130" s="3864"/>
      <c r="I130" s="3332"/>
      <c r="J130" s="4972"/>
      <c r="R130" s="4971"/>
      <c r="U130" s="159"/>
      <c r="W130" s="159"/>
    </row>
    <row r="131" spans="1:100" s="158" customFormat="1" ht="13.5" customHeight="1">
      <c r="A131" s="3339"/>
      <c r="B131" s="3340"/>
      <c r="C131" s="4925"/>
      <c r="D131" s="3710" t="s">
        <v>7007</v>
      </c>
      <c r="E131" s="3343"/>
      <c r="F131" s="3202"/>
      <c r="G131" s="3344"/>
      <c r="H131" s="3864"/>
      <c r="I131" s="3345"/>
      <c r="J131" s="171"/>
      <c r="U131" s="159"/>
      <c r="W131" s="159"/>
    </row>
    <row r="132" spans="1:100" s="120" customFormat="1" ht="13.5" customHeight="1">
      <c r="A132" s="3329">
        <v>36</v>
      </c>
      <c r="B132" s="3330">
        <v>721</v>
      </c>
      <c r="C132" s="3330" t="s">
        <v>7008</v>
      </c>
      <c r="D132" s="3330" t="s">
        <v>7009</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7010</v>
      </c>
      <c r="E133" s="3330"/>
      <c r="F133" s="3346"/>
      <c r="G133" s="3331"/>
      <c r="H133" s="3865"/>
      <c r="I133" s="3332"/>
      <c r="Q133" s="4969"/>
      <c r="R133" s="4971"/>
    </row>
    <row r="134" spans="1:100" s="158" customFormat="1" ht="13.5" customHeight="1">
      <c r="A134" s="3339"/>
      <c r="B134" s="3340"/>
      <c r="C134" s="4925"/>
      <c r="D134" s="3710" t="s">
        <v>7011</v>
      </c>
      <c r="E134" s="3343"/>
      <c r="F134" s="3202">
        <v>1</v>
      </c>
      <c r="G134" s="3344"/>
      <c r="H134" s="3864"/>
      <c r="I134" s="3332"/>
      <c r="J134" s="1512"/>
      <c r="R134" s="4971"/>
      <c r="U134" s="159"/>
      <c r="W134" s="159"/>
    </row>
    <row r="135" spans="1:100" s="158" customFormat="1" ht="13.5" customHeight="1">
      <c r="A135" s="3339"/>
      <c r="B135" s="3340"/>
      <c r="C135" s="4925"/>
      <c r="D135" s="3710" t="s">
        <v>7012</v>
      </c>
      <c r="E135" s="3343"/>
      <c r="F135" s="3202"/>
      <c r="G135" s="3344"/>
      <c r="H135" s="3864"/>
      <c r="I135" s="3332"/>
      <c r="J135" s="2389"/>
      <c r="K135" s="1512"/>
      <c r="R135" s="4971"/>
      <c r="U135" s="159"/>
      <c r="W135" s="159"/>
    </row>
    <row r="136" spans="1:100" s="158" customFormat="1" ht="27" customHeight="1">
      <c r="A136" s="3339"/>
      <c r="B136" s="3340"/>
      <c r="C136" s="4925"/>
      <c r="D136" s="3710" t="s">
        <v>7013</v>
      </c>
      <c r="E136" s="3343"/>
      <c r="F136" s="3202"/>
      <c r="G136" s="3344"/>
      <c r="H136" s="3864"/>
      <c r="I136" s="3332"/>
      <c r="J136" s="2389"/>
      <c r="R136" s="4971"/>
      <c r="U136" s="159"/>
      <c r="W136" s="159"/>
    </row>
    <row r="137" spans="1:100" s="2391" customFormat="1" ht="13.5" customHeight="1">
      <c r="A137" s="3694">
        <v>37</v>
      </c>
      <c r="B137" s="4916">
        <v>721</v>
      </c>
      <c r="C137" s="3330" t="s">
        <v>7014</v>
      </c>
      <c r="D137" s="3695" t="s">
        <v>7015</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7016</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7017</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7018</v>
      </c>
      <c r="D140" s="3695" t="s">
        <v>7019</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7020</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10476</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7021</v>
      </c>
      <c r="D143" s="4927" t="s">
        <v>10474</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11609</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10475</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10473</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10487</v>
      </c>
      <c r="D147" s="3695" t="s">
        <v>6534</v>
      </c>
      <c r="E147" s="3695" t="s">
        <v>23</v>
      </c>
      <c r="F147" s="210">
        <f>ROUND(SUM(F148),3)</f>
        <v>1</v>
      </c>
      <c r="G147" s="3698"/>
      <c r="H147" s="3861">
        <f>ROUND(F147*G147,2)</f>
        <v>0</v>
      </c>
      <c r="I147" s="3726" t="s">
        <v>60</v>
      </c>
      <c r="J147" s="4984"/>
    </row>
    <row r="148" spans="1:121" s="2394" customFormat="1" ht="27" customHeight="1">
      <c r="A148" s="3699"/>
      <c r="B148" s="3700"/>
      <c r="C148" s="3700"/>
      <c r="D148" s="3696" t="s">
        <v>10693</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10486</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10686</v>
      </c>
      <c r="E150" s="4381"/>
      <c r="F150" s="4382"/>
      <c r="G150" s="4369"/>
      <c r="H150" s="4366"/>
      <c r="I150" s="4369"/>
      <c r="J150" s="4855"/>
      <c r="K150" s="4855"/>
      <c r="L150" s="4855"/>
    </row>
    <row r="151" spans="1:121" customFormat="1" ht="13.5" customHeight="1">
      <c r="A151" s="1560"/>
      <c r="B151" s="1449"/>
      <c r="C151" s="1449"/>
      <c r="D151" s="1062" t="s">
        <v>10687</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7022</v>
      </c>
      <c r="D153" s="3695" t="s">
        <v>6540</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7023</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6542</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7024</v>
      </c>
      <c r="E156" s="3695"/>
      <c r="F156" s="4484"/>
      <c r="G156" s="3709"/>
      <c r="H156" s="3816"/>
      <c r="I156" s="3726"/>
      <c r="J156" s="4596"/>
    </row>
    <row r="157" spans="1:121" s="2303" customFormat="1" ht="81" customHeight="1">
      <c r="A157" s="3750"/>
      <c r="B157" s="3695"/>
      <c r="C157" s="3695"/>
      <c r="D157" s="4483" t="s">
        <v>7025</v>
      </c>
      <c r="E157" s="3695"/>
      <c r="F157" s="4484"/>
      <c r="G157" s="3709"/>
      <c r="H157" s="3816"/>
      <c r="I157" s="3726"/>
      <c r="J157" s="4596"/>
    </row>
    <row r="158" spans="1:121" s="2303" customFormat="1" ht="40.5" customHeight="1">
      <c r="A158" s="3750"/>
      <c r="B158" s="3695"/>
      <c r="C158" s="3695"/>
      <c r="D158" s="4483" t="s">
        <v>10478</v>
      </c>
      <c r="E158" s="3695"/>
      <c r="F158" s="4484"/>
      <c r="G158" s="3709"/>
      <c r="H158" s="3816"/>
      <c r="I158" s="3726"/>
      <c r="J158" s="4596"/>
    </row>
    <row r="159" spans="1:121" s="2303" customFormat="1" ht="54" customHeight="1">
      <c r="A159" s="3750"/>
      <c r="B159" s="3695"/>
      <c r="C159" s="3695"/>
      <c r="D159" s="4483" t="s">
        <v>10470</v>
      </c>
      <c r="E159" s="3695"/>
      <c r="F159" s="4484"/>
      <c r="G159" s="3709"/>
      <c r="H159" s="3816"/>
      <c r="I159" s="3726"/>
      <c r="J159" s="4596"/>
    </row>
    <row r="160" spans="1:121" s="2391" customFormat="1" ht="13.5" customHeight="1">
      <c r="A160" s="3694">
        <v>42</v>
      </c>
      <c r="B160" s="4916" t="s">
        <v>1007</v>
      </c>
      <c r="C160" s="3330" t="s">
        <v>7026</v>
      </c>
      <c r="D160" s="3695" t="s">
        <v>7027</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6926</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7028</v>
      </c>
      <c r="D162" s="3695" t="s">
        <v>6544</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6545</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6546</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10686</v>
      </c>
      <c r="E165" s="4381"/>
      <c r="F165" s="4382"/>
      <c r="G165" s="4369"/>
      <c r="H165" s="4366"/>
      <c r="I165" s="4369"/>
      <c r="J165" s="4858"/>
      <c r="K165" s="4858"/>
      <c r="L165" s="4855"/>
    </row>
    <row r="166" spans="1:108" s="2303" customFormat="1" ht="40.5" customHeight="1">
      <c r="A166" s="3750"/>
      <c r="B166" s="3695"/>
      <c r="C166" s="3695"/>
      <c r="D166" s="4483" t="s">
        <v>10689</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10688</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7029</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7030</v>
      </c>
      <c r="E175" s="3695"/>
      <c r="F175" s="3702">
        <f>16</f>
        <v>16</v>
      </c>
      <c r="G175" s="3698"/>
      <c r="H175" s="3862"/>
      <c r="I175" s="3726"/>
      <c r="J175" s="2397"/>
    </row>
    <row r="176" spans="1:108" s="2393" customFormat="1" ht="13.5" customHeight="1">
      <c r="A176" s="3694"/>
      <c r="B176" s="3695"/>
      <c r="C176" s="3695"/>
      <c r="D176" s="3696" t="s">
        <v>7031</v>
      </c>
      <c r="E176" s="3695"/>
      <c r="F176" s="3702">
        <f>3</f>
        <v>3</v>
      </c>
      <c r="G176" s="3698"/>
      <c r="H176" s="3862"/>
      <c r="I176" s="3726"/>
      <c r="J176" s="2397"/>
    </row>
    <row r="177" spans="1:13" s="2393" customFormat="1" ht="13.5" customHeight="1">
      <c r="A177" s="3694"/>
      <c r="B177" s="3695"/>
      <c r="C177" s="3695"/>
      <c r="D177" s="3696" t="s">
        <v>7032</v>
      </c>
      <c r="E177" s="3695"/>
      <c r="F177" s="3702">
        <f>1</f>
        <v>1</v>
      </c>
      <c r="G177" s="3698"/>
      <c r="H177" s="3862"/>
      <c r="I177" s="3726"/>
      <c r="J177" s="2397"/>
    </row>
    <row r="178" spans="1:13" s="2393" customFormat="1" ht="13.5" customHeight="1">
      <c r="A178" s="3694"/>
      <c r="B178" s="3695"/>
      <c r="C178" s="3695"/>
      <c r="D178" s="3696" t="s">
        <v>7033</v>
      </c>
      <c r="E178" s="3695"/>
      <c r="F178" s="3702">
        <f>5</f>
        <v>5</v>
      </c>
      <c r="G178" s="3698"/>
      <c r="H178" s="3862"/>
      <c r="I178" s="3726"/>
      <c r="J178" s="2397"/>
    </row>
    <row r="179" spans="1:13" s="2393" customFormat="1" ht="13.5" customHeight="1">
      <c r="A179" s="3694"/>
      <c r="B179" s="3695"/>
      <c r="C179" s="3695"/>
      <c r="D179" s="3696" t="s">
        <v>7034</v>
      </c>
      <c r="E179" s="3695"/>
      <c r="F179" s="3702">
        <f>4</f>
        <v>4</v>
      </c>
      <c r="G179" s="3698"/>
      <c r="H179" s="3862"/>
      <c r="I179" s="3726"/>
      <c r="J179" s="2397"/>
    </row>
    <row r="180" spans="1:13" s="2393" customFormat="1" ht="13.5" customHeight="1">
      <c r="A180" s="3694"/>
      <c r="B180" s="3695"/>
      <c r="C180" s="3695"/>
      <c r="D180" s="3696" t="s">
        <v>7035</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7036</v>
      </c>
      <c r="E183" s="4934"/>
      <c r="F183" s="4937">
        <f>25</f>
        <v>25</v>
      </c>
      <c r="G183" s="4935"/>
      <c r="H183" s="3884"/>
      <c r="I183" s="3769"/>
      <c r="M183" s="4597"/>
    </row>
    <row r="184" spans="1:13" s="2398" customFormat="1" ht="13.5" customHeight="1">
      <c r="A184" s="4933"/>
      <c r="B184" s="4934"/>
      <c r="C184" s="4934"/>
      <c r="D184" s="4936" t="s">
        <v>7037</v>
      </c>
      <c r="E184" s="4934"/>
      <c r="F184" s="4937">
        <f>0.2</f>
        <v>0.2</v>
      </c>
      <c r="G184" s="4935"/>
      <c r="H184" s="3884"/>
      <c r="I184" s="3769"/>
    </row>
    <row r="185" spans="1:13" s="2398" customFormat="1" ht="13.5" customHeight="1">
      <c r="A185" s="4933"/>
      <c r="B185" s="4934"/>
      <c r="C185" s="4934"/>
      <c r="D185" s="4936" t="s">
        <v>7038</v>
      </c>
      <c r="E185" s="4934"/>
      <c r="F185" s="4937">
        <f>60</f>
        <v>60</v>
      </c>
      <c r="G185" s="4935"/>
      <c r="H185" s="3884"/>
      <c r="I185" s="3769"/>
      <c r="M185" s="4597"/>
    </row>
    <row r="186" spans="1:13" s="2398" customFormat="1" ht="13.5" customHeight="1">
      <c r="A186" s="4933">
        <v>48</v>
      </c>
      <c r="B186" s="4934">
        <v>783</v>
      </c>
      <c r="C186" s="4934">
        <v>783614671</v>
      </c>
      <c r="D186" s="4934" t="s">
        <v>7039</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7040</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7030</v>
      </c>
      <c r="E191" s="3695"/>
      <c r="F191" s="3702">
        <f>16</f>
        <v>16</v>
      </c>
      <c r="G191" s="3698"/>
      <c r="H191" s="3862"/>
      <c r="I191" s="3726"/>
      <c r="J191" s="2397"/>
    </row>
    <row r="192" spans="1:13" s="2393" customFormat="1" ht="13.5" customHeight="1">
      <c r="A192" s="3694"/>
      <c r="B192" s="3695"/>
      <c r="C192" s="3695"/>
      <c r="D192" s="3696" t="s">
        <v>7031</v>
      </c>
      <c r="E192" s="3695"/>
      <c r="F192" s="3702">
        <f>3</f>
        <v>3</v>
      </c>
      <c r="G192" s="3698"/>
      <c r="H192" s="3862"/>
      <c r="I192" s="3726"/>
      <c r="J192" s="2397"/>
    </row>
    <row r="193" spans="1:10" s="2393" customFormat="1" ht="13.5" customHeight="1">
      <c r="A193" s="3694"/>
      <c r="B193" s="3695"/>
      <c r="C193" s="3695"/>
      <c r="D193" s="3696" t="s">
        <v>7032</v>
      </c>
      <c r="E193" s="3695"/>
      <c r="F193" s="3702">
        <f>1</f>
        <v>1</v>
      </c>
      <c r="G193" s="3698"/>
      <c r="H193" s="3862"/>
      <c r="I193" s="3726"/>
      <c r="J193" s="2397"/>
    </row>
    <row r="194" spans="1:10" s="2393" customFormat="1" ht="13.5" customHeight="1">
      <c r="A194" s="3694"/>
      <c r="B194" s="3695"/>
      <c r="C194" s="3695"/>
      <c r="D194" s="3696" t="s">
        <v>7033</v>
      </c>
      <c r="E194" s="3695"/>
      <c r="F194" s="3702">
        <f>5</f>
        <v>5</v>
      </c>
      <c r="G194" s="3698"/>
      <c r="H194" s="3862"/>
      <c r="I194" s="3726"/>
      <c r="J194" s="2397"/>
    </row>
    <row r="195" spans="1:10" s="2393" customFormat="1" ht="13.5" customHeight="1">
      <c r="A195" s="3694"/>
      <c r="B195" s="3695"/>
      <c r="C195" s="3695"/>
      <c r="D195" s="3696" t="s">
        <v>7034</v>
      </c>
      <c r="E195" s="3695"/>
      <c r="F195" s="3702">
        <f>4</f>
        <v>4</v>
      </c>
      <c r="G195" s="3698"/>
      <c r="H195" s="3862"/>
      <c r="I195" s="3726"/>
      <c r="J195" s="2397"/>
    </row>
    <row r="196" spans="1:10" s="2393" customFormat="1" ht="13.5" customHeight="1">
      <c r="A196" s="3694"/>
      <c r="B196" s="3695"/>
      <c r="C196" s="3695"/>
      <c r="D196" s="3696" t="s">
        <v>7035</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7041</v>
      </c>
      <c r="E199" s="4934"/>
      <c r="F199" s="4937">
        <f>25</f>
        <v>25</v>
      </c>
      <c r="G199" s="4935"/>
      <c r="H199" s="3884"/>
      <c r="I199" s="3769"/>
    </row>
    <row r="200" spans="1:10" s="2398" customFormat="1" ht="13.5" customHeight="1">
      <c r="A200" s="4933"/>
      <c r="B200" s="4934"/>
      <c r="C200" s="4934"/>
      <c r="D200" s="4936" t="s">
        <v>7042</v>
      </c>
      <c r="E200" s="4934"/>
      <c r="F200" s="4937">
        <f>0.2</f>
        <v>0.2</v>
      </c>
      <c r="G200" s="4935"/>
      <c r="H200" s="3884"/>
      <c r="I200" s="3769"/>
    </row>
    <row r="201" spans="1:10" s="2398" customFormat="1" ht="13.5" customHeight="1">
      <c r="A201" s="4933"/>
      <c r="B201" s="4934"/>
      <c r="C201" s="4934"/>
      <c r="D201" s="4936" t="s">
        <v>7043</v>
      </c>
      <c r="E201" s="4934"/>
      <c r="F201" s="4937">
        <f>60</f>
        <v>60</v>
      </c>
      <c r="G201" s="4935"/>
      <c r="H201" s="3884"/>
      <c r="I201" s="3769"/>
    </row>
    <row r="202" spans="1:10" s="2398" customFormat="1" ht="13.5" customHeight="1">
      <c r="A202" s="4933">
        <v>51</v>
      </c>
      <c r="B202" s="4934">
        <v>783</v>
      </c>
      <c r="C202" s="4934">
        <v>783615571</v>
      </c>
      <c r="D202" s="4934" t="s">
        <v>7044</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7045</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7030</v>
      </c>
      <c r="E207" s="3695"/>
      <c r="F207" s="3702">
        <f>16</f>
        <v>16</v>
      </c>
      <c r="G207" s="3698"/>
      <c r="H207" s="3862"/>
      <c r="I207" s="3726"/>
      <c r="J207" s="2397"/>
    </row>
    <row r="208" spans="1:10" s="2393" customFormat="1" ht="13.5" customHeight="1">
      <c r="A208" s="3694"/>
      <c r="B208" s="3695"/>
      <c r="C208" s="3695"/>
      <c r="D208" s="3696" t="s">
        <v>7031</v>
      </c>
      <c r="E208" s="3695"/>
      <c r="F208" s="3702">
        <f>3</f>
        <v>3</v>
      </c>
      <c r="G208" s="3698"/>
      <c r="H208" s="3862"/>
      <c r="I208" s="3726"/>
      <c r="J208" s="2397"/>
    </row>
    <row r="209" spans="1:10" s="2393" customFormat="1" ht="13.5" customHeight="1">
      <c r="A209" s="3694"/>
      <c r="B209" s="3695"/>
      <c r="C209" s="3695"/>
      <c r="D209" s="3696" t="s">
        <v>7032</v>
      </c>
      <c r="E209" s="3695"/>
      <c r="F209" s="3702">
        <f>1</f>
        <v>1</v>
      </c>
      <c r="G209" s="3698"/>
      <c r="H209" s="3862"/>
      <c r="I209" s="3726"/>
      <c r="J209" s="2397"/>
    </row>
    <row r="210" spans="1:10" s="2393" customFormat="1" ht="13.5" customHeight="1">
      <c r="A210" s="3694"/>
      <c r="B210" s="3695"/>
      <c r="C210" s="3695"/>
      <c r="D210" s="3696" t="s">
        <v>7033</v>
      </c>
      <c r="E210" s="3695"/>
      <c r="F210" s="3702">
        <f>5</f>
        <v>5</v>
      </c>
      <c r="G210" s="3698"/>
      <c r="H210" s="3862"/>
      <c r="I210" s="3726"/>
      <c r="J210" s="2397"/>
    </row>
    <row r="211" spans="1:10" s="2393" customFormat="1" ht="13.5" customHeight="1">
      <c r="A211" s="3694"/>
      <c r="B211" s="3695"/>
      <c r="C211" s="3695"/>
      <c r="D211" s="3696" t="s">
        <v>7034</v>
      </c>
      <c r="E211" s="3695"/>
      <c r="F211" s="3702">
        <f>4</f>
        <v>4</v>
      </c>
      <c r="G211" s="3698"/>
      <c r="H211" s="3862"/>
      <c r="I211" s="3726"/>
      <c r="J211" s="2397"/>
    </row>
    <row r="212" spans="1:10" s="2393" customFormat="1" ht="13.5" customHeight="1">
      <c r="A212" s="3694"/>
      <c r="B212" s="3695"/>
      <c r="C212" s="3695"/>
      <c r="D212" s="3696" t="s">
        <v>7035</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7046</v>
      </c>
      <c r="E215" s="4934"/>
      <c r="F215" s="4937">
        <f>25</f>
        <v>25</v>
      </c>
      <c r="G215" s="4935"/>
      <c r="H215" s="3884"/>
      <c r="I215" s="3769"/>
    </row>
    <row r="216" spans="1:10" s="2398" customFormat="1" ht="13.5" customHeight="1">
      <c r="A216" s="4933"/>
      <c r="B216" s="4934"/>
      <c r="C216" s="4934"/>
      <c r="D216" s="4936" t="s">
        <v>7047</v>
      </c>
      <c r="E216" s="4934"/>
      <c r="F216" s="4937">
        <f>0.2</f>
        <v>0.2</v>
      </c>
      <c r="G216" s="4935"/>
      <c r="H216" s="3884"/>
      <c r="I216" s="3769"/>
    </row>
    <row r="217" spans="1:10" s="2398" customFormat="1" ht="13.5" customHeight="1">
      <c r="A217" s="4933"/>
      <c r="B217" s="4934"/>
      <c r="C217" s="4934"/>
      <c r="D217" s="4936" t="s">
        <v>7048</v>
      </c>
      <c r="E217" s="4934"/>
      <c r="F217" s="4937">
        <f>60</f>
        <v>60</v>
      </c>
      <c r="G217" s="4935"/>
      <c r="H217" s="3884"/>
      <c r="I217" s="3769"/>
    </row>
    <row r="218" spans="1:10" s="2398" customFormat="1" ht="13.5" customHeight="1">
      <c r="A218" s="4939">
        <v>54</v>
      </c>
      <c r="B218" s="4940">
        <v>783</v>
      </c>
      <c r="C218" s="4940">
        <v>783617651</v>
      </c>
      <c r="D218" s="4940" t="s">
        <v>7049</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7050</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7051</v>
      </c>
      <c r="E229" s="4940"/>
      <c r="F229" s="4942">
        <v>1</v>
      </c>
      <c r="G229" s="4941"/>
      <c r="H229" s="3885"/>
      <c r="I229" s="2396"/>
      <c r="J229" s="1232"/>
    </row>
    <row r="230" spans="1:10" s="2398" customFormat="1" ht="13.5" customHeight="1">
      <c r="A230" s="4939"/>
      <c r="B230" s="4940"/>
      <c r="C230" s="4940"/>
      <c r="D230" s="2399" t="s">
        <v>7052</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7053</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7054</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7055</v>
      </c>
      <c r="E239" s="4940"/>
      <c r="F239" s="4942">
        <f>25</f>
        <v>25</v>
      </c>
      <c r="G239" s="4941"/>
      <c r="H239" s="3885"/>
      <c r="I239" s="2396"/>
    </row>
    <row r="240" spans="1:10" s="2398" customFormat="1" ht="13.5" customHeight="1">
      <c r="A240" s="4939"/>
      <c r="B240" s="4940"/>
      <c r="C240" s="4940"/>
      <c r="D240" s="2399" t="s">
        <v>7056</v>
      </c>
      <c r="E240" s="4940"/>
      <c r="F240" s="4942">
        <f>0.2</f>
        <v>0.2</v>
      </c>
      <c r="G240" s="4941"/>
      <c r="H240" s="3885"/>
      <c r="I240" s="2396"/>
    </row>
    <row r="241" spans="1:10" s="2398" customFormat="1" ht="13.5" customHeight="1">
      <c r="A241" s="4939"/>
      <c r="B241" s="4940"/>
      <c r="C241" s="4940"/>
      <c r="D241" s="2399" t="s">
        <v>7057</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7058</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7059</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7060</v>
      </c>
      <c r="D252" s="2374" t="s">
        <v>7061</v>
      </c>
      <c r="E252" s="2374" t="s">
        <v>141</v>
      </c>
      <c r="F252" s="210">
        <f>ROUND(SUM(F254),3)</f>
        <v>1.4</v>
      </c>
      <c r="G252" s="4943"/>
      <c r="H252" s="3789">
        <f>ROUND(F252*G252,2)</f>
        <v>0</v>
      </c>
      <c r="I252" s="2380" t="s">
        <v>644</v>
      </c>
      <c r="J252" s="2356"/>
    </row>
    <row r="253" spans="1:10" s="2303" customFormat="1" ht="27" customHeight="1">
      <c r="A253" s="2382"/>
      <c r="B253" s="2382"/>
      <c r="C253" s="2377"/>
      <c r="D253" s="2377" t="s">
        <v>7062</v>
      </c>
      <c r="E253" s="2377"/>
      <c r="F253" s="2378"/>
      <c r="G253" s="4949"/>
      <c r="H253" s="3799"/>
      <c r="I253" s="2401"/>
      <c r="J253" s="2356"/>
    </row>
    <row r="254" spans="1:10" s="2398" customFormat="1" ht="13.5" customHeight="1">
      <c r="A254" s="4939"/>
      <c r="B254" s="4940"/>
      <c r="C254" s="4940"/>
      <c r="D254" s="2399" t="s">
        <v>7063</v>
      </c>
      <c r="E254" s="4940"/>
      <c r="F254" s="4942">
        <f>1.4</f>
        <v>1.4</v>
      </c>
      <c r="G254" s="4941"/>
      <c r="H254" s="3885"/>
      <c r="I254" s="2396"/>
    </row>
    <row r="255" spans="1:10" s="2398" customFormat="1" ht="13.5" customHeight="1">
      <c r="A255" s="4939"/>
      <c r="B255" s="4940"/>
      <c r="C255" s="4940"/>
      <c r="D255" s="2399" t="s">
        <v>7064</v>
      </c>
      <c r="E255" s="4940"/>
      <c r="F255" s="4942"/>
      <c r="G255" s="4941"/>
      <c r="H255" s="3885"/>
      <c r="I255" s="2396"/>
    </row>
    <row r="256" spans="1:10" s="120" customFormat="1" ht="13.5" customHeight="1">
      <c r="A256" s="727">
        <v>64</v>
      </c>
      <c r="B256" s="140">
        <v>140</v>
      </c>
      <c r="C256" s="140" t="s">
        <v>7065</v>
      </c>
      <c r="D256" s="140" t="s">
        <v>7066</v>
      </c>
      <c r="E256" s="140" t="s">
        <v>141</v>
      </c>
      <c r="F256" s="1758">
        <f>ROUND(SUM(F258),3)</f>
        <v>1.54</v>
      </c>
      <c r="G256" s="142"/>
      <c r="H256" s="3793">
        <f>ROUND(F256*G256,2)</f>
        <v>0</v>
      </c>
      <c r="I256" s="143" t="s">
        <v>644</v>
      </c>
    </row>
    <row r="257" spans="1:17" s="120" customFormat="1" ht="13.5" customHeight="1">
      <c r="A257" s="727"/>
      <c r="B257" s="140"/>
      <c r="C257" s="140"/>
      <c r="D257" s="146" t="s">
        <v>7067</v>
      </c>
      <c r="E257" s="140"/>
      <c r="F257" s="4950"/>
      <c r="G257" s="142"/>
      <c r="H257" s="3888"/>
      <c r="I257" s="143"/>
      <c r="Q257" s="4971"/>
    </row>
    <row r="258" spans="1:17" s="120" customFormat="1" ht="13.5" customHeight="1">
      <c r="A258" s="727"/>
      <c r="B258" s="140"/>
      <c r="C258" s="417"/>
      <c r="D258" s="146" t="s">
        <v>7068</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7069</v>
      </c>
      <c r="E259" s="2374" t="s">
        <v>141</v>
      </c>
      <c r="F259" s="210">
        <f>ROUND(SUM(F261),3)</f>
        <v>5.2</v>
      </c>
      <c r="G259" s="4943"/>
      <c r="H259" s="3789">
        <f>ROUND(F259*G259,2)</f>
        <v>0</v>
      </c>
      <c r="I259" s="2380" t="s">
        <v>142</v>
      </c>
      <c r="J259" s="2356"/>
    </row>
    <row r="260" spans="1:17" s="2303" customFormat="1" ht="13.5" customHeight="1">
      <c r="A260" s="2382"/>
      <c r="B260" s="2382"/>
      <c r="C260" s="2377"/>
      <c r="D260" s="2377" t="s">
        <v>7070</v>
      </c>
      <c r="E260" s="2377"/>
      <c r="F260" s="2378"/>
      <c r="G260" s="4949"/>
      <c r="H260" s="3799"/>
      <c r="I260" s="2401"/>
      <c r="J260" s="2356"/>
    </row>
    <row r="261" spans="1:17" s="2398" customFormat="1" ht="13.5" customHeight="1">
      <c r="A261" s="4939"/>
      <c r="B261" s="4940"/>
      <c r="C261" s="4940"/>
      <c r="D261" s="2399" t="s">
        <v>7071</v>
      </c>
      <c r="E261" s="4940"/>
      <c r="F261" s="4942">
        <f>5.2</f>
        <v>5.2</v>
      </c>
      <c r="G261" s="4941"/>
      <c r="H261" s="3885"/>
      <c r="I261" s="2396"/>
    </row>
    <row r="262" spans="1:17" s="2398" customFormat="1" ht="13.5" customHeight="1">
      <c r="A262" s="4939"/>
      <c r="B262" s="4940"/>
      <c r="C262" s="4940"/>
      <c r="D262" s="2399" t="s">
        <v>7064</v>
      </c>
      <c r="E262" s="4940"/>
      <c r="F262" s="4942"/>
      <c r="G262" s="4941"/>
      <c r="H262" s="3885"/>
      <c r="I262" s="2396"/>
    </row>
    <row r="263" spans="1:17" s="120" customFormat="1" ht="13.5" customHeight="1">
      <c r="A263" s="727">
        <v>66</v>
      </c>
      <c r="B263" s="140">
        <v>286</v>
      </c>
      <c r="C263" s="140" t="s">
        <v>7072</v>
      </c>
      <c r="D263" s="140" t="s">
        <v>7073</v>
      </c>
      <c r="E263" s="140" t="s">
        <v>141</v>
      </c>
      <c r="F263" s="1758">
        <f>ROUND(SUM(F265),3)</f>
        <v>5.72</v>
      </c>
      <c r="G263" s="142"/>
      <c r="H263" s="3793">
        <f>ROUND(F263*G263,2)</f>
        <v>0</v>
      </c>
      <c r="I263" s="143" t="s">
        <v>644</v>
      </c>
    </row>
    <row r="264" spans="1:17" s="120" customFormat="1" ht="27" customHeight="1">
      <c r="A264" s="727"/>
      <c r="B264" s="140"/>
      <c r="C264" s="140"/>
      <c r="D264" s="146" t="s">
        <v>7074</v>
      </c>
      <c r="E264" s="140"/>
      <c r="F264" s="4950"/>
      <c r="G264" s="142"/>
      <c r="H264" s="3888"/>
      <c r="I264" s="143"/>
      <c r="J264" s="900"/>
      <c r="P264" s="4997"/>
      <c r="Q264" s="4997"/>
    </row>
    <row r="265" spans="1:17" s="120" customFormat="1" ht="13.5" customHeight="1">
      <c r="A265" s="727"/>
      <c r="B265" s="140"/>
      <c r="C265" s="417"/>
      <c r="D265" s="146" t="s">
        <v>7075</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7076</v>
      </c>
      <c r="E268" s="4940"/>
      <c r="F268" s="4942">
        <f>25</f>
        <v>25</v>
      </c>
      <c r="G268" s="4941"/>
      <c r="H268" s="3885"/>
      <c r="I268" s="2396"/>
    </row>
    <row r="269" spans="1:17" s="2398" customFormat="1" ht="13.5" customHeight="1">
      <c r="A269" s="4939"/>
      <c r="B269" s="4940"/>
      <c r="C269" s="4940"/>
      <c r="D269" s="2399" t="s">
        <v>7077</v>
      </c>
      <c r="E269" s="4940"/>
      <c r="F269" s="4942">
        <f>0.2</f>
        <v>0.2</v>
      </c>
      <c r="G269" s="4941"/>
      <c r="H269" s="3885"/>
      <c r="I269" s="2396"/>
    </row>
    <row r="270" spans="1:17" s="2398" customFormat="1" ht="13.5" customHeight="1">
      <c r="A270" s="4939"/>
      <c r="B270" s="4940"/>
      <c r="C270" s="4940"/>
      <c r="D270" s="2399" t="s">
        <v>7078</v>
      </c>
      <c r="E270" s="4940"/>
      <c r="F270" s="4942">
        <f>60</f>
        <v>60</v>
      </c>
      <c r="G270" s="4941"/>
      <c r="H270" s="3885"/>
      <c r="I270" s="2396"/>
    </row>
    <row r="271" spans="1:17" s="2398" customFormat="1" ht="13.5" customHeight="1">
      <c r="A271" s="4939"/>
      <c r="B271" s="4940"/>
      <c r="C271" s="4940"/>
      <c r="D271" s="2399" t="s">
        <v>7079</v>
      </c>
      <c r="E271" s="4940"/>
      <c r="F271" s="4942">
        <f>1.4</f>
        <v>1.4</v>
      </c>
      <c r="G271" s="4941"/>
      <c r="H271" s="3885"/>
      <c r="I271" s="2396"/>
    </row>
    <row r="272" spans="1:17" s="2398" customFormat="1" ht="13.5" customHeight="1">
      <c r="A272" s="4939"/>
      <c r="B272" s="4940"/>
      <c r="C272" s="4940"/>
      <c r="D272" s="2399" t="s">
        <v>7080</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724" t="s">
        <v>99</v>
      </c>
      <c r="B277" s="5725"/>
      <c r="C277" s="5726"/>
      <c r="D277" s="2412" t="s">
        <v>10509</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650" t="s">
        <v>308</v>
      </c>
      <c r="B280" s="5650"/>
      <c r="C280" s="5650"/>
      <c r="D280" s="5650"/>
      <c r="E280" s="5650"/>
      <c r="F280" s="5650"/>
      <c r="G280" s="5650"/>
      <c r="H280" s="48"/>
      <c r="I280" s="2366"/>
    </row>
    <row r="281" spans="1:20" ht="93.75" customHeight="1">
      <c r="A281" s="5650" t="s">
        <v>26</v>
      </c>
      <c r="B281" s="5650"/>
      <c r="C281" s="5650"/>
      <c r="D281" s="5650"/>
      <c r="E281" s="5650"/>
      <c r="F281" s="5650"/>
      <c r="G281" s="5650"/>
      <c r="H281" s="48"/>
      <c r="I281" s="48"/>
    </row>
    <row r="282" spans="1:20" ht="13.5" customHeight="1">
      <c r="A282" s="5650" t="s">
        <v>27</v>
      </c>
      <c r="B282" s="5650"/>
      <c r="C282" s="5650"/>
      <c r="D282" s="5650"/>
      <c r="E282" s="5650"/>
      <c r="F282" s="5650"/>
      <c r="G282" s="5650"/>
      <c r="H282" s="318"/>
      <c r="I282" s="318"/>
    </row>
    <row r="283" spans="1:20" ht="13.5" customHeight="1">
      <c r="A283" s="5650" t="s">
        <v>28</v>
      </c>
      <c r="B283" s="5650"/>
      <c r="C283" s="5650"/>
      <c r="D283" s="5650"/>
      <c r="E283" s="5650"/>
      <c r="F283" s="5650"/>
      <c r="G283" s="5650"/>
      <c r="H283" s="318"/>
      <c r="I283" s="318"/>
    </row>
    <row r="284" spans="1:20" ht="40.5" customHeight="1">
      <c r="A284" s="5652" t="s">
        <v>61</v>
      </c>
      <c r="B284" s="5652"/>
      <c r="C284" s="5652"/>
      <c r="D284" s="5652"/>
      <c r="E284" s="5652"/>
      <c r="F284" s="5652"/>
      <c r="G284" s="5652"/>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topLeftCell="A22" zoomScaleNormal="100" workbookViewId="0">
      <selection activeCell="D27" sqref="D27"/>
    </sheetView>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718" t="s">
        <v>112</v>
      </c>
      <c r="B2" s="5730"/>
      <c r="C2" s="5730"/>
      <c r="D2" s="5730"/>
      <c r="E2" s="5730"/>
      <c r="F2" s="5730"/>
      <c r="G2" s="5730"/>
      <c r="H2" s="5730"/>
      <c r="I2" s="5730"/>
      <c r="J2" s="5730"/>
      <c r="K2" s="5007"/>
    </row>
    <row r="3" spans="1:99" ht="13.5" customHeight="1">
      <c r="A3" s="2531" t="s">
        <v>8992</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10501</v>
      </c>
      <c r="I5" s="3786" t="s">
        <v>10502</v>
      </c>
      <c r="J5" s="2536" t="s">
        <v>22</v>
      </c>
      <c r="K5" s="5012"/>
      <c r="L5" s="2588"/>
    </row>
    <row r="6" spans="1:99">
      <c r="A6" s="2536" t="s">
        <v>133</v>
      </c>
      <c r="B6" s="2536" t="s">
        <v>134</v>
      </c>
      <c r="C6" s="2536" t="s">
        <v>854</v>
      </c>
      <c r="D6" s="2536" t="s">
        <v>856</v>
      </c>
      <c r="E6" s="2536" t="s">
        <v>858</v>
      </c>
      <c r="F6" s="2538" t="s">
        <v>860</v>
      </c>
      <c r="G6" s="2536" t="s">
        <v>2097</v>
      </c>
      <c r="H6" s="3785" t="s">
        <v>10499</v>
      </c>
      <c r="I6" s="3786" t="s">
        <v>10500</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8993</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8994</v>
      </c>
      <c r="D9" s="3526" t="s">
        <v>8995</v>
      </c>
      <c r="E9" s="3526" t="s">
        <v>155</v>
      </c>
      <c r="F9" s="3527">
        <f>ROUND(SUM(F10),3)</f>
        <v>1</v>
      </c>
      <c r="G9" s="3528"/>
      <c r="H9" s="3904">
        <f t="shared" ref="H9" si="0">ROUND(F9*G9,2)</f>
        <v>0</v>
      </c>
      <c r="I9" s="3925"/>
      <c r="J9" s="3529" t="s">
        <v>644</v>
      </c>
      <c r="K9" s="5015"/>
      <c r="M9" s="5016"/>
    </row>
    <row r="10" spans="1:99" customFormat="1" ht="13.5" customHeight="1">
      <c r="A10" s="3525"/>
      <c r="B10" s="3123"/>
      <c r="C10" s="3526"/>
      <c r="D10" s="3548" t="s">
        <v>8996</v>
      </c>
      <c r="E10" s="3526"/>
      <c r="F10" s="3530">
        <v>1</v>
      </c>
      <c r="G10" s="3528"/>
      <c r="H10" s="3905"/>
      <c r="I10" s="3926"/>
      <c r="J10" s="3529"/>
      <c r="M10" s="5014"/>
    </row>
    <row r="11" spans="1:99" s="1277" customFormat="1" ht="67.5" customHeight="1">
      <c r="A11" s="3531"/>
      <c r="B11" s="3532"/>
      <c r="C11" s="3532"/>
      <c r="D11" s="3533" t="s">
        <v>8997</v>
      </c>
      <c r="E11" s="3532"/>
      <c r="F11" s="3668"/>
      <c r="G11" s="3534"/>
      <c r="H11" s="3906"/>
      <c r="I11" s="3927"/>
      <c r="J11" s="3535"/>
      <c r="K11" s="5017"/>
      <c r="L11" s="1653"/>
      <c r="M11" s="5018"/>
      <c r="R11" s="5019"/>
    </row>
    <row r="12" spans="1:99" s="1277" customFormat="1" ht="40.5" customHeight="1">
      <c r="A12" s="3531"/>
      <c r="B12" s="3532"/>
      <c r="C12" s="3532"/>
      <c r="D12" s="3533" t="s">
        <v>8998</v>
      </c>
      <c r="E12" s="3532"/>
      <c r="F12" s="3530"/>
      <c r="G12" s="3534"/>
      <c r="H12" s="3906"/>
      <c r="I12" s="3927"/>
      <c r="J12" s="3535"/>
      <c r="K12" s="5020"/>
      <c r="L12" s="5731"/>
      <c r="M12" s="5731"/>
      <c r="R12" s="5019"/>
    </row>
    <row r="13" spans="1:99" s="1277" customFormat="1" ht="54" customHeight="1">
      <c r="A13" s="3531"/>
      <c r="B13" s="3532"/>
      <c r="C13" s="3532"/>
      <c r="D13" s="3533" t="s">
        <v>8999</v>
      </c>
      <c r="E13" s="3532"/>
      <c r="F13" s="3530"/>
      <c r="G13" s="3534"/>
      <c r="H13" s="3906"/>
      <c r="I13" s="3927"/>
      <c r="J13" s="3535"/>
      <c r="K13" s="5021"/>
      <c r="L13" s="1470"/>
      <c r="M13" s="3045"/>
      <c r="R13" s="5019"/>
    </row>
    <row r="14" spans="1:99" s="2595" customFormat="1" ht="13.5" customHeight="1">
      <c r="A14" s="3525"/>
      <c r="B14" s="3536"/>
      <c r="C14" s="3536"/>
      <c r="D14" s="3548" t="s">
        <v>9000</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9001</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9002</v>
      </c>
      <c r="D16" s="3526" t="s">
        <v>9003</v>
      </c>
      <c r="E16" s="3526" t="s">
        <v>155</v>
      </c>
      <c r="F16" s="3527">
        <f>ROUND(SUM(F17),3)</f>
        <v>1</v>
      </c>
      <c r="G16" s="3528"/>
      <c r="H16" s="3904">
        <f t="shared" ref="H16" si="1">ROUND(F16*G16,2)</f>
        <v>0</v>
      </c>
      <c r="I16" s="3925"/>
      <c r="J16" s="3529" t="s">
        <v>644</v>
      </c>
      <c r="K16" s="5015"/>
      <c r="M16" s="5016"/>
    </row>
    <row r="17" spans="1:68" customFormat="1" ht="13.5" customHeight="1">
      <c r="A17" s="3525"/>
      <c r="B17" s="3123"/>
      <c r="C17" s="3526"/>
      <c r="D17" s="3548" t="s">
        <v>8996</v>
      </c>
      <c r="E17" s="3526"/>
      <c r="F17" s="3530">
        <v>1</v>
      </c>
      <c r="G17" s="3528"/>
      <c r="H17" s="3905"/>
      <c r="I17" s="3926"/>
      <c r="J17" s="3529"/>
      <c r="M17" s="5014"/>
    </row>
    <row r="18" spans="1:68" s="1277" customFormat="1" ht="67.5" customHeight="1">
      <c r="A18" s="3531"/>
      <c r="B18" s="3532"/>
      <c r="C18" s="3532"/>
      <c r="D18" s="3533" t="s">
        <v>9004</v>
      </c>
      <c r="E18" s="3532"/>
      <c r="F18" s="3668"/>
      <c r="G18" s="3534"/>
      <c r="H18" s="3906"/>
      <c r="I18" s="3927"/>
      <c r="J18" s="3535"/>
      <c r="K18" s="5017"/>
      <c r="L18" s="1653"/>
      <c r="M18" s="5018"/>
      <c r="R18" s="5019"/>
    </row>
    <row r="19" spans="1:68" s="1277" customFormat="1" ht="40.5" customHeight="1">
      <c r="A19" s="3531"/>
      <c r="B19" s="3532"/>
      <c r="C19" s="3532"/>
      <c r="D19" s="3533" t="s">
        <v>9005</v>
      </c>
      <c r="E19" s="3532"/>
      <c r="F19" s="3530"/>
      <c r="G19" s="3534"/>
      <c r="H19" s="3906"/>
      <c r="I19" s="3927"/>
      <c r="J19" s="3535"/>
      <c r="K19" s="5020"/>
      <c r="L19" s="5731"/>
      <c r="M19" s="5731"/>
      <c r="R19" s="5019"/>
    </row>
    <row r="20" spans="1:68" s="1277" customFormat="1" ht="54" customHeight="1">
      <c r="A20" s="3531"/>
      <c r="B20" s="3532"/>
      <c r="C20" s="3532"/>
      <c r="D20" s="3533" t="s">
        <v>8999</v>
      </c>
      <c r="E20" s="3532"/>
      <c r="F20" s="3530"/>
      <c r="G20" s="3534"/>
      <c r="H20" s="3906"/>
      <c r="I20" s="3927"/>
      <c r="J20" s="3535"/>
      <c r="K20" s="5021"/>
      <c r="L20" s="1470"/>
      <c r="M20" s="3045"/>
      <c r="R20" s="5019"/>
    </row>
    <row r="21" spans="1:68" s="2595" customFormat="1" ht="13.5" customHeight="1">
      <c r="A21" s="3525"/>
      <c r="B21" s="3536"/>
      <c r="C21" s="3536"/>
      <c r="D21" s="3548" t="s">
        <v>9000</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9001</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9006</v>
      </c>
      <c r="D23" s="3526" t="s">
        <v>9007</v>
      </c>
      <c r="E23" s="3526" t="s">
        <v>155</v>
      </c>
      <c r="F23" s="3527">
        <f>ROUND(SUM(F24),3)</f>
        <v>1</v>
      </c>
      <c r="G23" s="3528"/>
      <c r="H23" s="3904">
        <f t="shared" ref="H23" si="2">ROUND(F23*G23,2)</f>
        <v>0</v>
      </c>
      <c r="I23" s="3925"/>
      <c r="J23" s="3529" t="s">
        <v>644</v>
      </c>
      <c r="K23" s="5015"/>
      <c r="M23" s="5016"/>
    </row>
    <row r="24" spans="1:68" customFormat="1" ht="13.5" customHeight="1">
      <c r="A24" s="3525"/>
      <c r="B24" s="3123"/>
      <c r="C24" s="3526"/>
      <c r="D24" s="3548" t="s">
        <v>8996</v>
      </c>
      <c r="E24" s="3526"/>
      <c r="F24" s="3530">
        <v>1</v>
      </c>
      <c r="G24" s="3528"/>
      <c r="H24" s="3905"/>
      <c r="I24" s="3926"/>
      <c r="J24" s="3529"/>
      <c r="M24" s="5014"/>
    </row>
    <row r="25" spans="1:68" s="1277" customFormat="1" ht="67.5" customHeight="1">
      <c r="A25" s="3531"/>
      <c r="B25" s="3532"/>
      <c r="C25" s="3532"/>
      <c r="D25" s="3533" t="s">
        <v>9008</v>
      </c>
      <c r="E25" s="3532"/>
      <c r="F25" s="3668"/>
      <c r="G25" s="3534"/>
      <c r="H25" s="3906"/>
      <c r="I25" s="3927"/>
      <c r="J25" s="3535"/>
      <c r="K25" s="5017"/>
      <c r="L25" s="1653"/>
      <c r="M25" s="5018"/>
      <c r="R25" s="5019"/>
    </row>
    <row r="26" spans="1:68" s="1277" customFormat="1" ht="40.5" customHeight="1">
      <c r="A26" s="3531"/>
      <c r="B26" s="3532"/>
      <c r="C26" s="3532"/>
      <c r="D26" s="3533" t="s">
        <v>9009</v>
      </c>
      <c r="E26" s="3532"/>
      <c r="F26" s="3530"/>
      <c r="G26" s="3534"/>
      <c r="H26" s="3906"/>
      <c r="I26" s="3927"/>
      <c r="J26" s="3535"/>
      <c r="K26" s="5020"/>
      <c r="L26" s="5731"/>
      <c r="M26" s="5731"/>
      <c r="R26" s="5019"/>
    </row>
    <row r="27" spans="1:68" s="1277" customFormat="1" ht="54" customHeight="1">
      <c r="A27" s="3531"/>
      <c r="B27" s="3532"/>
      <c r="C27" s="3532"/>
      <c r="D27" s="3533" t="s">
        <v>8999</v>
      </c>
      <c r="E27" s="3532"/>
      <c r="F27" s="3530"/>
      <c r="G27" s="3534"/>
      <c r="H27" s="3906"/>
      <c r="I27" s="3927"/>
      <c r="J27" s="3535"/>
      <c r="K27" s="5021"/>
      <c r="L27" s="1470"/>
      <c r="M27" s="3045"/>
      <c r="R27" s="5019"/>
    </row>
    <row r="28" spans="1:68" s="2595" customFormat="1" ht="13.5" customHeight="1">
      <c r="A28" s="3525"/>
      <c r="B28" s="3536"/>
      <c r="C28" s="3536"/>
      <c r="D28" s="3548" t="s">
        <v>9000</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9001</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9010</v>
      </c>
      <c r="D30" s="3526" t="s">
        <v>9011</v>
      </c>
      <c r="E30" s="3526" t="s">
        <v>155</v>
      </c>
      <c r="F30" s="3527">
        <f>ROUND(SUM(F31),3)</f>
        <v>1</v>
      </c>
      <c r="G30" s="3528"/>
      <c r="H30" s="3904">
        <f t="shared" ref="H30" si="3">ROUND(F30*G30,2)</f>
        <v>0</v>
      </c>
      <c r="I30" s="3925"/>
      <c r="J30" s="3529" t="s">
        <v>644</v>
      </c>
      <c r="K30" s="5015"/>
      <c r="M30" s="5016"/>
    </row>
    <row r="31" spans="1:68" customFormat="1" ht="13.5" customHeight="1">
      <c r="A31" s="3525"/>
      <c r="B31" s="3123"/>
      <c r="C31" s="3526"/>
      <c r="D31" s="3548" t="s">
        <v>8996</v>
      </c>
      <c r="E31" s="3526"/>
      <c r="F31" s="3530">
        <v>1</v>
      </c>
      <c r="G31" s="3528"/>
      <c r="H31" s="3905"/>
      <c r="I31" s="3926"/>
      <c r="J31" s="3529"/>
      <c r="M31" s="5014"/>
    </row>
    <row r="32" spans="1:68" s="1277" customFormat="1" ht="54" customHeight="1">
      <c r="A32" s="3531"/>
      <c r="B32" s="3532"/>
      <c r="C32" s="3532"/>
      <c r="D32" s="3533" t="s">
        <v>11726</v>
      </c>
      <c r="E32" s="3532"/>
      <c r="F32" s="3668"/>
      <c r="G32" s="3534"/>
      <c r="H32" s="3906"/>
      <c r="I32" s="3927"/>
      <c r="J32" s="3535"/>
      <c r="K32" s="5017"/>
      <c r="L32" s="1653"/>
      <c r="M32" s="5018"/>
      <c r="R32" s="5019"/>
    </row>
    <row r="33" spans="1:99" s="1277" customFormat="1" ht="40.5" customHeight="1">
      <c r="A33" s="3531"/>
      <c r="B33" s="3532"/>
      <c r="C33" s="3532"/>
      <c r="D33" s="3533" t="s">
        <v>9012</v>
      </c>
      <c r="E33" s="3532"/>
      <c r="F33" s="3530"/>
      <c r="G33" s="3534"/>
      <c r="H33" s="3906"/>
      <c r="I33" s="3927"/>
      <c r="J33" s="3535"/>
      <c r="K33" s="5020"/>
      <c r="L33" s="5731"/>
      <c r="M33" s="5731"/>
      <c r="R33" s="5019"/>
    </row>
    <row r="34" spans="1:99" s="1277" customFormat="1" ht="54" customHeight="1">
      <c r="A34" s="3531"/>
      <c r="B34" s="3532"/>
      <c r="C34" s="3532"/>
      <c r="D34" s="3533" t="s">
        <v>11727</v>
      </c>
      <c r="E34" s="3532"/>
      <c r="F34" s="3530"/>
      <c r="G34" s="3534"/>
      <c r="H34" s="3906"/>
      <c r="I34" s="3927"/>
      <c r="J34" s="3535"/>
      <c r="K34" s="5021"/>
      <c r="L34" s="1470"/>
      <c r="M34" s="3045"/>
      <c r="R34" s="5019"/>
    </row>
    <row r="35" spans="1:99" s="2595" customFormat="1" ht="13.5" customHeight="1">
      <c r="A35" s="3525"/>
      <c r="B35" s="3536"/>
      <c r="C35" s="3536"/>
      <c r="D35" s="3548" t="s">
        <v>9000</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9001</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3525">
        <v>5</v>
      </c>
      <c r="B37" s="3536">
        <v>751</v>
      </c>
      <c r="C37" s="3536" t="s">
        <v>9013</v>
      </c>
      <c r="D37" s="3536" t="s">
        <v>9014</v>
      </c>
      <c r="E37" s="3536" t="s">
        <v>23</v>
      </c>
      <c r="F37" s="3527">
        <f>ROUND(SUM(F38),3)</f>
        <v>1</v>
      </c>
      <c r="G37" s="3528"/>
      <c r="H37" s="3904">
        <f t="shared" ref="H37" si="4">ROUND(F37*G37,2)</f>
        <v>0</v>
      </c>
      <c r="I37" s="3925"/>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9015</v>
      </c>
      <c r="E38" s="3532"/>
      <c r="F38" s="3530">
        <v>1</v>
      </c>
      <c r="G38" s="3534"/>
      <c r="H38" s="3906"/>
      <c r="I38" s="3927"/>
      <c r="J38" s="3538"/>
      <c r="K38" s="5029"/>
      <c r="P38" s="52"/>
    </row>
    <row r="39" spans="1:99" ht="40.5" customHeight="1">
      <c r="A39" s="3525"/>
      <c r="B39" s="3536"/>
      <c r="C39" s="3536"/>
      <c r="D39" s="3537" t="s">
        <v>9016</v>
      </c>
      <c r="E39" s="3536"/>
      <c r="F39" s="3539"/>
      <c r="G39" s="3528"/>
      <c r="H39" s="3905"/>
      <c r="I39" s="3926"/>
      <c r="J39" s="3540"/>
      <c r="K39" s="5021"/>
      <c r="L39" s="5027"/>
      <c r="M39" s="5030"/>
      <c r="N39" s="5031"/>
    </row>
    <row r="40" spans="1:99" s="1102" customFormat="1" ht="27" customHeight="1">
      <c r="A40" s="3525">
        <v>6</v>
      </c>
      <c r="B40" s="3536">
        <v>751</v>
      </c>
      <c r="C40" s="3536" t="s">
        <v>9017</v>
      </c>
      <c r="D40" s="3536" t="s">
        <v>9018</v>
      </c>
      <c r="E40" s="3536" t="s">
        <v>23</v>
      </c>
      <c r="F40" s="3527">
        <f>ROUND(SUM(F41),3)</f>
        <v>1</v>
      </c>
      <c r="G40" s="3528"/>
      <c r="H40" s="3904">
        <f t="shared" ref="H40" si="5">ROUND(F40*G40,2)</f>
        <v>0</v>
      </c>
      <c r="I40" s="3925"/>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9019</v>
      </c>
      <c r="E41" s="3532"/>
      <c r="F41" s="3530">
        <v>1</v>
      </c>
      <c r="G41" s="3534"/>
      <c r="H41" s="3906"/>
      <c r="I41" s="3927"/>
      <c r="J41" s="3538"/>
      <c r="K41" s="5029"/>
      <c r="P41" s="52"/>
    </row>
    <row r="42" spans="1:99" ht="40.5" customHeight="1">
      <c r="A42" s="3525"/>
      <c r="B42" s="3536"/>
      <c r="C42" s="3536"/>
      <c r="D42" s="3537" t="s">
        <v>9016</v>
      </c>
      <c r="E42" s="3536"/>
      <c r="F42" s="3539"/>
      <c r="G42" s="3528"/>
      <c r="H42" s="3905"/>
      <c r="I42" s="3926"/>
      <c r="J42" s="3540"/>
      <c r="K42" s="5021"/>
      <c r="L42" s="5027"/>
      <c r="M42" s="5030"/>
      <c r="N42" s="5031"/>
    </row>
    <row r="43" spans="1:99" s="1102" customFormat="1" ht="27" customHeight="1">
      <c r="A43" s="3525">
        <v>7</v>
      </c>
      <c r="B43" s="3536">
        <v>751</v>
      </c>
      <c r="C43" s="3536" t="s">
        <v>9020</v>
      </c>
      <c r="D43" s="3536" t="s">
        <v>9021</v>
      </c>
      <c r="E43" s="3536" t="s">
        <v>23</v>
      </c>
      <c r="F43" s="3527">
        <f>ROUND(SUM(F44),3)</f>
        <v>1</v>
      </c>
      <c r="G43" s="3528"/>
      <c r="H43" s="3904">
        <f t="shared" ref="H43" si="6">ROUND(F43*G43,2)</f>
        <v>0</v>
      </c>
      <c r="I43" s="3925"/>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9022</v>
      </c>
      <c r="E44" s="3532"/>
      <c r="F44" s="3530">
        <v>1</v>
      </c>
      <c r="G44" s="3534"/>
      <c r="H44" s="3906"/>
      <c r="I44" s="3927"/>
      <c r="J44" s="3538"/>
      <c r="K44" s="5029"/>
      <c r="P44" s="2561"/>
    </row>
    <row r="45" spans="1:99" ht="40.5" customHeight="1">
      <c r="A45" s="3525"/>
      <c r="B45" s="3536"/>
      <c r="C45" s="3536"/>
      <c r="D45" s="3537" t="s">
        <v>9016</v>
      </c>
      <c r="E45" s="3536"/>
      <c r="F45" s="3539"/>
      <c r="G45" s="3528"/>
      <c r="H45" s="3905"/>
      <c r="I45" s="3926"/>
      <c r="J45" s="3540"/>
      <c r="K45" s="5021"/>
      <c r="L45" s="5027"/>
      <c r="M45" s="5030"/>
      <c r="N45" s="5031"/>
      <c r="O45" s="2561"/>
    </row>
    <row r="46" spans="1:99" s="1102" customFormat="1" ht="27" customHeight="1">
      <c r="A46" s="3525">
        <v>8</v>
      </c>
      <c r="B46" s="3536">
        <v>751</v>
      </c>
      <c r="C46" s="3536" t="s">
        <v>9023</v>
      </c>
      <c r="D46" s="3536" t="s">
        <v>9024</v>
      </c>
      <c r="E46" s="3536" t="s">
        <v>23</v>
      </c>
      <c r="F46" s="3527">
        <f>ROUND(SUM(F47),3)</f>
        <v>1</v>
      </c>
      <c r="G46" s="3528"/>
      <c r="H46" s="3904">
        <f t="shared" ref="H46" si="7">ROUND(F46*G46,2)</f>
        <v>0</v>
      </c>
      <c r="I46" s="3925"/>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9025</v>
      </c>
      <c r="E47" s="3532"/>
      <c r="F47" s="3530">
        <v>1</v>
      </c>
      <c r="G47" s="3534"/>
      <c r="H47" s="3906"/>
      <c r="I47" s="3927"/>
      <c r="J47" s="3538"/>
      <c r="K47" s="5029"/>
      <c r="P47" s="2561"/>
    </row>
    <row r="48" spans="1:99" ht="40.5" customHeight="1">
      <c r="A48" s="3525"/>
      <c r="B48" s="3536"/>
      <c r="C48" s="3536"/>
      <c r="D48" s="3537" t="s">
        <v>9016</v>
      </c>
      <c r="E48" s="3536"/>
      <c r="F48" s="3539"/>
      <c r="G48" s="3528"/>
      <c r="H48" s="3905"/>
      <c r="I48" s="3926"/>
      <c r="J48" s="3540"/>
      <c r="K48" s="5021"/>
      <c r="L48" s="5027"/>
      <c r="M48" s="5030"/>
      <c r="N48" s="5031"/>
      <c r="O48" s="2561"/>
    </row>
    <row r="49" spans="1:68" s="1102" customFormat="1" ht="13.5" customHeight="1">
      <c r="A49" s="3525">
        <v>9</v>
      </c>
      <c r="B49" s="3575" t="s">
        <v>7943</v>
      </c>
      <c r="C49" s="3536" t="s">
        <v>9026</v>
      </c>
      <c r="D49" s="3536" t="s">
        <v>9027</v>
      </c>
      <c r="E49" s="3536" t="s">
        <v>155</v>
      </c>
      <c r="F49" s="3527">
        <f>ROUND(SUM(F51),3)</f>
        <v>2</v>
      </c>
      <c r="G49" s="3528"/>
      <c r="H49" s="3904">
        <f t="shared" ref="H49" si="8">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9028</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9029</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9030</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7943</v>
      </c>
      <c r="C53" s="3536" t="s">
        <v>7846</v>
      </c>
      <c r="D53" s="3536" t="s">
        <v>9031</v>
      </c>
      <c r="E53" s="3536" t="s">
        <v>155</v>
      </c>
      <c r="F53" s="3527">
        <f>ROUND(SUM(F55),3)</f>
        <v>2</v>
      </c>
      <c r="G53" s="3528"/>
      <c r="H53" s="3904">
        <f t="shared" ref="H53" si="9">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9032</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9033</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9030</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7943</v>
      </c>
      <c r="C57" s="3536" t="s">
        <v>7864</v>
      </c>
      <c r="D57" s="3536" t="s">
        <v>9034</v>
      </c>
      <c r="E57" s="3536" t="s">
        <v>155</v>
      </c>
      <c r="F57" s="3527">
        <f>ROUND(SUM(F59),3)</f>
        <v>1</v>
      </c>
      <c r="G57" s="3528"/>
      <c r="H57" s="3904">
        <f t="shared" ref="H57" si="10">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9035</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9036</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9030</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9037</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7943</v>
      </c>
      <c r="C62" s="3536" t="s">
        <v>9038</v>
      </c>
      <c r="D62" s="3536" t="s">
        <v>9039</v>
      </c>
      <c r="E62" s="3536" t="s">
        <v>155</v>
      </c>
      <c r="F62" s="3527">
        <f>ROUND(SUM(F65),3)</f>
        <v>1</v>
      </c>
      <c r="G62" s="3528"/>
      <c r="H62" s="3904">
        <f t="shared" ref="H62" si="11">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9040</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9041</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9042</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9030</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7943</v>
      </c>
      <c r="C67" s="3536" t="s">
        <v>9043</v>
      </c>
      <c r="D67" s="3536" t="s">
        <v>9044</v>
      </c>
      <c r="E67" s="3536" t="s">
        <v>155</v>
      </c>
      <c r="F67" s="3527">
        <f>ROUND(SUM(F70),3)</f>
        <v>1</v>
      </c>
      <c r="G67" s="3528"/>
      <c r="H67" s="3904">
        <f t="shared" ref="H67" si="12">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9040</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9045</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9042</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9030</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7943</v>
      </c>
      <c r="C72" s="3536" t="s">
        <v>9046</v>
      </c>
      <c r="D72" s="3536" t="s">
        <v>9047</v>
      </c>
      <c r="E72" s="3536" t="s">
        <v>155</v>
      </c>
      <c r="F72" s="3527">
        <f>ROUND(SUM(F75),3)</f>
        <v>1</v>
      </c>
      <c r="G72" s="3528"/>
      <c r="H72" s="3904">
        <f t="shared" ref="H72" si="13">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9040</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9048</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9049</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9030</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7943</v>
      </c>
      <c r="C77" s="3536" t="s">
        <v>9050</v>
      </c>
      <c r="D77" s="3536" t="s">
        <v>9051</v>
      </c>
      <c r="E77" s="3536" t="s">
        <v>155</v>
      </c>
      <c r="F77" s="3527">
        <f>ROUND(SUM(F80),3)</f>
        <v>1</v>
      </c>
      <c r="G77" s="3528"/>
      <c r="H77" s="3904">
        <f t="shared" ref="H77" si="14">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9040</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9048</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9052</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9030</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7943</v>
      </c>
      <c r="C82" s="3536" t="s">
        <v>9053</v>
      </c>
      <c r="D82" s="3536" t="s">
        <v>9054</v>
      </c>
      <c r="E82" s="3536" t="s">
        <v>155</v>
      </c>
      <c r="F82" s="3527">
        <f>ROUND(SUM(F85),3)</f>
        <v>1</v>
      </c>
      <c r="G82" s="3528"/>
      <c r="H82" s="3904">
        <f t="shared" ref="H82" si="15">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9040</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9055</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9056</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9030</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7943</v>
      </c>
      <c r="C87" s="3536" t="s">
        <v>9057</v>
      </c>
      <c r="D87" s="3536" t="s">
        <v>9058</v>
      </c>
      <c r="E87" s="3536" t="s">
        <v>155</v>
      </c>
      <c r="F87" s="3527">
        <f>ROUND(SUM(F90),3)</f>
        <v>1</v>
      </c>
      <c r="G87" s="3528"/>
      <c r="H87" s="3904">
        <f t="shared" ref="H87" si="16">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9059</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9060</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9042</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9030</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7943</v>
      </c>
      <c r="C92" s="3536" t="s">
        <v>9061</v>
      </c>
      <c r="D92" s="3536" t="s">
        <v>9058</v>
      </c>
      <c r="E92" s="3536" t="s">
        <v>155</v>
      </c>
      <c r="F92" s="3527">
        <f>ROUND(SUM(F95),3)</f>
        <v>1</v>
      </c>
      <c r="G92" s="3528"/>
      <c r="H92" s="3904">
        <f t="shared" ref="H92" si="17">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9062</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9063</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9064</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9030</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7943</v>
      </c>
      <c r="C97" s="3536" t="s">
        <v>9065</v>
      </c>
      <c r="D97" s="3536" t="s">
        <v>9058</v>
      </c>
      <c r="E97" s="3536" t="s">
        <v>155</v>
      </c>
      <c r="F97" s="3527">
        <f>ROUND(SUM(F100),3)</f>
        <v>1</v>
      </c>
      <c r="G97" s="3528"/>
      <c r="H97" s="3904">
        <f t="shared" ref="H97" si="18">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9062</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9066</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9064</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9030</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7943</v>
      </c>
      <c r="C102" s="3536">
        <v>998751201</v>
      </c>
      <c r="D102" s="3536" t="s">
        <v>9067</v>
      </c>
      <c r="E102" s="3536" t="s">
        <v>8</v>
      </c>
      <c r="F102" s="3541">
        <v>0.52</v>
      </c>
      <c r="G102" s="3542"/>
      <c r="H102" s="3904">
        <f t="shared" ref="H102:H103" si="19">ROUND(F102*G102,2)</f>
        <v>0</v>
      </c>
      <c r="I102" s="3925"/>
      <c r="J102" s="3529" t="s">
        <v>142</v>
      </c>
      <c r="K102" s="5038"/>
      <c r="M102" s="5014"/>
    </row>
    <row r="103" spans="1:163" customFormat="1" ht="13.5" customHeight="1">
      <c r="A103" s="3525">
        <v>21</v>
      </c>
      <c r="B103" s="3123" t="s">
        <v>188</v>
      </c>
      <c r="C103" s="3526" t="s">
        <v>7945</v>
      </c>
      <c r="D103" s="3526" t="s">
        <v>7946</v>
      </c>
      <c r="E103" s="3526" t="s">
        <v>191</v>
      </c>
      <c r="F103" s="3527">
        <f>ROUND(SUM(F104),3)</f>
        <v>20</v>
      </c>
      <c r="G103" s="3528"/>
      <c r="H103" s="3904">
        <f t="shared" si="19"/>
        <v>0</v>
      </c>
      <c r="I103" s="3925"/>
      <c r="J103" s="3529" t="s">
        <v>142</v>
      </c>
      <c r="M103" s="5014"/>
    </row>
    <row r="104" spans="1:163" customFormat="1" ht="13.5" customHeight="1">
      <c r="A104" s="3112"/>
      <c r="B104" s="3526"/>
      <c r="C104" s="3526"/>
      <c r="D104" s="3543" t="s">
        <v>7947</v>
      </c>
      <c r="E104" s="3526"/>
      <c r="F104" s="3544">
        <v>20</v>
      </c>
      <c r="G104" s="3528"/>
      <c r="H104" s="3905"/>
      <c r="I104" s="3926"/>
      <c r="J104" s="4507"/>
      <c r="M104" s="5014"/>
    </row>
    <row r="105" spans="1:163" s="1102" customFormat="1" ht="27" customHeight="1">
      <c r="A105" s="3112"/>
      <c r="B105" s="3526"/>
      <c r="C105" s="3526"/>
      <c r="D105" s="3543" t="s">
        <v>7948</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9068</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9069</v>
      </c>
      <c r="D107" s="3526" t="s">
        <v>9070</v>
      </c>
      <c r="E107" s="3526" t="s">
        <v>141</v>
      </c>
      <c r="F107" s="3527">
        <f>ROUND(SUM(F112),3)</f>
        <v>7</v>
      </c>
      <c r="G107" s="3542">
        <f>ROUND(SUM(H110:H111)/F107,2)</f>
        <v>0</v>
      </c>
      <c r="H107" s="3904">
        <f t="shared" ref="H107" si="20">ROUND(F107*G107,2)</f>
        <v>0</v>
      </c>
      <c r="I107" s="3925"/>
      <c r="J107" s="4507" t="s">
        <v>60</v>
      </c>
      <c r="K107" s="5040"/>
      <c r="M107" s="5041"/>
    </row>
    <row r="108" spans="1:163" s="2617" customFormat="1" ht="13.5" customHeight="1">
      <c r="A108" s="3672"/>
      <c r="B108" s="3526"/>
      <c r="C108" s="3526"/>
      <c r="D108" s="3543" t="s">
        <v>9071</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8119</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9140</v>
      </c>
      <c r="B110" s="3546"/>
      <c r="C110" s="3547" t="s">
        <v>9072</v>
      </c>
      <c r="D110" s="3548" t="s">
        <v>9073</v>
      </c>
      <c r="E110" s="3547" t="s">
        <v>141</v>
      </c>
      <c r="F110" s="3530">
        <f>F107</f>
        <v>7</v>
      </c>
      <c r="G110" s="3549"/>
      <c r="H110" s="3909">
        <f t="shared" ref="H110:H111" si="21">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9142</v>
      </c>
      <c r="B111" s="3546"/>
      <c r="C111" s="3547" t="s">
        <v>9074</v>
      </c>
      <c r="D111" s="3548" t="s">
        <v>9075</v>
      </c>
      <c r="E111" s="3547" t="s">
        <v>141</v>
      </c>
      <c r="F111" s="3530">
        <f>(7)*1.05</f>
        <v>7.3500000000000005</v>
      </c>
      <c r="G111" s="3549"/>
      <c r="H111" s="3909">
        <f t="shared" si="21"/>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9076</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8132</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9099</v>
      </c>
      <c r="D114" s="3526" t="s">
        <v>9077</v>
      </c>
      <c r="E114" s="3526" t="s">
        <v>141</v>
      </c>
      <c r="F114" s="3527">
        <f>ROUND(SUM(F119),3)</f>
        <v>1</v>
      </c>
      <c r="G114" s="3542">
        <f>ROUND(SUM(H117:H118)/F114,2)</f>
        <v>0</v>
      </c>
      <c r="H114" s="3904">
        <f t="shared" ref="H114" si="22">ROUND(F114*G114,2)</f>
        <v>0</v>
      </c>
      <c r="I114" s="3925"/>
      <c r="J114" s="4507" t="s">
        <v>60</v>
      </c>
      <c r="K114" s="5040"/>
      <c r="M114" s="5060"/>
    </row>
    <row r="115" spans="1:43" s="2617" customFormat="1" ht="13.5" customHeight="1">
      <c r="A115" s="3672"/>
      <c r="B115" s="3526"/>
      <c r="C115" s="3526"/>
      <c r="D115" s="3543" t="s">
        <v>9078</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8119</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9072</v>
      </c>
      <c r="D117" s="3548" t="s">
        <v>9079</v>
      </c>
      <c r="E117" s="3547" t="s">
        <v>141</v>
      </c>
      <c r="F117" s="3530">
        <f>F114</f>
        <v>1</v>
      </c>
      <c r="G117" s="3549"/>
      <c r="H117" s="3909">
        <f t="shared" ref="H117:H118" si="23">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9074</v>
      </c>
      <c r="D118" s="3548" t="s">
        <v>9080</v>
      </c>
      <c r="E118" s="3547" t="s">
        <v>141</v>
      </c>
      <c r="F118" s="3530">
        <f>(1)*1.05</f>
        <v>1.05</v>
      </c>
      <c r="G118" s="3549"/>
      <c r="H118" s="3909">
        <f t="shared" si="23"/>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9081</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8132</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9128</v>
      </c>
      <c r="D121" s="3526" t="s">
        <v>9082</v>
      </c>
      <c r="E121" s="3526" t="s">
        <v>141</v>
      </c>
      <c r="F121" s="3527">
        <f>ROUND(SUM(F129),3)</f>
        <v>88.38</v>
      </c>
      <c r="G121" s="3542">
        <f>ROUND(SUM(H124:H127)/F121,2)</f>
        <v>0</v>
      </c>
      <c r="H121" s="3904">
        <f t="shared" ref="H121" si="24">ROUND(F121*G121,2)</f>
        <v>0</v>
      </c>
      <c r="I121" s="3925"/>
      <c r="J121" s="4507" t="s">
        <v>60</v>
      </c>
      <c r="K121" s="5040"/>
      <c r="M121" s="5060"/>
    </row>
    <row r="122" spans="1:43" s="2617" customFormat="1" ht="13.5" customHeight="1">
      <c r="A122" s="3672"/>
      <c r="B122" s="3526"/>
      <c r="C122" s="3526"/>
      <c r="D122" s="3543" t="s">
        <v>9083</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8119</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9072</v>
      </c>
      <c r="D124" s="3548" t="s">
        <v>9084</v>
      </c>
      <c r="E124" s="3547" t="s">
        <v>141</v>
      </c>
      <c r="F124" s="3530">
        <f>F121</f>
        <v>88.38</v>
      </c>
      <c r="G124" s="3549"/>
      <c r="H124" s="3909">
        <f t="shared" ref="H124:H127" si="25">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9074</v>
      </c>
      <c r="D125" s="3548" t="s">
        <v>9085</v>
      </c>
      <c r="E125" s="3547" t="s">
        <v>141</v>
      </c>
      <c r="F125" s="3530">
        <f>(88.38)*1.05</f>
        <v>92.798999999999992</v>
      </c>
      <c r="G125" s="3549"/>
      <c r="H125" s="3909">
        <f t="shared" si="25"/>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9086</v>
      </c>
      <c r="E126" s="3547" t="s">
        <v>611</v>
      </c>
      <c r="F126" s="3530">
        <f>(88.38)*0.566</f>
        <v>50.023079999999993</v>
      </c>
      <c r="G126" s="3549"/>
      <c r="H126" s="3909">
        <f t="shared" si="25"/>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8129</v>
      </c>
      <c r="D127" s="3552" t="s">
        <v>9087</v>
      </c>
      <c r="E127" s="3551" t="s">
        <v>611</v>
      </c>
      <c r="F127" s="3553">
        <f>((88.38)*0.566)*1.1</f>
        <v>55.025388</v>
      </c>
      <c r="G127" s="3554"/>
      <c r="H127" s="3910">
        <f t="shared" si="25"/>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9088</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9089</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8132</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9137</v>
      </c>
      <c r="D131" s="3526" t="s">
        <v>9090</v>
      </c>
      <c r="E131" s="3526" t="s">
        <v>141</v>
      </c>
      <c r="F131" s="3527">
        <f>ROUND(SUM(F139),3)</f>
        <v>6.9</v>
      </c>
      <c r="G131" s="3542">
        <f>ROUND(SUM(H134:H137)/F131,2)</f>
        <v>0</v>
      </c>
      <c r="H131" s="3904">
        <f t="shared" ref="H131" si="26">ROUND(F131*G131,2)</f>
        <v>0</v>
      </c>
      <c r="I131" s="3925"/>
      <c r="J131" s="4507" t="s">
        <v>60</v>
      </c>
      <c r="K131" s="5040"/>
      <c r="M131" s="5060"/>
    </row>
    <row r="132" spans="1:43" s="2617" customFormat="1" ht="13.5" customHeight="1">
      <c r="A132" s="3672"/>
      <c r="B132" s="3526"/>
      <c r="C132" s="3526"/>
      <c r="D132" s="3543" t="s">
        <v>9091</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9092</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9072</v>
      </c>
      <c r="D134" s="3548" t="s">
        <v>9093</v>
      </c>
      <c r="E134" s="3547" t="s">
        <v>141</v>
      </c>
      <c r="F134" s="3530">
        <f>F131</f>
        <v>6.9</v>
      </c>
      <c r="G134" s="3549"/>
      <c r="H134" s="3909">
        <f t="shared" ref="H134:H137" si="27">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9074</v>
      </c>
      <c r="D135" s="3548" t="s">
        <v>9094</v>
      </c>
      <c r="E135" s="3547" t="s">
        <v>141</v>
      </c>
      <c r="F135" s="3530">
        <f>(6.9)*1.05</f>
        <v>7.245000000000001</v>
      </c>
      <c r="G135" s="3549"/>
      <c r="H135" s="3909">
        <f t="shared" si="27"/>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9095</v>
      </c>
      <c r="E136" s="3547" t="s">
        <v>611</v>
      </c>
      <c r="F136" s="3530">
        <f>(6.9)*0.566</f>
        <v>3.9053999999999998</v>
      </c>
      <c r="G136" s="3549"/>
      <c r="H136" s="3909">
        <f t="shared" si="27"/>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9096</v>
      </c>
      <c r="D137" s="3552" t="s">
        <v>9097</v>
      </c>
      <c r="E137" s="3551" t="s">
        <v>611</v>
      </c>
      <c r="F137" s="3553">
        <f>((6.9)*0.566)*1.1</f>
        <v>4.2959399999999999</v>
      </c>
      <c r="G137" s="3554"/>
      <c r="H137" s="3910">
        <f t="shared" si="27"/>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9088</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9098</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8132</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9155</v>
      </c>
      <c r="D141" s="3526" t="s">
        <v>9100</v>
      </c>
      <c r="E141" s="3526" t="s">
        <v>141</v>
      </c>
      <c r="F141" s="3527">
        <f>ROUND(SUM(F149),3)</f>
        <v>237.59</v>
      </c>
      <c r="G141" s="3542">
        <f>ROUND(SUM(H144:H147)/F141,2)</f>
        <v>0</v>
      </c>
      <c r="H141" s="3904">
        <f t="shared" ref="H141" si="28">ROUND(F141*G141,2)</f>
        <v>0</v>
      </c>
      <c r="I141" s="3925"/>
      <c r="J141" s="4507" t="s">
        <v>60</v>
      </c>
      <c r="K141" s="5040"/>
      <c r="M141" s="5060"/>
    </row>
    <row r="142" spans="1:43" s="2617" customFormat="1" ht="13.5" customHeight="1">
      <c r="A142" s="3672"/>
      <c r="B142" s="3526"/>
      <c r="C142" s="3526"/>
      <c r="D142" s="3543" t="s">
        <v>9101</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8119</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9102</v>
      </c>
      <c r="D144" s="3548" t="s">
        <v>9103</v>
      </c>
      <c r="E144" s="3547" t="s">
        <v>141</v>
      </c>
      <c r="F144" s="3530">
        <f>F141</f>
        <v>237.59</v>
      </c>
      <c r="G144" s="3549"/>
      <c r="H144" s="3909">
        <f t="shared" ref="H144:H147" si="29">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9104</v>
      </c>
      <c r="D145" s="3548" t="s">
        <v>9105</v>
      </c>
      <c r="E145" s="3547" t="s">
        <v>141</v>
      </c>
      <c r="F145" s="3530">
        <f xml:space="preserve"> (237.59)*1.05</f>
        <v>249.46950000000001</v>
      </c>
      <c r="G145" s="3549"/>
      <c r="H145" s="3909">
        <f t="shared" si="29"/>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9106</v>
      </c>
      <c r="E146" s="3547" t="s">
        <v>611</v>
      </c>
      <c r="F146" s="3530">
        <f>(237.59)*0.644</f>
        <v>153.00796</v>
      </c>
      <c r="G146" s="3549"/>
      <c r="H146" s="3909">
        <f t="shared" si="29"/>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8129</v>
      </c>
      <c r="D147" s="3552" t="s">
        <v>9107</v>
      </c>
      <c r="E147" s="3551" t="s">
        <v>611</v>
      </c>
      <c r="F147" s="3553">
        <f>((237.59)*0.644)*1.1</f>
        <v>168.30875600000002</v>
      </c>
      <c r="G147" s="3554"/>
      <c r="H147" s="3910">
        <f t="shared" si="29"/>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9108</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9109</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8132</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9164</v>
      </c>
      <c r="D151" s="3526" t="s">
        <v>9110</v>
      </c>
      <c r="E151" s="3526" t="s">
        <v>141</v>
      </c>
      <c r="F151" s="3527">
        <f>ROUND(SUM(F160),3)</f>
        <v>6.5</v>
      </c>
      <c r="G151" s="3542">
        <f>ROUND(SUM(H154:H158)/F151,2)</f>
        <v>0</v>
      </c>
      <c r="H151" s="3904">
        <f t="shared" ref="H151" si="30">ROUND(F151*G151,2)</f>
        <v>0</v>
      </c>
      <c r="I151" s="3925"/>
      <c r="J151" s="4507" t="s">
        <v>60</v>
      </c>
      <c r="K151" s="5040"/>
    </row>
    <row r="152" spans="1:43" s="2617" customFormat="1" ht="13.5" customHeight="1">
      <c r="A152" s="3672"/>
      <c r="B152" s="3526"/>
      <c r="C152" s="3526"/>
      <c r="D152" s="3543" t="s">
        <v>9111</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9112</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9104</v>
      </c>
      <c r="D154" s="3547" t="s">
        <v>9113</v>
      </c>
      <c r="E154" s="3547" t="s">
        <v>141</v>
      </c>
      <c r="F154" s="3530">
        <f>(6.5)*1.05</f>
        <v>6.8250000000000002</v>
      </c>
      <c r="G154" s="3549"/>
      <c r="H154" s="3909">
        <f t="shared" ref="H154:H158" si="31">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9114</v>
      </c>
      <c r="E155" s="3547" t="s">
        <v>611</v>
      </c>
      <c r="F155" s="3530">
        <f>(6.5)*0.393</f>
        <v>2.5545</v>
      </c>
      <c r="G155" s="3549"/>
      <c r="H155" s="3909">
        <f t="shared" si="31"/>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9115</v>
      </c>
      <c r="D156" s="3551" t="s">
        <v>9116</v>
      </c>
      <c r="E156" s="3551" t="s">
        <v>611</v>
      </c>
      <c r="F156" s="3553">
        <f>((6.5)*0.393)*1.1</f>
        <v>2.8099500000000002</v>
      </c>
      <c r="G156" s="3554"/>
      <c r="H156" s="3910">
        <f t="shared" si="31"/>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9117</v>
      </c>
      <c r="E157" s="3547" t="s">
        <v>611</v>
      </c>
      <c r="F157" s="3530">
        <f>(6.5)*1.021</f>
        <v>6.6364999999999998</v>
      </c>
      <c r="G157" s="3549"/>
      <c r="H157" s="3909">
        <f t="shared" si="31"/>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9118</v>
      </c>
      <c r="E158" s="3551" t="s">
        <v>302</v>
      </c>
      <c r="F158" s="3553">
        <f>((6.5)*1.021)*(8/1000)*1.15</f>
        <v>6.1055799999999993E-2</v>
      </c>
      <c r="G158" s="3554"/>
      <c r="H158" s="3910">
        <f t="shared" si="31"/>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9119</v>
      </c>
      <c r="E159" s="3532"/>
      <c r="F159" s="3530"/>
      <c r="G159" s="3534"/>
      <c r="H159" s="3906"/>
      <c r="I159" s="3927"/>
      <c r="J159" s="3535"/>
      <c r="K159" s="5067"/>
      <c r="L159" s="5068"/>
      <c r="M159" s="3659"/>
      <c r="R159" s="5019"/>
    </row>
    <row r="160" spans="1:43" customFormat="1" ht="13.5" customHeight="1">
      <c r="A160" s="3112"/>
      <c r="B160" s="3526"/>
      <c r="C160" s="3526"/>
      <c r="D160" s="3543" t="s">
        <v>9120</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8132</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9180</v>
      </c>
      <c r="D162" s="3526" t="s">
        <v>9121</v>
      </c>
      <c r="E162" s="3526" t="s">
        <v>141</v>
      </c>
      <c r="F162" s="3527">
        <f>ROUND(SUM(F170),3)</f>
        <v>3.3</v>
      </c>
      <c r="G162" s="3542">
        <f>ROUND(SUM(H165:H168)/F162,2)</f>
        <v>0</v>
      </c>
      <c r="H162" s="3904">
        <f t="shared" ref="H162" si="32">ROUND(F162*G162,2)</f>
        <v>0</v>
      </c>
      <c r="I162" s="3925"/>
      <c r="J162" s="4507" t="s">
        <v>60</v>
      </c>
      <c r="K162" s="5040"/>
      <c r="M162" s="5060"/>
    </row>
    <row r="163" spans="1:43" s="2617" customFormat="1" ht="13.5" customHeight="1">
      <c r="A163" s="3672"/>
      <c r="B163" s="3526"/>
      <c r="C163" s="3526"/>
      <c r="D163" s="3543" t="s">
        <v>9122</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9092</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9102</v>
      </c>
      <c r="D165" s="3548" t="s">
        <v>9123</v>
      </c>
      <c r="E165" s="3547" t="s">
        <v>141</v>
      </c>
      <c r="F165" s="3530">
        <f>F162</f>
        <v>3.3</v>
      </c>
      <c r="G165" s="3549"/>
      <c r="H165" s="3909">
        <f t="shared" ref="H165:H168" si="33">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9104</v>
      </c>
      <c r="D166" s="3548" t="s">
        <v>9124</v>
      </c>
      <c r="E166" s="3547" t="s">
        <v>141</v>
      </c>
      <c r="F166" s="3530">
        <f>(3.3)*1.05</f>
        <v>3.4649999999999999</v>
      </c>
      <c r="G166" s="3549"/>
      <c r="H166" s="3909">
        <f t="shared" si="33"/>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9125</v>
      </c>
      <c r="E167" s="3547" t="s">
        <v>611</v>
      </c>
      <c r="F167" s="3530">
        <f>(3.3)*0.644</f>
        <v>2.1252</v>
      </c>
      <c r="G167" s="3549"/>
      <c r="H167" s="3909">
        <f t="shared" si="33"/>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9096</v>
      </c>
      <c r="D168" s="3552" t="s">
        <v>9126</v>
      </c>
      <c r="E168" s="3551" t="s">
        <v>611</v>
      </c>
      <c r="F168" s="3553">
        <f>((3.3)*0.644)*1.1</f>
        <v>2.33772</v>
      </c>
      <c r="G168" s="3554"/>
      <c r="H168" s="3910">
        <f t="shared" si="33"/>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9108</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9127</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8132</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9198</v>
      </c>
      <c r="D172" s="3526" t="s">
        <v>9129</v>
      </c>
      <c r="E172" s="3526" t="s">
        <v>141</v>
      </c>
      <c r="F172" s="3527">
        <f>ROUND(SUM(F180),3)</f>
        <v>1.1499999999999999</v>
      </c>
      <c r="G172" s="3542">
        <f>ROUND(SUM(H175:H178)/F172,2)</f>
        <v>0</v>
      </c>
      <c r="H172" s="3904">
        <f t="shared" ref="H172" si="34">ROUND(F172*G172,2)</f>
        <v>0</v>
      </c>
      <c r="I172" s="3925"/>
      <c r="J172" s="4507" t="s">
        <v>60</v>
      </c>
      <c r="K172" s="5040"/>
      <c r="M172" s="5060"/>
    </row>
    <row r="173" spans="1:43" s="2617" customFormat="1" ht="13.5" customHeight="1">
      <c r="A173" s="3672"/>
      <c r="B173" s="3526"/>
      <c r="C173" s="3526"/>
      <c r="D173" s="3543" t="s">
        <v>9130</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8119</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9102</v>
      </c>
      <c r="D175" s="3548" t="s">
        <v>9131</v>
      </c>
      <c r="E175" s="3547" t="s">
        <v>141</v>
      </c>
      <c r="F175" s="3530">
        <f>F172</f>
        <v>1.1499999999999999</v>
      </c>
      <c r="G175" s="3549"/>
      <c r="H175" s="3909">
        <f t="shared" ref="H175:H178" si="35">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9104</v>
      </c>
      <c r="D176" s="3548" t="s">
        <v>9132</v>
      </c>
      <c r="E176" s="3547" t="s">
        <v>141</v>
      </c>
      <c r="F176" s="3530">
        <f>(1.15)*1.05</f>
        <v>1.2075</v>
      </c>
      <c r="G176" s="3549"/>
      <c r="H176" s="3909">
        <f t="shared" si="35"/>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9133</v>
      </c>
      <c r="E177" s="3547" t="s">
        <v>611</v>
      </c>
      <c r="F177" s="3530">
        <f xml:space="preserve"> (1.15)*0.691</f>
        <v>0.79464999999999986</v>
      </c>
      <c r="G177" s="3549"/>
      <c r="H177" s="3909">
        <f t="shared" si="35"/>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8129</v>
      </c>
      <c r="D178" s="3552" t="s">
        <v>9134</v>
      </c>
      <c r="E178" s="3551" t="s">
        <v>611</v>
      </c>
      <c r="F178" s="3553">
        <f>((1.15)*0.691)*1.1</f>
        <v>0.87411499999999986</v>
      </c>
      <c r="G178" s="3554"/>
      <c r="H178" s="3910">
        <f t="shared" si="35"/>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9135</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9136</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8132</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9214</v>
      </c>
      <c r="D182" s="3526" t="s">
        <v>9138</v>
      </c>
      <c r="E182" s="3526" t="s">
        <v>141</v>
      </c>
      <c r="F182" s="3527">
        <f>ROUND(SUM(F190),3)</f>
        <v>336.31</v>
      </c>
      <c r="G182" s="3542">
        <f>ROUND(SUM(H185:H188)/F182,2)</f>
        <v>0</v>
      </c>
      <c r="H182" s="3904">
        <f t="shared" ref="H182" si="36">ROUND(F182*G182,2)</f>
        <v>0</v>
      </c>
      <c r="I182" s="3925"/>
      <c r="J182" s="4507" t="s">
        <v>60</v>
      </c>
      <c r="K182" s="5040"/>
      <c r="M182" s="5060"/>
    </row>
    <row r="183" spans="1:43" s="2617" customFormat="1" ht="13.5" customHeight="1">
      <c r="A183" s="3672"/>
      <c r="B183" s="3526"/>
      <c r="C183" s="3526"/>
      <c r="D183" s="3543" t="s">
        <v>9139</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8119</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9102</v>
      </c>
      <c r="D185" s="3548" t="s">
        <v>9141</v>
      </c>
      <c r="E185" s="3547" t="s">
        <v>141</v>
      </c>
      <c r="F185" s="3530">
        <f>F182</f>
        <v>336.31</v>
      </c>
      <c r="G185" s="3549"/>
      <c r="H185" s="3909">
        <f t="shared" ref="H185:H188" si="37">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9104</v>
      </c>
      <c r="D186" s="3548" t="s">
        <v>9143</v>
      </c>
      <c r="E186" s="3547" t="s">
        <v>141</v>
      </c>
      <c r="F186" s="3530">
        <f>(336.31)*1.05</f>
        <v>353.12550000000005</v>
      </c>
      <c r="G186" s="3549"/>
      <c r="H186" s="3909">
        <f t="shared" si="37"/>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9144</v>
      </c>
      <c r="E187" s="3547" t="s">
        <v>611</v>
      </c>
      <c r="F187" s="3530">
        <f>(336.31)*0.754</f>
        <v>253.57774000000001</v>
      </c>
      <c r="G187" s="3549"/>
      <c r="H187" s="3909">
        <f t="shared" si="37"/>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8129</v>
      </c>
      <c r="D188" s="3552" t="s">
        <v>9145</v>
      </c>
      <c r="E188" s="3551" t="s">
        <v>611</v>
      </c>
      <c r="F188" s="3553">
        <f>((336.31)*0.754)*1.1</f>
        <v>278.93551400000001</v>
      </c>
      <c r="G188" s="3554"/>
      <c r="H188" s="3910">
        <f t="shared" si="37"/>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9146</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9147</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8132</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9225</v>
      </c>
      <c r="D192" s="3526" t="s">
        <v>9148</v>
      </c>
      <c r="E192" s="3526" t="s">
        <v>141</v>
      </c>
      <c r="F192" s="3527">
        <f>ROUND(SUM(F200),3)</f>
        <v>72.3</v>
      </c>
      <c r="G192" s="3542">
        <f>ROUND(SUM(H195:H198)/F192,2)</f>
        <v>0</v>
      </c>
      <c r="H192" s="3904">
        <f t="shared" ref="H192" si="38">ROUND(F192*G192,2)</f>
        <v>0</v>
      </c>
      <c r="I192" s="3925"/>
      <c r="J192" s="4507" t="s">
        <v>60</v>
      </c>
      <c r="K192" s="5040"/>
      <c r="M192" s="5060"/>
    </row>
    <row r="193" spans="1:43" s="2617" customFormat="1" ht="13.5" customHeight="1">
      <c r="A193" s="3672"/>
      <c r="B193" s="3526"/>
      <c r="C193" s="3526"/>
      <c r="D193" s="3543" t="s">
        <v>9149</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9092</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9102</v>
      </c>
      <c r="D195" s="3548" t="s">
        <v>9150</v>
      </c>
      <c r="E195" s="3547" t="s">
        <v>141</v>
      </c>
      <c r="F195" s="3530">
        <f>F192</f>
        <v>72.3</v>
      </c>
      <c r="G195" s="3549"/>
      <c r="H195" s="3909">
        <f t="shared" ref="H195:H198" si="39">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9104</v>
      </c>
      <c r="D196" s="3548" t="s">
        <v>9151</v>
      </c>
      <c r="E196" s="3547" t="s">
        <v>141</v>
      </c>
      <c r="F196" s="3530">
        <f xml:space="preserve"> (72.3)*1.05</f>
        <v>75.915000000000006</v>
      </c>
      <c r="G196" s="3549"/>
      <c r="H196" s="3909">
        <f t="shared" si="39"/>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9152</v>
      </c>
      <c r="E197" s="3547" t="s">
        <v>611</v>
      </c>
      <c r="F197" s="3530">
        <f xml:space="preserve"> (72.3)*0.754</f>
        <v>54.514199999999995</v>
      </c>
      <c r="G197" s="3549"/>
      <c r="H197" s="3909">
        <f t="shared" si="39"/>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9096</v>
      </c>
      <c r="D198" s="3552" t="s">
        <v>9153</v>
      </c>
      <c r="E198" s="3551" t="s">
        <v>611</v>
      </c>
      <c r="F198" s="3553">
        <f>((72.3)*0.754)*1.1</f>
        <v>59.965620000000001</v>
      </c>
      <c r="G198" s="3554"/>
      <c r="H198" s="3910">
        <f t="shared" si="39"/>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9146</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9154</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8132</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10131</v>
      </c>
      <c r="D202" s="3526" t="s">
        <v>9156</v>
      </c>
      <c r="E202" s="3526" t="s">
        <v>141</v>
      </c>
      <c r="F202" s="3527">
        <f>ROUND(SUM(F210),3)</f>
        <v>17.91</v>
      </c>
      <c r="G202" s="3542">
        <f>ROUND(SUM(H205:H208)/F202,2)</f>
        <v>0</v>
      </c>
      <c r="H202" s="3904">
        <f t="shared" ref="H202" si="40">ROUND(F202*G202,2)</f>
        <v>0</v>
      </c>
      <c r="I202" s="3925"/>
      <c r="J202" s="4507" t="s">
        <v>60</v>
      </c>
      <c r="K202" s="5040"/>
      <c r="M202" s="5060"/>
    </row>
    <row r="203" spans="1:43" s="2617" customFormat="1" ht="13.5" customHeight="1">
      <c r="A203" s="3672"/>
      <c r="B203" s="3526"/>
      <c r="C203" s="3526"/>
      <c r="D203" s="3543" t="s">
        <v>9157</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8119</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9102</v>
      </c>
      <c r="D205" s="3548" t="s">
        <v>9158</v>
      </c>
      <c r="E205" s="3547" t="s">
        <v>141</v>
      </c>
      <c r="F205" s="3530">
        <f>F202</f>
        <v>17.91</v>
      </c>
      <c r="G205" s="3549"/>
      <c r="H205" s="3909">
        <f t="shared" ref="H205:H208" si="41">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9104</v>
      </c>
      <c r="D206" s="3548" t="s">
        <v>9159</v>
      </c>
      <c r="E206" s="3547" t="s">
        <v>141</v>
      </c>
      <c r="F206" s="3530">
        <f>(17.91)*1.05</f>
        <v>18.805500000000002</v>
      </c>
      <c r="G206" s="3549"/>
      <c r="H206" s="3909">
        <f t="shared" si="41"/>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9160</v>
      </c>
      <c r="E207" s="3547" t="s">
        <v>611</v>
      </c>
      <c r="F207" s="3530">
        <f>(17.91)*0.817</f>
        <v>14.63247</v>
      </c>
      <c r="G207" s="3549"/>
      <c r="H207" s="3909">
        <f t="shared" si="41"/>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8129</v>
      </c>
      <c r="D208" s="3552" t="s">
        <v>9161</v>
      </c>
      <c r="E208" s="3551" t="s">
        <v>611</v>
      </c>
      <c r="F208" s="3553">
        <f>((17.91)*0.817)*1.1</f>
        <v>16.095717</v>
      </c>
      <c r="G208" s="3554"/>
      <c r="H208" s="3910">
        <f t="shared" si="41"/>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9162</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9163</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8132</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10132</v>
      </c>
      <c r="D212" s="3526" t="s">
        <v>9165</v>
      </c>
      <c r="E212" s="3526" t="s">
        <v>141</v>
      </c>
      <c r="F212" s="3527">
        <f>ROUND(SUM(F220),3)</f>
        <v>129.94</v>
      </c>
      <c r="G212" s="3542">
        <f>ROUND(SUM(H215:H218)/F212,2)</f>
        <v>0</v>
      </c>
      <c r="H212" s="3904">
        <f t="shared" ref="H212" si="42">ROUND(F212*G212,2)</f>
        <v>0</v>
      </c>
      <c r="I212" s="3925"/>
      <c r="J212" s="4507" t="s">
        <v>60</v>
      </c>
      <c r="K212" s="5040"/>
      <c r="M212" s="5060"/>
    </row>
    <row r="213" spans="1:43" s="2617" customFormat="1" ht="13.5" customHeight="1">
      <c r="A213" s="3672"/>
      <c r="B213" s="3526"/>
      <c r="C213" s="3526"/>
      <c r="D213" s="3543" t="s">
        <v>9166</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8119</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7246</v>
      </c>
      <c r="B215" s="3546"/>
      <c r="C215" s="3547" t="s">
        <v>9102</v>
      </c>
      <c r="D215" s="3548" t="s">
        <v>9167</v>
      </c>
      <c r="E215" s="3547" t="s">
        <v>141</v>
      </c>
      <c r="F215" s="3530">
        <f>F212</f>
        <v>129.94</v>
      </c>
      <c r="G215" s="3549"/>
      <c r="H215" s="3909">
        <f t="shared" ref="H215:H218" si="43">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7248</v>
      </c>
      <c r="B216" s="3546"/>
      <c r="C216" s="3547" t="s">
        <v>9104</v>
      </c>
      <c r="D216" s="3548" t="s">
        <v>9168</v>
      </c>
      <c r="E216" s="3547" t="s">
        <v>141</v>
      </c>
      <c r="F216" s="3530">
        <f>(129.94)*1.05</f>
        <v>136.43700000000001</v>
      </c>
      <c r="G216" s="3549"/>
      <c r="H216" s="3909">
        <f t="shared" si="43"/>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7252</v>
      </c>
      <c r="B217" s="3546"/>
      <c r="C217" s="3547">
        <v>713411121</v>
      </c>
      <c r="D217" s="3547" t="s">
        <v>9169</v>
      </c>
      <c r="E217" s="3547" t="s">
        <v>611</v>
      </c>
      <c r="F217" s="3530">
        <f>(129.94)*0.88</f>
        <v>114.3472</v>
      </c>
      <c r="G217" s="3549"/>
      <c r="H217" s="3909">
        <f t="shared" si="43"/>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7254</v>
      </c>
      <c r="B218" s="3546"/>
      <c r="C218" s="3551" t="s">
        <v>8129</v>
      </c>
      <c r="D218" s="3552" t="s">
        <v>9170</v>
      </c>
      <c r="E218" s="3551" t="s">
        <v>611</v>
      </c>
      <c r="F218" s="3553">
        <f>((150.04)*0.88)*1.1</f>
        <v>145.23872000000003</v>
      </c>
      <c r="G218" s="3554"/>
      <c r="H218" s="3910">
        <f t="shared" si="43"/>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9171</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9172</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8132</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10133</v>
      </c>
      <c r="D222" s="3526" t="s">
        <v>9173</v>
      </c>
      <c r="E222" s="3526" t="s">
        <v>141</v>
      </c>
      <c r="F222" s="3527">
        <f>ROUND(SUM(F230),3)</f>
        <v>20.100000000000001</v>
      </c>
      <c r="G222" s="3542">
        <f>ROUND(SUM(H225:H228)/F222,2)</f>
        <v>0</v>
      </c>
      <c r="H222" s="3904">
        <f t="shared" ref="H222" si="44">ROUND(F222*G222,2)</f>
        <v>0</v>
      </c>
      <c r="I222" s="3925"/>
      <c r="J222" s="4507" t="s">
        <v>60</v>
      </c>
      <c r="K222" s="5040"/>
      <c r="M222" s="5060"/>
    </row>
    <row r="223" spans="1:43" s="2617" customFormat="1" ht="13.5" customHeight="1">
      <c r="A223" s="3672"/>
      <c r="B223" s="3526"/>
      <c r="C223" s="3526"/>
      <c r="D223" s="3543" t="s">
        <v>9174</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9092</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9102</v>
      </c>
      <c r="D225" s="3548" t="s">
        <v>9175</v>
      </c>
      <c r="E225" s="3547" t="s">
        <v>141</v>
      </c>
      <c r="F225" s="3530">
        <f>F222</f>
        <v>20.100000000000001</v>
      </c>
      <c r="G225" s="3549"/>
      <c r="H225" s="3909">
        <f t="shared" ref="H225:H228" si="45">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9104</v>
      </c>
      <c r="D226" s="3548" t="s">
        <v>9176</v>
      </c>
      <c r="E226" s="3547" t="s">
        <v>141</v>
      </c>
      <c r="F226" s="3530">
        <f>(20.1)*1.05</f>
        <v>21.105000000000004</v>
      </c>
      <c r="G226" s="3549"/>
      <c r="H226" s="3909">
        <f t="shared" si="45"/>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9177</v>
      </c>
      <c r="E227" s="3547" t="s">
        <v>611</v>
      </c>
      <c r="F227" s="3530">
        <f xml:space="preserve"> (20.1)*0.88</f>
        <v>17.688000000000002</v>
      </c>
      <c r="G227" s="3549"/>
      <c r="H227" s="3909">
        <f t="shared" si="45"/>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9096</v>
      </c>
      <c r="D228" s="3552" t="s">
        <v>9178</v>
      </c>
      <c r="E228" s="3551" t="s">
        <v>611</v>
      </c>
      <c r="F228" s="3553">
        <f>((21.1)*0.88)*1.1</f>
        <v>20.424800000000005</v>
      </c>
      <c r="G228" s="3554"/>
      <c r="H228" s="3910">
        <f t="shared" si="45"/>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9171</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9179</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8132</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10134</v>
      </c>
      <c r="D232" s="3526" t="s">
        <v>9181</v>
      </c>
      <c r="E232" s="3526" t="s">
        <v>141</v>
      </c>
      <c r="F232" s="3527">
        <f>ROUND(SUM(F240),3)</f>
        <v>19.440000000000001</v>
      </c>
      <c r="G232" s="3542">
        <f>ROUND(SUM(H235:H238)/F232,2)</f>
        <v>0</v>
      </c>
      <c r="H232" s="3904">
        <f t="shared" ref="H232" si="46">ROUND(F232*G232,2)</f>
        <v>0</v>
      </c>
      <c r="I232" s="3925"/>
      <c r="J232" s="4507" t="s">
        <v>60</v>
      </c>
      <c r="K232" s="5040"/>
      <c r="M232" s="5060"/>
    </row>
    <row r="233" spans="1:43" s="2617" customFormat="1" ht="13.5" customHeight="1">
      <c r="A233" s="3672"/>
      <c r="B233" s="3526"/>
      <c r="C233" s="3526"/>
      <c r="D233" s="3543" t="s">
        <v>9182</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8119</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9183</v>
      </c>
      <c r="D235" s="3548" t="s">
        <v>9184</v>
      </c>
      <c r="E235" s="3547" t="s">
        <v>141</v>
      </c>
      <c r="F235" s="3530">
        <f>F232</f>
        <v>19.440000000000001</v>
      </c>
      <c r="G235" s="3549"/>
      <c r="H235" s="3909">
        <f t="shared" ref="H235:H238" si="47">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9185</v>
      </c>
      <c r="D236" s="3548" t="s">
        <v>9186</v>
      </c>
      <c r="E236" s="3547" t="s">
        <v>141</v>
      </c>
      <c r="F236" s="3530">
        <f>(19.44)*1.05</f>
        <v>20.412000000000003</v>
      </c>
      <c r="G236" s="3549"/>
      <c r="H236" s="3909">
        <f t="shared" si="47"/>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9187</v>
      </c>
      <c r="E237" s="3547" t="s">
        <v>611</v>
      </c>
      <c r="F237" s="3530">
        <f xml:space="preserve"> (19.44)*0.955</f>
        <v>18.565200000000001</v>
      </c>
      <c r="G237" s="3549"/>
      <c r="H237" s="3909">
        <f t="shared" si="47"/>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8129</v>
      </c>
      <c r="D238" s="3552" t="s">
        <v>9188</v>
      </c>
      <c r="E238" s="3551" t="s">
        <v>611</v>
      </c>
      <c r="F238" s="3553">
        <f>((19.44)*0.955)*1.1</f>
        <v>20.421720000000004</v>
      </c>
      <c r="G238" s="3554"/>
      <c r="H238" s="3910">
        <f t="shared" si="47"/>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9189</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9190</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8132</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10135</v>
      </c>
      <c r="D242" s="3526" t="s">
        <v>9191</v>
      </c>
      <c r="E242" s="3526" t="s">
        <v>141</v>
      </c>
      <c r="F242" s="3527">
        <f>ROUND(SUM(F250),3)</f>
        <v>0.4</v>
      </c>
      <c r="G242" s="3542">
        <f>ROUND(SUM(H245:H248)/F242,2)</f>
        <v>0</v>
      </c>
      <c r="H242" s="3904">
        <f t="shared" ref="H242" si="48">ROUND(F242*G242,2)</f>
        <v>0</v>
      </c>
      <c r="I242" s="3925"/>
      <c r="J242" s="4507" t="s">
        <v>60</v>
      </c>
      <c r="K242" s="5040"/>
      <c r="M242" s="5060"/>
    </row>
    <row r="243" spans="1:43" s="2617" customFormat="1" ht="13.5" customHeight="1">
      <c r="A243" s="3672"/>
      <c r="B243" s="3526"/>
      <c r="C243" s="3526"/>
      <c r="D243" s="3543" t="s">
        <v>9192</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9092</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9183</v>
      </c>
      <c r="D245" s="3548" t="s">
        <v>9193</v>
      </c>
      <c r="E245" s="3547" t="s">
        <v>141</v>
      </c>
      <c r="F245" s="3530">
        <f>F242</f>
        <v>0.4</v>
      </c>
      <c r="G245" s="3549"/>
      <c r="H245" s="3909">
        <f t="shared" ref="H245:H248" si="49">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9185</v>
      </c>
      <c r="D246" s="3548" t="s">
        <v>9194</v>
      </c>
      <c r="E246" s="3547" t="s">
        <v>141</v>
      </c>
      <c r="F246" s="3530">
        <f>(0.4)*1.05</f>
        <v>0.42000000000000004</v>
      </c>
      <c r="G246" s="3549"/>
      <c r="H246" s="3909">
        <f t="shared" si="49"/>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9195</v>
      </c>
      <c r="E247" s="3547" t="s">
        <v>611</v>
      </c>
      <c r="F247" s="3530">
        <f xml:space="preserve"> (0.4)*0.955</f>
        <v>0.38200000000000001</v>
      </c>
      <c r="G247" s="3549"/>
      <c r="H247" s="3909">
        <f t="shared" si="49"/>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9096</v>
      </c>
      <c r="D248" s="3552" t="s">
        <v>9196</v>
      </c>
      <c r="E248" s="3551" t="s">
        <v>611</v>
      </c>
      <c r="F248" s="3553">
        <f>((0.4)*0.955)*1.1</f>
        <v>0.42020000000000002</v>
      </c>
      <c r="G248" s="3554"/>
      <c r="H248" s="3910">
        <f t="shared" si="49"/>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9189</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9197</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8132</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10136</v>
      </c>
      <c r="D252" s="3526" t="s">
        <v>9199</v>
      </c>
      <c r="E252" s="3526" t="s">
        <v>141</v>
      </c>
      <c r="F252" s="3527">
        <f>ROUND(SUM(F260),3)</f>
        <v>30.59</v>
      </c>
      <c r="G252" s="3542">
        <f>ROUND(SUM(H255:H258)/F252,2)</f>
        <v>0</v>
      </c>
      <c r="H252" s="3904">
        <f t="shared" ref="H252" si="50">ROUND(F252*G252,2)</f>
        <v>0</v>
      </c>
      <c r="I252" s="3925"/>
      <c r="J252" s="4507" t="s">
        <v>60</v>
      </c>
      <c r="K252" s="5040"/>
      <c r="M252" s="5060"/>
    </row>
    <row r="253" spans="1:43" s="2617" customFormat="1" ht="13.5" customHeight="1">
      <c r="A253" s="3672"/>
      <c r="B253" s="3526"/>
      <c r="C253" s="3526"/>
      <c r="D253" s="3543" t="s">
        <v>9200</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8119</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9183</v>
      </c>
      <c r="D255" s="3548" t="s">
        <v>9201</v>
      </c>
      <c r="E255" s="3547" t="s">
        <v>141</v>
      </c>
      <c r="F255" s="3530">
        <f>F252</f>
        <v>30.59</v>
      </c>
      <c r="G255" s="3549"/>
      <c r="H255" s="3909">
        <f t="shared" ref="H255:H258" si="51">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9185</v>
      </c>
      <c r="D256" s="3548" t="s">
        <v>9202</v>
      </c>
      <c r="E256" s="3547" t="s">
        <v>141</v>
      </c>
      <c r="F256" s="3530">
        <f xml:space="preserve"> (30.59)*1.05</f>
        <v>32.119500000000002</v>
      </c>
      <c r="G256" s="3549"/>
      <c r="H256" s="3909">
        <f t="shared" si="51"/>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9203</v>
      </c>
      <c r="E257" s="3547" t="s">
        <v>611</v>
      </c>
      <c r="F257" s="3530">
        <f>(30.59)*1.037</f>
        <v>31.721829999999997</v>
      </c>
      <c r="G257" s="3549"/>
      <c r="H257" s="3909">
        <f t="shared" si="51"/>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9340</v>
      </c>
      <c r="B258" s="3546"/>
      <c r="C258" s="3551" t="s">
        <v>8129</v>
      </c>
      <c r="D258" s="3552" t="s">
        <v>9204</v>
      </c>
      <c r="E258" s="3551" t="s">
        <v>611</v>
      </c>
      <c r="F258" s="3553">
        <f>((30.59)*1.037)*1.1</f>
        <v>34.894013000000001</v>
      </c>
      <c r="G258" s="3554"/>
      <c r="H258" s="3910">
        <f t="shared" si="51"/>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9205</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9206</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8132</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10137</v>
      </c>
      <c r="D262" s="3526" t="s">
        <v>9207</v>
      </c>
      <c r="E262" s="3526" t="s">
        <v>141</v>
      </c>
      <c r="F262" s="3527">
        <f>ROUND(SUM(F270),3)</f>
        <v>0.7</v>
      </c>
      <c r="G262" s="3542">
        <f>ROUND(SUM(H265:H268)/F262,2)</f>
        <v>0</v>
      </c>
      <c r="H262" s="3904">
        <f t="shared" ref="H262" si="52">ROUND(F262*G262,2)</f>
        <v>0</v>
      </c>
      <c r="I262" s="3925"/>
      <c r="J262" s="4507" t="s">
        <v>60</v>
      </c>
      <c r="K262" s="5040"/>
      <c r="M262" s="5060"/>
    </row>
    <row r="263" spans="1:43" s="2617" customFormat="1" ht="13.5" customHeight="1">
      <c r="A263" s="3672"/>
      <c r="B263" s="3526"/>
      <c r="C263" s="3526"/>
      <c r="D263" s="3543" t="s">
        <v>9208</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9092</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9183</v>
      </c>
      <c r="D265" s="3548" t="s">
        <v>9209</v>
      </c>
      <c r="E265" s="3547" t="s">
        <v>141</v>
      </c>
      <c r="F265" s="3530">
        <f>F262</f>
        <v>0.7</v>
      </c>
      <c r="G265" s="3549"/>
      <c r="H265" s="3909">
        <f t="shared" ref="H265:H268" si="53">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9185</v>
      </c>
      <c r="D266" s="3548" t="s">
        <v>9210</v>
      </c>
      <c r="E266" s="3547" t="s">
        <v>141</v>
      </c>
      <c r="F266" s="3530">
        <f>(0.7)*1.05</f>
        <v>0.73499999999999999</v>
      </c>
      <c r="G266" s="3549"/>
      <c r="H266" s="3909">
        <f t="shared" si="53"/>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9211</v>
      </c>
      <c r="E267" s="3547" t="s">
        <v>611</v>
      </c>
      <c r="F267" s="3530">
        <f>(0.7)*1.037</f>
        <v>0.72589999999999988</v>
      </c>
      <c r="G267" s="3549"/>
      <c r="H267" s="3909">
        <f t="shared" si="53"/>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9350</v>
      </c>
      <c r="B268" s="3546"/>
      <c r="C268" s="3551" t="s">
        <v>9096</v>
      </c>
      <c r="D268" s="3552" t="s">
        <v>9212</v>
      </c>
      <c r="E268" s="3551" t="s">
        <v>611</v>
      </c>
      <c r="F268" s="3553">
        <f>((0.7)*1.037)*1.1</f>
        <v>0.79848999999999992</v>
      </c>
      <c r="G268" s="3554"/>
      <c r="H268" s="3910">
        <f t="shared" si="53"/>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9205</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9213</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8132</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10138</v>
      </c>
      <c r="D272" s="3526" t="s">
        <v>9215</v>
      </c>
      <c r="E272" s="3526" t="s">
        <v>141</v>
      </c>
      <c r="F272" s="3527">
        <f>ROUND(SUM(F280),3)</f>
        <v>7.95</v>
      </c>
      <c r="G272" s="3542">
        <f>ROUND(SUM(H275:H278)/F272,2)</f>
        <v>0</v>
      </c>
      <c r="H272" s="3904">
        <f t="shared" ref="H272" si="54">ROUND(F272*G272,2)</f>
        <v>0</v>
      </c>
      <c r="I272" s="3925"/>
      <c r="J272" s="4507" t="s">
        <v>60</v>
      </c>
      <c r="K272" s="5040"/>
      <c r="M272" s="5060"/>
    </row>
    <row r="273" spans="1:43" s="2617" customFormat="1" ht="13.5" customHeight="1">
      <c r="A273" s="3672"/>
      <c r="B273" s="3526"/>
      <c r="C273" s="3526"/>
      <c r="D273" s="3543" t="s">
        <v>9216</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8119</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9217</v>
      </c>
      <c r="D275" s="3548" t="s">
        <v>9218</v>
      </c>
      <c r="E275" s="3547" t="s">
        <v>141</v>
      </c>
      <c r="F275" s="3530">
        <f>F272</f>
        <v>7.95</v>
      </c>
      <c r="G275" s="3549"/>
      <c r="H275" s="3909">
        <f t="shared" ref="H275:H278" si="55">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9219</v>
      </c>
      <c r="D276" s="3548" t="s">
        <v>9220</v>
      </c>
      <c r="E276" s="3547" t="s">
        <v>141</v>
      </c>
      <c r="F276" s="3530">
        <f>(7.95)*1.05</f>
        <v>8.3475000000000001</v>
      </c>
      <c r="G276" s="3549"/>
      <c r="H276" s="3909">
        <f t="shared" si="55"/>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9221</v>
      </c>
      <c r="E277" s="3547" t="s">
        <v>611</v>
      </c>
      <c r="F277" s="3530">
        <f>(7.95)*1.241</f>
        <v>9.8659500000000016</v>
      </c>
      <c r="G277" s="3549"/>
      <c r="H277" s="3909">
        <f t="shared" si="55"/>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8129</v>
      </c>
      <c r="D278" s="3552" t="s">
        <v>9222</v>
      </c>
      <c r="E278" s="3551" t="s">
        <v>611</v>
      </c>
      <c r="F278" s="3553">
        <f>((7.95)*1.241)*1.1</f>
        <v>10.852545000000003</v>
      </c>
      <c r="G278" s="3554"/>
      <c r="H278" s="3910">
        <f t="shared" si="55"/>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9223</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9224</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8132</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10139</v>
      </c>
      <c r="D282" s="3526" t="s">
        <v>9226</v>
      </c>
      <c r="E282" s="3526" t="s">
        <v>141</v>
      </c>
      <c r="F282" s="3527">
        <f>ROUND(SUM(F290),3)</f>
        <v>1.27</v>
      </c>
      <c r="G282" s="3542">
        <f>ROUND(SUM(H285:H288)/F282,2)</f>
        <v>0</v>
      </c>
      <c r="H282" s="3904">
        <f t="shared" ref="H282" si="56">ROUND(F282*G282,2)</f>
        <v>0</v>
      </c>
      <c r="I282" s="3925"/>
      <c r="J282" s="4507" t="s">
        <v>60</v>
      </c>
      <c r="K282" s="5040"/>
      <c r="M282" s="5060"/>
    </row>
    <row r="283" spans="1:43" s="2617" customFormat="1" ht="13.5" customHeight="1">
      <c r="A283" s="3672"/>
      <c r="B283" s="3526"/>
      <c r="C283" s="3526"/>
      <c r="D283" s="3543" t="s">
        <v>9227</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8119</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9228</v>
      </c>
      <c r="D285" s="3548" t="s">
        <v>9229</v>
      </c>
      <c r="E285" s="3547" t="s">
        <v>141</v>
      </c>
      <c r="F285" s="3530">
        <f>F282</f>
        <v>1.27</v>
      </c>
      <c r="G285" s="3549"/>
      <c r="H285" s="3909">
        <f t="shared" ref="H285:H288" si="57">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9230</v>
      </c>
      <c r="D286" s="3548" t="s">
        <v>9231</v>
      </c>
      <c r="E286" s="3547" t="s">
        <v>141</v>
      </c>
      <c r="F286" s="3530">
        <f xml:space="preserve"> (1.27)*1.05</f>
        <v>1.3335000000000001</v>
      </c>
      <c r="G286" s="3549"/>
      <c r="H286" s="3909">
        <f t="shared" si="57"/>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9232</v>
      </c>
      <c r="E287" s="3547" t="s">
        <v>611</v>
      </c>
      <c r="F287" s="3530">
        <f>(1.27)*2.011</f>
        <v>2.5539700000000001</v>
      </c>
      <c r="G287" s="3549"/>
      <c r="H287" s="3909">
        <f t="shared" si="57"/>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8129</v>
      </c>
      <c r="D288" s="3552" t="s">
        <v>9233</v>
      </c>
      <c r="E288" s="3551" t="s">
        <v>611</v>
      </c>
      <c r="F288" s="3553">
        <f>((1.27)*2.011)*1.1</f>
        <v>2.8093670000000004</v>
      </c>
      <c r="G288" s="3554"/>
      <c r="H288" s="3910">
        <f t="shared" si="57"/>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9234</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9235</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8132</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8116</v>
      </c>
      <c r="D292" s="3526" t="s">
        <v>9236</v>
      </c>
      <c r="E292" s="3526" t="s">
        <v>141</v>
      </c>
      <c r="F292" s="3527">
        <f>ROUND(SUM(F300),3)</f>
        <v>22.05</v>
      </c>
      <c r="G292" s="3542">
        <f>ROUND(SUM(H295:H298)/F292,2)</f>
        <v>0</v>
      </c>
      <c r="H292" s="3904">
        <f t="shared" ref="H292" si="58">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9237</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8119</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9238</v>
      </c>
      <c r="D295" s="3548" t="s">
        <v>9239</v>
      </c>
      <c r="E295" s="3547" t="s">
        <v>141</v>
      </c>
      <c r="F295" s="3530">
        <f>F292</f>
        <v>22.05</v>
      </c>
      <c r="G295" s="3549"/>
      <c r="H295" s="3909">
        <f t="shared" ref="H295:H298" si="59">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9240</v>
      </c>
      <c r="D296" s="3548" t="s">
        <v>9241</v>
      </c>
      <c r="E296" s="3547" t="s">
        <v>141</v>
      </c>
      <c r="F296" s="3530">
        <f>(22.05)*1.05</f>
        <v>23.152500000000003</v>
      </c>
      <c r="G296" s="3549"/>
      <c r="H296" s="3909">
        <f t="shared" si="59"/>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9242</v>
      </c>
      <c r="E297" s="3547" t="s">
        <v>611</v>
      </c>
      <c r="F297" s="3530">
        <f>(22.05)*0.96</f>
        <v>21.167999999999999</v>
      </c>
      <c r="G297" s="3549"/>
      <c r="H297" s="3909">
        <f t="shared" si="59"/>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8129</v>
      </c>
      <c r="D298" s="3552" t="s">
        <v>9243</v>
      </c>
      <c r="E298" s="3551" t="s">
        <v>611</v>
      </c>
      <c r="F298" s="3553">
        <f>((22.05)*0.96)*1.1</f>
        <v>23.284800000000001</v>
      </c>
      <c r="G298" s="3554"/>
      <c r="H298" s="3910">
        <f t="shared" si="59"/>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9244</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9245</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8132</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8134</v>
      </c>
      <c r="D302" s="3526" t="s">
        <v>9246</v>
      </c>
      <c r="E302" s="3526" t="s">
        <v>141</v>
      </c>
      <c r="F302" s="3527">
        <f>ROUND(SUM(F310),3)</f>
        <v>26.4</v>
      </c>
      <c r="G302" s="3542">
        <f>ROUND(SUM(H305:H308)/F302,2)</f>
        <v>0</v>
      </c>
      <c r="H302" s="3904">
        <f t="shared" ref="H302" si="60">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9247</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9092</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9238</v>
      </c>
      <c r="D305" s="3548" t="s">
        <v>9248</v>
      </c>
      <c r="E305" s="3547" t="s">
        <v>141</v>
      </c>
      <c r="F305" s="3530">
        <f>F302</f>
        <v>26.4</v>
      </c>
      <c r="G305" s="3549"/>
      <c r="H305" s="3909">
        <f t="shared" ref="H305:H308" si="61">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9240</v>
      </c>
      <c r="D306" s="3548" t="s">
        <v>9249</v>
      </c>
      <c r="E306" s="3547" t="s">
        <v>141</v>
      </c>
      <c r="F306" s="3530">
        <f xml:space="preserve"> (26.4)*1.05</f>
        <v>27.72</v>
      </c>
      <c r="G306" s="3549"/>
      <c r="H306" s="3909">
        <f t="shared" si="61"/>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9250</v>
      </c>
      <c r="E307" s="3547" t="s">
        <v>611</v>
      </c>
      <c r="F307" s="3530">
        <f>(26.4)*0.96</f>
        <v>25.343999999999998</v>
      </c>
      <c r="G307" s="3549"/>
      <c r="H307" s="3909">
        <f t="shared" si="61"/>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9096</v>
      </c>
      <c r="D308" s="3552" t="s">
        <v>9251</v>
      </c>
      <c r="E308" s="3551" t="s">
        <v>611</v>
      </c>
      <c r="F308" s="3553">
        <f>((26.4)*0.96)*1.1</f>
        <v>27.878399999999999</v>
      </c>
      <c r="G308" s="3554"/>
      <c r="H308" s="3910">
        <f t="shared" si="61"/>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9252</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9253</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8132</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8148</v>
      </c>
      <c r="D312" s="3526" t="s">
        <v>9254</v>
      </c>
      <c r="E312" s="3526" t="s">
        <v>141</v>
      </c>
      <c r="F312" s="3527">
        <f>ROUND(SUM(F320),3)</f>
        <v>6.6</v>
      </c>
      <c r="G312" s="3542">
        <f>ROUND(SUM(H315:H318)/F312,2)</f>
        <v>0</v>
      </c>
      <c r="H312" s="3904">
        <f t="shared" ref="H312" si="62">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9255</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9092</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9238</v>
      </c>
      <c r="D315" s="3548" t="s">
        <v>9256</v>
      </c>
      <c r="E315" s="3547" t="s">
        <v>141</v>
      </c>
      <c r="F315" s="3530">
        <f>F312</f>
        <v>6.6</v>
      </c>
      <c r="G315" s="3549"/>
      <c r="H315" s="3909">
        <f t="shared" ref="H315:H318" si="63">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9240</v>
      </c>
      <c r="D316" s="3548" t="s">
        <v>9257</v>
      </c>
      <c r="E316" s="3547" t="s">
        <v>141</v>
      </c>
      <c r="F316" s="3530">
        <f>(6.6)*1.05</f>
        <v>6.93</v>
      </c>
      <c r="G316" s="3549"/>
      <c r="H316" s="3909">
        <f t="shared" si="63"/>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9258</v>
      </c>
      <c r="E317" s="3547" t="s">
        <v>611</v>
      </c>
      <c r="F317" s="3530">
        <f>(6.6)*1.06</f>
        <v>6.9959999999999996</v>
      </c>
      <c r="G317" s="3549"/>
      <c r="H317" s="3909">
        <f t="shared" si="63"/>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9096</v>
      </c>
      <c r="D318" s="3552" t="s">
        <v>9259</v>
      </c>
      <c r="E318" s="3551" t="s">
        <v>611</v>
      </c>
      <c r="F318" s="3553">
        <f>((6.6)*1.06)*1.1</f>
        <v>7.6955999999999998</v>
      </c>
      <c r="G318" s="3554"/>
      <c r="H318" s="3910">
        <f t="shared" si="63"/>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9260</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9261</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8132</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9270</v>
      </c>
      <c r="D322" s="3526" t="s">
        <v>9262</v>
      </c>
      <c r="E322" s="3526" t="s">
        <v>141</v>
      </c>
      <c r="F322" s="3527">
        <f>ROUND(SUM(F330),3)</f>
        <v>2.1800000000000002</v>
      </c>
      <c r="G322" s="3542">
        <f>ROUND(SUM(H325:H328)/F322,2)</f>
        <v>0</v>
      </c>
      <c r="H322" s="3904">
        <f t="shared" ref="H322" si="64">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9263</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8119</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8121</v>
      </c>
      <c r="D325" s="3548" t="s">
        <v>9264</v>
      </c>
      <c r="E325" s="3547" t="s">
        <v>141</v>
      </c>
      <c r="F325" s="3530">
        <f>F322</f>
        <v>2.1800000000000002</v>
      </c>
      <c r="G325" s="3549"/>
      <c r="H325" s="3909">
        <f t="shared" ref="H325:H328" si="65">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8124</v>
      </c>
      <c r="D326" s="3548" t="s">
        <v>9265</v>
      </c>
      <c r="E326" s="3547" t="s">
        <v>141</v>
      </c>
      <c r="F326" s="3530">
        <f>(2.18)*1.05</f>
        <v>2.2890000000000001</v>
      </c>
      <c r="G326" s="3549"/>
      <c r="H326" s="3909">
        <f t="shared" si="65"/>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9266</v>
      </c>
      <c r="E327" s="3547" t="s">
        <v>611</v>
      </c>
      <c r="F327" s="3530">
        <f>(2.18)*1.36</f>
        <v>2.9648000000000003</v>
      </c>
      <c r="G327" s="3549"/>
      <c r="H327" s="3909">
        <f t="shared" si="65"/>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8129</v>
      </c>
      <c r="D328" s="3552" t="s">
        <v>9267</v>
      </c>
      <c r="E328" s="3551" t="s">
        <v>611</v>
      </c>
      <c r="F328" s="3553">
        <f>((2.18)*1.36)*1.1</f>
        <v>3.2612800000000006</v>
      </c>
      <c r="G328" s="3554"/>
      <c r="H328" s="3910">
        <f t="shared" si="65"/>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9268</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9269</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8132</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9279</v>
      </c>
      <c r="D332" s="3526" t="s">
        <v>9271</v>
      </c>
      <c r="E332" s="3526" t="s">
        <v>141</v>
      </c>
      <c r="F332" s="3527">
        <f>ROUND(SUM(F340),3)</f>
        <v>14.06</v>
      </c>
      <c r="G332" s="3542">
        <f>ROUND(SUM(H335:H338)/F332,2)</f>
        <v>0</v>
      </c>
      <c r="H332" s="3904">
        <f t="shared" ref="H332" si="66">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9272</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8119</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9238</v>
      </c>
      <c r="D335" s="3548" t="s">
        <v>9273</v>
      </c>
      <c r="E335" s="3547" t="s">
        <v>141</v>
      </c>
      <c r="F335" s="3530">
        <f>F332</f>
        <v>14.06</v>
      </c>
      <c r="G335" s="3549"/>
      <c r="H335" s="3909">
        <f t="shared" ref="H335:H338" si="67">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9240</v>
      </c>
      <c r="D336" s="3548" t="s">
        <v>9274</v>
      </c>
      <c r="E336" s="3547" t="s">
        <v>141</v>
      </c>
      <c r="F336" s="3530">
        <f>(14.06)*1.05</f>
        <v>14.763000000000002</v>
      </c>
      <c r="G336" s="3549"/>
      <c r="H336" s="3909">
        <f t="shared" si="67"/>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9275</v>
      </c>
      <c r="E337" s="3547" t="s">
        <v>611</v>
      </c>
      <c r="F337" s="3530">
        <f>(14.06)*0.96</f>
        <v>13.4976</v>
      </c>
      <c r="G337" s="3549"/>
      <c r="H337" s="3909">
        <f t="shared" si="67"/>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8129</v>
      </c>
      <c r="D338" s="3552" t="s">
        <v>9276</v>
      </c>
      <c r="E338" s="3551" t="s">
        <v>611</v>
      </c>
      <c r="F338" s="3553">
        <f>((14.06)*0.96)*1.1</f>
        <v>14.847360000000002</v>
      </c>
      <c r="G338" s="3554"/>
      <c r="H338" s="3910">
        <f t="shared" si="67"/>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9277</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9278</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8132</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9296</v>
      </c>
      <c r="D342" s="3526" t="s">
        <v>9280</v>
      </c>
      <c r="E342" s="3526" t="s">
        <v>141</v>
      </c>
      <c r="F342" s="3527">
        <f>ROUND(SUM(F350),3)</f>
        <v>39.71</v>
      </c>
      <c r="G342" s="3542">
        <f>ROUND(SUM(H345:H348)/F342,2)</f>
        <v>0</v>
      </c>
      <c r="H342" s="3904">
        <f t="shared" ref="H342" si="68">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9281</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8119</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9238</v>
      </c>
      <c r="D345" s="3548" t="s">
        <v>9282</v>
      </c>
      <c r="E345" s="3547" t="s">
        <v>141</v>
      </c>
      <c r="F345" s="3530">
        <f>F342</f>
        <v>39.71</v>
      </c>
      <c r="G345" s="3549"/>
      <c r="H345" s="3909">
        <f t="shared" ref="H345:H348" si="69">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9240</v>
      </c>
      <c r="D346" s="3548" t="s">
        <v>9283</v>
      </c>
      <c r="E346" s="3547" t="s">
        <v>141</v>
      </c>
      <c r="F346" s="3530">
        <f>(39.71)*1.05</f>
        <v>41.695500000000003</v>
      </c>
      <c r="G346" s="3549"/>
      <c r="H346" s="3909">
        <f t="shared" si="69"/>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9284</v>
      </c>
      <c r="E347" s="3547" t="s">
        <v>611</v>
      </c>
      <c r="F347" s="3530">
        <f>(39.71)*1.06</f>
        <v>42.092600000000004</v>
      </c>
      <c r="G347" s="3549"/>
      <c r="H347" s="3909">
        <f t="shared" si="69"/>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8129</v>
      </c>
      <c r="D348" s="3552" t="s">
        <v>9285</v>
      </c>
      <c r="E348" s="3551" t="s">
        <v>611</v>
      </c>
      <c r="F348" s="3553">
        <f>((39.71)*1.06)*1.1</f>
        <v>46.301860000000012</v>
      </c>
      <c r="G348" s="3554"/>
      <c r="H348" s="3910">
        <f t="shared" si="69"/>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9286</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9287</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8132</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9306</v>
      </c>
      <c r="D352" s="3526" t="s">
        <v>9288</v>
      </c>
      <c r="E352" s="3526" t="s">
        <v>141</v>
      </c>
      <c r="F352" s="3527">
        <f>ROUND(SUM(F360),3)</f>
        <v>30.7</v>
      </c>
      <c r="G352" s="3542">
        <f>ROUND(SUM(H355:H358)/F352,2)</f>
        <v>0</v>
      </c>
      <c r="H352" s="3904">
        <f t="shared" ref="H352" si="70">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9289</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9092</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9238</v>
      </c>
      <c r="D355" s="3548" t="s">
        <v>9290</v>
      </c>
      <c r="E355" s="3547" t="s">
        <v>141</v>
      </c>
      <c r="F355" s="3530">
        <f>F352</f>
        <v>30.7</v>
      </c>
      <c r="G355" s="3549"/>
      <c r="H355" s="3909">
        <f t="shared" ref="H355:H358" si="71">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9240</v>
      </c>
      <c r="D356" s="3548" t="s">
        <v>9291</v>
      </c>
      <c r="E356" s="3547" t="s">
        <v>141</v>
      </c>
      <c r="F356" s="3530">
        <f xml:space="preserve"> (31.7)*1.05</f>
        <v>33.285000000000004</v>
      </c>
      <c r="G356" s="3549"/>
      <c r="H356" s="3909">
        <f t="shared" si="71"/>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9292</v>
      </c>
      <c r="E357" s="3547" t="s">
        <v>611</v>
      </c>
      <c r="F357" s="3530">
        <f>(30.7)*1.06</f>
        <v>32.542000000000002</v>
      </c>
      <c r="G357" s="3549"/>
      <c r="H357" s="3909">
        <f t="shared" si="71"/>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9096</v>
      </c>
      <c r="D358" s="3552" t="s">
        <v>9293</v>
      </c>
      <c r="E358" s="3551" t="s">
        <v>611</v>
      </c>
      <c r="F358" s="3553">
        <f>((30.7)*1.06)*1.1</f>
        <v>35.796200000000006</v>
      </c>
      <c r="G358" s="3554"/>
      <c r="H358" s="3910">
        <f t="shared" si="71"/>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9294</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9295</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8132</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9315</v>
      </c>
      <c r="D362" s="3526" t="s">
        <v>9297</v>
      </c>
      <c r="E362" s="3526" t="s">
        <v>141</v>
      </c>
      <c r="F362" s="3527">
        <f>ROUND(SUM(F370),3)</f>
        <v>7.98</v>
      </c>
      <c r="G362" s="3542">
        <f>ROUND(SUM(H365:H368)/F362,2)</f>
        <v>0</v>
      </c>
      <c r="H362" s="3904">
        <f t="shared" ref="H362" si="72">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9298</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8119</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8138</v>
      </c>
      <c r="D365" s="3548" t="s">
        <v>9299</v>
      </c>
      <c r="E365" s="3547" t="s">
        <v>141</v>
      </c>
      <c r="F365" s="3530">
        <f>F362</f>
        <v>7.98</v>
      </c>
      <c r="G365" s="3549"/>
      <c r="H365" s="3909">
        <f t="shared" ref="H365:H368" si="73">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9300</v>
      </c>
      <c r="D366" s="3548" t="s">
        <v>9301</v>
      </c>
      <c r="E366" s="3547" t="s">
        <v>141</v>
      </c>
      <c r="F366" s="3530">
        <f xml:space="preserve"> (7.98)*1.05</f>
        <v>8.3790000000000013</v>
      </c>
      <c r="G366" s="3549"/>
      <c r="H366" s="3909">
        <f t="shared" si="73"/>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9302</v>
      </c>
      <c r="E367" s="3547" t="s">
        <v>611</v>
      </c>
      <c r="F367" s="3530">
        <f xml:space="preserve"> (7.98)*1.92</f>
        <v>15.3216</v>
      </c>
      <c r="G367" s="3549"/>
      <c r="H367" s="3909">
        <f t="shared" si="73"/>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8129</v>
      </c>
      <c r="D368" s="3552" t="s">
        <v>9303</v>
      </c>
      <c r="E368" s="3551" t="s">
        <v>611</v>
      </c>
      <c r="F368" s="3553">
        <f>((7.98)*1.92)*1.1</f>
        <v>16.853760000000001</v>
      </c>
      <c r="G368" s="3554"/>
      <c r="H368" s="3910">
        <f t="shared" si="73"/>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9304</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9305</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8132</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9332</v>
      </c>
      <c r="D372" s="3526" t="s">
        <v>9307</v>
      </c>
      <c r="E372" s="3526" t="s">
        <v>141</v>
      </c>
      <c r="F372" s="3527">
        <f>ROUND(SUM(F380),3)</f>
        <v>5.6</v>
      </c>
      <c r="G372" s="3542">
        <f>ROUND(SUM(H375:H378)/F372,2)</f>
        <v>0</v>
      </c>
      <c r="H372" s="3904">
        <f t="shared" ref="H372" si="74">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9308</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8119</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8138</v>
      </c>
      <c r="D375" s="3548" t="s">
        <v>9309</v>
      </c>
      <c r="E375" s="3547" t="s">
        <v>141</v>
      </c>
      <c r="F375" s="3530">
        <f>F372</f>
        <v>5.6</v>
      </c>
      <c r="G375" s="3549"/>
      <c r="H375" s="3909">
        <f t="shared" ref="H375:H378" si="75">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9300</v>
      </c>
      <c r="D376" s="3548" t="s">
        <v>9310</v>
      </c>
      <c r="E376" s="3547" t="s">
        <v>141</v>
      </c>
      <c r="F376" s="3530">
        <f>(5.6)*1.05</f>
        <v>5.88</v>
      </c>
      <c r="G376" s="3549"/>
      <c r="H376" s="3909">
        <f t="shared" si="75"/>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9311</v>
      </c>
      <c r="E377" s="3547" t="s">
        <v>611</v>
      </c>
      <c r="F377" s="3530">
        <f xml:space="preserve"> (5.6)*2.66</f>
        <v>14.895999999999999</v>
      </c>
      <c r="G377" s="3549"/>
      <c r="H377" s="3909">
        <f t="shared" si="75"/>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8129</v>
      </c>
      <c r="D378" s="3552" t="s">
        <v>9312</v>
      </c>
      <c r="E378" s="3551" t="s">
        <v>611</v>
      </c>
      <c r="F378" s="3553">
        <f>((5.6)*2.66)*1.1</f>
        <v>16.3856</v>
      </c>
      <c r="G378" s="3554"/>
      <c r="H378" s="3910">
        <f t="shared" si="75"/>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9313</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9314</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8132</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9344</v>
      </c>
      <c r="D382" s="3526" t="s">
        <v>9316</v>
      </c>
      <c r="E382" s="3526" t="s">
        <v>141</v>
      </c>
      <c r="F382" s="3527">
        <f>ROUND(SUM(F390),3)</f>
        <v>1.55</v>
      </c>
      <c r="G382" s="3542">
        <f>ROUND(SUM(H385:H388)/F382,2)</f>
        <v>0</v>
      </c>
      <c r="H382" s="3904">
        <f t="shared" ref="H382" si="76">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9317</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8119</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9238</v>
      </c>
      <c r="D385" s="3548" t="s">
        <v>9318</v>
      </c>
      <c r="E385" s="3547" t="s">
        <v>141</v>
      </c>
      <c r="F385" s="3530">
        <f>F382</f>
        <v>1.55</v>
      </c>
      <c r="G385" s="3549"/>
      <c r="H385" s="3909">
        <f t="shared" ref="H385:H388" si="77">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9240</v>
      </c>
      <c r="D386" s="3548" t="s">
        <v>9319</v>
      </c>
      <c r="E386" s="3547" t="s">
        <v>141</v>
      </c>
      <c r="F386" s="3530">
        <f xml:space="preserve"> (1.55)*1.05</f>
        <v>1.6275000000000002</v>
      </c>
      <c r="G386" s="3549"/>
      <c r="H386" s="3909">
        <f t="shared" si="77"/>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9320</v>
      </c>
      <c r="E387" s="3547" t="s">
        <v>611</v>
      </c>
      <c r="F387" s="3530">
        <f xml:space="preserve"> (1.55)*1.12</f>
        <v>1.7360000000000002</v>
      </c>
      <c r="G387" s="3549"/>
      <c r="H387" s="3909">
        <f t="shared" si="77"/>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8129</v>
      </c>
      <c r="D388" s="3552" t="s">
        <v>9321</v>
      </c>
      <c r="E388" s="3551" t="s">
        <v>611</v>
      </c>
      <c r="F388" s="3553">
        <f>((1.55)*1.12)*1.1</f>
        <v>1.9096000000000004</v>
      </c>
      <c r="G388" s="3554"/>
      <c r="H388" s="3910">
        <f t="shared" si="77"/>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9322</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9323</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8132</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9354</v>
      </c>
      <c r="D392" s="3526" t="s">
        <v>9324</v>
      </c>
      <c r="E392" s="3526" t="s">
        <v>141</v>
      </c>
      <c r="F392" s="3527">
        <f>ROUND(SUM(F400),3)</f>
        <v>5.9</v>
      </c>
      <c r="G392" s="3542">
        <f>ROUND(SUM(H395:H398)/F392,2)</f>
        <v>0</v>
      </c>
      <c r="H392" s="3904">
        <f t="shared" ref="H392" si="78">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9325</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9092</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9238</v>
      </c>
      <c r="D395" s="3548" t="s">
        <v>9326</v>
      </c>
      <c r="E395" s="3547" t="s">
        <v>141</v>
      </c>
      <c r="F395" s="3530">
        <f>F392</f>
        <v>5.9</v>
      </c>
      <c r="G395" s="3549"/>
      <c r="H395" s="3909">
        <f t="shared" ref="H395:H398" si="79">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9240</v>
      </c>
      <c r="D396" s="3548" t="s">
        <v>9327</v>
      </c>
      <c r="E396" s="3547" t="s">
        <v>141</v>
      </c>
      <c r="F396" s="3530">
        <f>(5.9)*1.05</f>
        <v>6.1950000000000003</v>
      </c>
      <c r="G396" s="3549"/>
      <c r="H396" s="3909">
        <f t="shared" si="79"/>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9328</v>
      </c>
      <c r="E397" s="3547" t="s">
        <v>611</v>
      </c>
      <c r="F397" s="3530">
        <f xml:space="preserve"> (5.9)*1.12</f>
        <v>6.6080000000000014</v>
      </c>
      <c r="G397" s="3549"/>
      <c r="H397" s="3909">
        <f t="shared" si="79"/>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9096</v>
      </c>
      <c r="D398" s="3552" t="s">
        <v>9329</v>
      </c>
      <c r="E398" s="3551" t="s">
        <v>611</v>
      </c>
      <c r="F398" s="3553">
        <f>((5.9)*1.12)*1.1</f>
        <v>7.2688000000000024</v>
      </c>
      <c r="G398" s="3554"/>
      <c r="H398" s="3910">
        <f t="shared" si="79"/>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9330</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9331</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8132</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9363</v>
      </c>
      <c r="D402" s="3526" t="s">
        <v>9333</v>
      </c>
      <c r="E402" s="3526" t="s">
        <v>141</v>
      </c>
      <c r="F402" s="3527">
        <f>ROUND(SUM(F410),3)</f>
        <v>1.35</v>
      </c>
      <c r="G402" s="3542">
        <f>ROUND(SUM(H405:H408)/F402,2)</f>
        <v>0</v>
      </c>
      <c r="H402" s="3904">
        <f t="shared" ref="H402" si="80">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9334</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8119</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9335</v>
      </c>
      <c r="D405" s="3548" t="s">
        <v>9336</v>
      </c>
      <c r="E405" s="3547" t="s">
        <v>141</v>
      </c>
      <c r="F405" s="3530">
        <f>F402</f>
        <v>1.35</v>
      </c>
      <c r="G405" s="3549"/>
      <c r="H405" s="3909">
        <f t="shared" ref="H405:H408" si="81">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9337</v>
      </c>
      <c r="D406" s="3548" t="s">
        <v>9338</v>
      </c>
      <c r="E406" s="3547" t="s">
        <v>141</v>
      </c>
      <c r="F406" s="3530">
        <f>(1.35)*1.05</f>
        <v>1.4175000000000002</v>
      </c>
      <c r="G406" s="3549"/>
      <c r="H406" s="3909">
        <f t="shared" si="81"/>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9339</v>
      </c>
      <c r="E407" s="3547" t="s">
        <v>611</v>
      </c>
      <c r="F407" s="3530">
        <f>(1.35)*0.96</f>
        <v>1.296</v>
      </c>
      <c r="G407" s="3549"/>
      <c r="H407" s="3909">
        <f t="shared" si="81"/>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8129</v>
      </c>
      <c r="D408" s="3552" t="s">
        <v>9341</v>
      </c>
      <c r="E408" s="3551" t="s">
        <v>611</v>
      </c>
      <c r="F408" s="3553">
        <f>((1.35)*0.96)*1.1</f>
        <v>1.4256000000000002</v>
      </c>
      <c r="G408" s="3554"/>
      <c r="H408" s="3910">
        <f t="shared" si="81"/>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9342</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9343</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8132</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9387</v>
      </c>
      <c r="D412" s="3526" t="s">
        <v>9345</v>
      </c>
      <c r="E412" s="3526" t="s">
        <v>141</v>
      </c>
      <c r="F412" s="3527">
        <f>ROUND(SUM(F420),3)</f>
        <v>12.8</v>
      </c>
      <c r="G412" s="3542">
        <f>ROUND(SUM(H415:H418)/F412,2)</f>
        <v>0</v>
      </c>
      <c r="H412" s="3904">
        <f t="shared" ref="H412" si="82">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9346</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8119</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9238</v>
      </c>
      <c r="D415" s="3548" t="s">
        <v>9347</v>
      </c>
      <c r="E415" s="3547" t="s">
        <v>141</v>
      </c>
      <c r="F415" s="3530">
        <f>F412</f>
        <v>12.8</v>
      </c>
      <c r="G415" s="3549"/>
      <c r="H415" s="3909">
        <f t="shared" ref="H415:H418" si="83">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9240</v>
      </c>
      <c r="D416" s="3548" t="s">
        <v>9348</v>
      </c>
      <c r="E416" s="3547" t="s">
        <v>141</v>
      </c>
      <c r="F416" s="3530">
        <f xml:space="preserve"> (12.8)*1.05</f>
        <v>13.440000000000001</v>
      </c>
      <c r="G416" s="3549"/>
      <c r="H416" s="3909">
        <f t="shared" si="83"/>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9349</v>
      </c>
      <c r="E417" s="3547" t="s">
        <v>611</v>
      </c>
      <c r="F417" s="3530">
        <f>(12.8)*1.16</f>
        <v>14.847999999999999</v>
      </c>
      <c r="G417" s="3549"/>
      <c r="H417" s="3909">
        <f t="shared" si="83"/>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8129</v>
      </c>
      <c r="D418" s="3552" t="s">
        <v>9351</v>
      </c>
      <c r="E418" s="3551" t="s">
        <v>611</v>
      </c>
      <c r="F418" s="3553">
        <f>((12.8)*1.16)*1.1</f>
        <v>16.332799999999999</v>
      </c>
      <c r="G418" s="3554"/>
      <c r="H418" s="3910">
        <f t="shared" si="83"/>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9352</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9353</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8132</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9396</v>
      </c>
      <c r="D422" s="3526" t="s">
        <v>9355</v>
      </c>
      <c r="E422" s="3526" t="s">
        <v>141</v>
      </c>
      <c r="F422" s="3527">
        <f>ROUND(SUM(F430),3)</f>
        <v>77.8</v>
      </c>
      <c r="G422" s="3542">
        <f>ROUND(SUM(H425:H428)/F422,2)</f>
        <v>0</v>
      </c>
      <c r="H422" s="3904">
        <f t="shared" ref="H422" si="84">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9356</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8119</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8014</v>
      </c>
      <c r="B425" s="3546"/>
      <c r="C425" s="3547" t="s">
        <v>9238</v>
      </c>
      <c r="D425" s="3548" t="s">
        <v>9357</v>
      </c>
      <c r="E425" s="3547" t="s">
        <v>141</v>
      </c>
      <c r="F425" s="3530">
        <f>F422</f>
        <v>77.8</v>
      </c>
      <c r="G425" s="3549"/>
      <c r="H425" s="3909">
        <f t="shared" ref="H425:H428" si="85">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8017</v>
      </c>
      <c r="B426" s="3546"/>
      <c r="C426" s="3547" t="s">
        <v>9240</v>
      </c>
      <c r="D426" s="3548" t="s">
        <v>9358</v>
      </c>
      <c r="E426" s="3547" t="s">
        <v>141</v>
      </c>
      <c r="F426" s="3530">
        <f>(77.8)*1.05</f>
        <v>81.69</v>
      </c>
      <c r="G426" s="3549"/>
      <c r="H426" s="3909">
        <f t="shared" si="85"/>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8020</v>
      </c>
      <c r="B427" s="3546"/>
      <c r="C427" s="3547">
        <v>713411121</v>
      </c>
      <c r="D427" s="3548" t="s">
        <v>9359</v>
      </c>
      <c r="E427" s="3547" t="s">
        <v>611</v>
      </c>
      <c r="F427" s="3530">
        <f>(77.8)*1.09</f>
        <v>84.802000000000007</v>
      </c>
      <c r="G427" s="3549"/>
      <c r="H427" s="3909">
        <f t="shared" si="85"/>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8022</v>
      </c>
      <c r="B428" s="3546"/>
      <c r="C428" s="3551" t="s">
        <v>8129</v>
      </c>
      <c r="D428" s="3552" t="s">
        <v>9360</v>
      </c>
      <c r="E428" s="3551" t="s">
        <v>611</v>
      </c>
      <c r="F428" s="3553">
        <f xml:space="preserve"> ((77.8)*1.09)*1.1</f>
        <v>93.282200000000017</v>
      </c>
      <c r="G428" s="3554"/>
      <c r="H428" s="3910">
        <f t="shared" si="85"/>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9361</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9362</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8132</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9405</v>
      </c>
      <c r="D432" s="3526" t="s">
        <v>9364</v>
      </c>
      <c r="E432" s="3526" t="s">
        <v>141</v>
      </c>
      <c r="F432" s="3527">
        <f>ROUND(SUM(F440),3)</f>
        <v>43.34</v>
      </c>
      <c r="G432" s="3542">
        <f>ROUND(SUM(H435:H438)/F432,2)</f>
        <v>0</v>
      </c>
      <c r="H432" s="3904">
        <f t="shared" ref="H432" si="86">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9365</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8119</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9238</v>
      </c>
      <c r="D435" s="3548" t="s">
        <v>9366</v>
      </c>
      <c r="E435" s="3547" t="s">
        <v>141</v>
      </c>
      <c r="F435" s="3530">
        <f>F432</f>
        <v>43.34</v>
      </c>
      <c r="G435" s="3549"/>
      <c r="H435" s="3909">
        <f t="shared" ref="H435:H438" si="87">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9240</v>
      </c>
      <c r="D436" s="3548" t="s">
        <v>9367</v>
      </c>
      <c r="E436" s="3547" t="s">
        <v>141</v>
      </c>
      <c r="F436" s="3530">
        <f>(43.34)*1.05</f>
        <v>45.507000000000005</v>
      </c>
      <c r="G436" s="3549"/>
      <c r="H436" s="3909">
        <f t="shared" si="87"/>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9368</v>
      </c>
      <c r="E437" s="3547" t="s">
        <v>611</v>
      </c>
      <c r="F437" s="3530">
        <f>(43.34)*1.19</f>
        <v>51.574600000000004</v>
      </c>
      <c r="G437" s="3549"/>
      <c r="H437" s="3909">
        <f t="shared" si="87"/>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8129</v>
      </c>
      <c r="D438" s="3552" t="s">
        <v>9369</v>
      </c>
      <c r="E438" s="3551" t="s">
        <v>611</v>
      </c>
      <c r="F438" s="3553">
        <f>((56.64)*1.19)*1.1</f>
        <v>74.141760000000005</v>
      </c>
      <c r="G438" s="3554"/>
      <c r="H438" s="3910">
        <f t="shared" si="87"/>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9370</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9371</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8132</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9421</v>
      </c>
      <c r="D442" s="3526" t="s">
        <v>9372</v>
      </c>
      <c r="E442" s="3526" t="s">
        <v>141</v>
      </c>
      <c r="F442" s="3527">
        <f>ROUND(SUM(F450),3)</f>
        <v>13.3</v>
      </c>
      <c r="G442" s="3542">
        <f>ROUND(SUM(H445:H448)/F442,2)</f>
        <v>0</v>
      </c>
      <c r="H442" s="3904">
        <f t="shared" ref="H442" si="88">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9373</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9092</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8039</v>
      </c>
      <c r="B445" s="3546"/>
      <c r="C445" s="3547" t="s">
        <v>9238</v>
      </c>
      <c r="D445" s="3548" t="s">
        <v>9374</v>
      </c>
      <c r="E445" s="3547" t="s">
        <v>141</v>
      </c>
      <c r="F445" s="3530">
        <f>F442</f>
        <v>13.3</v>
      </c>
      <c r="G445" s="3549"/>
      <c r="H445" s="3909">
        <f t="shared" ref="H445:H448" si="89">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8042</v>
      </c>
      <c r="B446" s="3546"/>
      <c r="C446" s="3547" t="s">
        <v>9240</v>
      </c>
      <c r="D446" s="3548" t="s">
        <v>9375</v>
      </c>
      <c r="E446" s="3547" t="s">
        <v>141</v>
      </c>
      <c r="F446" s="3530">
        <f xml:space="preserve"> (13.3)*1.05</f>
        <v>13.965000000000002</v>
      </c>
      <c r="G446" s="3549"/>
      <c r="H446" s="3909">
        <f t="shared" si="89"/>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8045</v>
      </c>
      <c r="B447" s="3546"/>
      <c r="C447" s="3547">
        <v>713411121</v>
      </c>
      <c r="D447" s="3548" t="s">
        <v>9376</v>
      </c>
      <c r="E447" s="3547" t="s">
        <v>611</v>
      </c>
      <c r="F447" s="3530">
        <f>(13.3)*1.19</f>
        <v>15.827</v>
      </c>
      <c r="G447" s="3549"/>
      <c r="H447" s="3909">
        <f t="shared" si="89"/>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8047</v>
      </c>
      <c r="B448" s="3546"/>
      <c r="C448" s="3551" t="s">
        <v>9096</v>
      </c>
      <c r="D448" s="3552" t="s">
        <v>9377</v>
      </c>
      <c r="E448" s="3551" t="s">
        <v>611</v>
      </c>
      <c r="F448" s="3553">
        <f>((13.3)*1.19)*1.1</f>
        <v>17.409700000000001</v>
      </c>
      <c r="G448" s="3554"/>
      <c r="H448" s="3910">
        <f t="shared" si="89"/>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9370</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9378</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8132</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9430</v>
      </c>
      <c r="D452" s="3526" t="s">
        <v>9379</v>
      </c>
      <c r="E452" s="3526" t="s">
        <v>141</v>
      </c>
      <c r="F452" s="3527">
        <f>ROUND(SUM(F460),3)</f>
        <v>1.56</v>
      </c>
      <c r="G452" s="3542">
        <f>ROUND(SUM(H455:H458)/F452,2)</f>
        <v>0</v>
      </c>
      <c r="H452" s="3904">
        <f t="shared" ref="H452" si="90">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9380</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8119</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6294</v>
      </c>
      <c r="B455" s="3546"/>
      <c r="C455" s="3547" t="s">
        <v>8121</v>
      </c>
      <c r="D455" s="3548" t="s">
        <v>9381</v>
      </c>
      <c r="E455" s="3547" t="s">
        <v>141</v>
      </c>
      <c r="F455" s="3530">
        <f>F452</f>
        <v>1.56</v>
      </c>
      <c r="G455" s="3549"/>
      <c r="H455" s="3909">
        <f t="shared" ref="H455:H458" si="91">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6296</v>
      </c>
      <c r="B456" s="3546"/>
      <c r="C456" s="3547" t="s">
        <v>8124</v>
      </c>
      <c r="D456" s="3548" t="s">
        <v>9382</v>
      </c>
      <c r="E456" s="3547" t="s">
        <v>141</v>
      </c>
      <c r="F456" s="3530">
        <f xml:space="preserve"> (1.56)*1.05</f>
        <v>1.6380000000000001</v>
      </c>
      <c r="G456" s="3549"/>
      <c r="H456" s="3909">
        <f t="shared" si="91"/>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6298</v>
      </c>
      <c r="B457" s="3546"/>
      <c r="C457" s="3547">
        <v>713411121</v>
      </c>
      <c r="D457" s="3548" t="s">
        <v>9383</v>
      </c>
      <c r="E457" s="3547" t="s">
        <v>611</v>
      </c>
      <c r="F457" s="3530">
        <f xml:space="preserve"> (1.56)*1.19</f>
        <v>1.8564000000000001</v>
      </c>
      <c r="G457" s="3549"/>
      <c r="H457" s="3909">
        <f t="shared" si="91"/>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8055</v>
      </c>
      <c r="B458" s="3546"/>
      <c r="C458" s="3551" t="s">
        <v>8129</v>
      </c>
      <c r="D458" s="3552" t="s">
        <v>9384</v>
      </c>
      <c r="E458" s="3551" t="s">
        <v>611</v>
      </c>
      <c r="F458" s="3553">
        <f>((1.56)*1.29)*1.1</f>
        <v>2.2136400000000003</v>
      </c>
      <c r="G458" s="3554"/>
      <c r="H458" s="3910">
        <f t="shared" si="91"/>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9385</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9386</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8132</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9446</v>
      </c>
      <c r="D462" s="3526" t="s">
        <v>9388</v>
      </c>
      <c r="E462" s="3526" t="s">
        <v>141</v>
      </c>
      <c r="F462" s="3527">
        <f>ROUND(SUM(F470),3)</f>
        <v>10.6</v>
      </c>
      <c r="G462" s="3542">
        <f>ROUND(SUM(H465:H468)/F462,2)</f>
        <v>0</v>
      </c>
      <c r="H462" s="3904">
        <f t="shared" ref="H462" si="92">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9389</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8119</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10140</v>
      </c>
      <c r="B465" s="3546"/>
      <c r="C465" s="3547" t="s">
        <v>8138</v>
      </c>
      <c r="D465" s="3548" t="s">
        <v>9390</v>
      </c>
      <c r="E465" s="3547" t="s">
        <v>141</v>
      </c>
      <c r="F465" s="3530">
        <f>F462</f>
        <v>10.6</v>
      </c>
      <c r="G465" s="3549"/>
      <c r="H465" s="3909">
        <f t="shared" ref="H465:H468" si="93">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10141</v>
      </c>
      <c r="B466" s="3546"/>
      <c r="C466" s="3547" t="s">
        <v>9300</v>
      </c>
      <c r="D466" s="3548" t="s">
        <v>9391</v>
      </c>
      <c r="E466" s="3547" t="s">
        <v>141</v>
      </c>
      <c r="F466" s="3530">
        <f>(10.6)*1.05</f>
        <v>11.13</v>
      </c>
      <c r="G466" s="3549"/>
      <c r="H466" s="3909">
        <f t="shared" si="93"/>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10142</v>
      </c>
      <c r="B467" s="3546"/>
      <c r="C467" s="3547">
        <v>713411121</v>
      </c>
      <c r="D467" s="3548" t="s">
        <v>9392</v>
      </c>
      <c r="E467" s="3547" t="s">
        <v>611</v>
      </c>
      <c r="F467" s="3530">
        <f>(10.6)*2.39</f>
        <v>25.334</v>
      </c>
      <c r="G467" s="3549"/>
      <c r="H467" s="3909">
        <f t="shared" si="93"/>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10143</v>
      </c>
      <c r="B468" s="3546"/>
      <c r="C468" s="3551" t="s">
        <v>8129</v>
      </c>
      <c r="D468" s="3552" t="s">
        <v>9393</v>
      </c>
      <c r="E468" s="3551" t="s">
        <v>611</v>
      </c>
      <c r="F468" s="3553">
        <f>((10.6)*2.39)*1.1</f>
        <v>27.867400000000004</v>
      </c>
      <c r="G468" s="3554"/>
      <c r="H468" s="3910">
        <f t="shared" si="93"/>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9394</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9395</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8132</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9455</v>
      </c>
      <c r="D472" s="3526" t="s">
        <v>9397</v>
      </c>
      <c r="E472" s="3526" t="s">
        <v>141</v>
      </c>
      <c r="F472" s="3527">
        <f>ROUND(SUM(F480),3)</f>
        <v>1.61</v>
      </c>
      <c r="G472" s="3542">
        <f>ROUND(SUM(H475:H478)/F472,2)</f>
        <v>0</v>
      </c>
      <c r="H472" s="3904">
        <f t="shared" ref="H472" si="94">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9398</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8119</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6306</v>
      </c>
      <c r="B475" s="3546"/>
      <c r="C475" s="3547" t="s">
        <v>8138</v>
      </c>
      <c r="D475" s="3548" t="s">
        <v>9399</v>
      </c>
      <c r="E475" s="3547" t="s">
        <v>141</v>
      </c>
      <c r="F475" s="3530">
        <f>F472</f>
        <v>1.61</v>
      </c>
      <c r="G475" s="3549"/>
      <c r="H475" s="3909">
        <f t="shared" ref="H475:H478" si="95">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6307</v>
      </c>
      <c r="B476" s="3546"/>
      <c r="C476" s="3547" t="s">
        <v>9300</v>
      </c>
      <c r="D476" s="3548" t="s">
        <v>9400</v>
      </c>
      <c r="E476" s="3547" t="s">
        <v>141</v>
      </c>
      <c r="F476" s="3530">
        <f>(1.61)*1.05</f>
        <v>1.6905000000000001</v>
      </c>
      <c r="G476" s="3549"/>
      <c r="H476" s="3909">
        <f t="shared" si="95"/>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6309</v>
      </c>
      <c r="B477" s="3546"/>
      <c r="C477" s="3547">
        <v>713411121</v>
      </c>
      <c r="D477" s="3548" t="s">
        <v>9401</v>
      </c>
      <c r="E477" s="3547" t="s">
        <v>611</v>
      </c>
      <c r="F477" s="3530">
        <f>(1.61)*2.51</f>
        <v>4.0411000000000001</v>
      </c>
      <c r="G477" s="3549"/>
      <c r="H477" s="3909">
        <f t="shared" si="95"/>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10144</v>
      </c>
      <c r="B478" s="3546"/>
      <c r="C478" s="3551" t="s">
        <v>8129</v>
      </c>
      <c r="D478" s="3552" t="s">
        <v>9402</v>
      </c>
      <c r="E478" s="3551" t="s">
        <v>611</v>
      </c>
      <c r="F478" s="3553">
        <f>((1.61)*2.51)*1.1</f>
        <v>4.4452100000000003</v>
      </c>
      <c r="G478" s="3554"/>
      <c r="H478" s="3910">
        <f t="shared" si="95"/>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9403</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9404</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8132</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9472</v>
      </c>
      <c r="D482" s="3526" t="s">
        <v>9406</v>
      </c>
      <c r="E482" s="3526" t="s">
        <v>141</v>
      </c>
      <c r="F482" s="3527">
        <f>ROUND(SUM(F490),3)</f>
        <v>13.82</v>
      </c>
      <c r="G482" s="3542">
        <f>ROUND(SUM(H485:H488)/F482,2)</f>
        <v>0</v>
      </c>
      <c r="H482" s="3904">
        <f t="shared" ref="H482" si="96">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9407</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8119</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10145</v>
      </c>
      <c r="B485" s="3546"/>
      <c r="C485" s="3547" t="s">
        <v>8121</v>
      </c>
      <c r="D485" s="3548" t="s">
        <v>9408</v>
      </c>
      <c r="E485" s="3547" t="s">
        <v>141</v>
      </c>
      <c r="F485" s="3530">
        <f>F482</f>
        <v>13.82</v>
      </c>
      <c r="G485" s="3549"/>
      <c r="H485" s="3909">
        <f t="shared" ref="H485:H488" si="97">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10146</v>
      </c>
      <c r="B486" s="3546"/>
      <c r="C486" s="3547" t="s">
        <v>8124</v>
      </c>
      <c r="D486" s="3548" t="s">
        <v>9409</v>
      </c>
      <c r="E486" s="3547" t="s">
        <v>141</v>
      </c>
      <c r="F486" s="3530">
        <f>(13.82)*1.05</f>
        <v>14.511000000000001</v>
      </c>
      <c r="G486" s="3549"/>
      <c r="H486" s="3909">
        <f t="shared" si="97"/>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10147</v>
      </c>
      <c r="B487" s="3546"/>
      <c r="C487" s="3547">
        <v>713411121</v>
      </c>
      <c r="D487" s="3548" t="s">
        <v>9410</v>
      </c>
      <c r="E487" s="3547" t="s">
        <v>611</v>
      </c>
      <c r="F487" s="3530">
        <f>(13.82)*1.27</f>
        <v>17.551400000000001</v>
      </c>
      <c r="G487" s="3549"/>
      <c r="H487" s="3909">
        <f t="shared" si="97"/>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10148</v>
      </c>
      <c r="B488" s="3546"/>
      <c r="C488" s="3551" t="s">
        <v>8129</v>
      </c>
      <c r="D488" s="3552" t="s">
        <v>9411</v>
      </c>
      <c r="E488" s="3551" t="s">
        <v>611</v>
      </c>
      <c r="F488" s="3553">
        <f>((13.82)*1.27)*1.1</f>
        <v>19.306540000000002</v>
      </c>
      <c r="G488" s="3554"/>
      <c r="H488" s="3910">
        <f t="shared" si="97"/>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9412</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9413</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8132</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9483</v>
      </c>
      <c r="D492" s="3526" t="s">
        <v>9414</v>
      </c>
      <c r="E492" s="3526" t="s">
        <v>141</v>
      </c>
      <c r="F492" s="3527">
        <f>ROUND(SUM(F500),3)</f>
        <v>1.7</v>
      </c>
      <c r="G492" s="3542">
        <f>ROUND(SUM(H495:H498)/F492,2)</f>
        <v>0</v>
      </c>
      <c r="H492" s="3904">
        <f t="shared" ref="H492" si="98">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9415</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9092</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10149</v>
      </c>
      <c r="B495" s="3546"/>
      <c r="C495" s="3547" t="s">
        <v>8121</v>
      </c>
      <c r="D495" s="3548" t="s">
        <v>9416</v>
      </c>
      <c r="E495" s="3547" t="s">
        <v>141</v>
      </c>
      <c r="F495" s="3530">
        <f>F492</f>
        <v>1.7</v>
      </c>
      <c r="G495" s="3549"/>
      <c r="H495" s="3909">
        <f t="shared" ref="H495:H498" si="99">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10150</v>
      </c>
      <c r="B496" s="3546"/>
      <c r="C496" s="3547" t="s">
        <v>8124</v>
      </c>
      <c r="D496" s="3548" t="s">
        <v>9417</v>
      </c>
      <c r="E496" s="3547" t="s">
        <v>141</v>
      </c>
      <c r="F496" s="3530">
        <f>(1.7)*1.05</f>
        <v>1.7849999999999999</v>
      </c>
      <c r="G496" s="3549"/>
      <c r="H496" s="3909">
        <f t="shared" si="99"/>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10151</v>
      </c>
      <c r="B497" s="3546"/>
      <c r="C497" s="3547">
        <v>713411121</v>
      </c>
      <c r="D497" s="3548" t="s">
        <v>9418</v>
      </c>
      <c r="E497" s="3547" t="s">
        <v>611</v>
      </c>
      <c r="F497" s="3530">
        <f>(1.7)*1.27</f>
        <v>2.1589999999999998</v>
      </c>
      <c r="G497" s="3549"/>
      <c r="H497" s="3909">
        <f t="shared" si="99"/>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10152</v>
      </c>
      <c r="B498" s="3546"/>
      <c r="C498" s="3551" t="s">
        <v>9096</v>
      </c>
      <c r="D498" s="3552" t="s">
        <v>9419</v>
      </c>
      <c r="E498" s="3551" t="s">
        <v>611</v>
      </c>
      <c r="F498" s="3553">
        <f>((1.7)*1.27)*1.1</f>
        <v>2.3748999999999998</v>
      </c>
      <c r="G498" s="3554"/>
      <c r="H498" s="3910">
        <f t="shared" si="99"/>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9412</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9420</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8132</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9499</v>
      </c>
      <c r="D502" s="3526" t="s">
        <v>9422</v>
      </c>
      <c r="E502" s="3526" t="s">
        <v>141</v>
      </c>
      <c r="F502" s="3527">
        <f>ROUND(SUM(F510),3)</f>
        <v>4.88</v>
      </c>
      <c r="G502" s="3542">
        <f>ROUND(SUM(H505:H508)/F502,2)</f>
        <v>0</v>
      </c>
      <c r="H502" s="3904">
        <f t="shared" ref="H502" si="100">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9423</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8119</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9238</v>
      </c>
      <c r="D505" s="3548" t="s">
        <v>9424</v>
      </c>
      <c r="E505" s="3547" t="s">
        <v>141</v>
      </c>
      <c r="F505" s="3530">
        <f>F502</f>
        <v>4.88</v>
      </c>
      <c r="G505" s="3549"/>
      <c r="H505" s="3909">
        <f t="shared" ref="H505:H508" si="101">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9240</v>
      </c>
      <c r="D506" s="3548" t="s">
        <v>9425</v>
      </c>
      <c r="E506" s="3547" t="s">
        <v>141</v>
      </c>
      <c r="F506" s="3530">
        <f xml:space="preserve"> (4.88)*1.05</f>
        <v>5.1239999999999997</v>
      </c>
      <c r="G506" s="3549"/>
      <c r="H506" s="3909">
        <f t="shared" si="101"/>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9426</v>
      </c>
      <c r="E507" s="3547" t="s">
        <v>611</v>
      </c>
      <c r="F507" s="3530">
        <f>(4.88)*1.16</f>
        <v>5.6607999999999992</v>
      </c>
      <c r="G507" s="3549"/>
      <c r="H507" s="3909">
        <f t="shared" si="101"/>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10153</v>
      </c>
      <c r="B508" s="3546"/>
      <c r="C508" s="3551" t="s">
        <v>8129</v>
      </c>
      <c r="D508" s="3552" t="s">
        <v>9427</v>
      </c>
      <c r="E508" s="3551" t="s">
        <v>611</v>
      </c>
      <c r="F508" s="3553">
        <f>((4.88)*1.16)*1.1</f>
        <v>6.2268799999999995</v>
      </c>
      <c r="G508" s="3554"/>
      <c r="H508" s="3910">
        <f t="shared" si="101"/>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9428</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9429</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8132</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9516</v>
      </c>
      <c r="D512" s="3526" t="s">
        <v>9431</v>
      </c>
      <c r="E512" s="3526" t="s">
        <v>141</v>
      </c>
      <c r="F512" s="3527">
        <f>ROUND(SUM(F520),3)</f>
        <v>49.22</v>
      </c>
      <c r="G512" s="3542">
        <f>ROUND(SUM(H515:H518)/F512,2)</f>
        <v>0</v>
      </c>
      <c r="H512" s="3904">
        <f t="shared" ref="H512" si="102">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9432</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8119</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8121</v>
      </c>
      <c r="D515" s="3548" t="s">
        <v>9433</v>
      </c>
      <c r="E515" s="3547" t="s">
        <v>141</v>
      </c>
      <c r="F515" s="3530">
        <f>F512</f>
        <v>49.22</v>
      </c>
      <c r="G515" s="3549"/>
      <c r="H515" s="3909">
        <f t="shared" ref="H515:H518" si="103">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8124</v>
      </c>
      <c r="D516" s="3548" t="s">
        <v>9434</v>
      </c>
      <c r="E516" s="3547" t="s">
        <v>141</v>
      </c>
      <c r="F516" s="3530">
        <f xml:space="preserve"> (49.22)*1.05</f>
        <v>51.681000000000004</v>
      </c>
      <c r="G516" s="3549"/>
      <c r="H516" s="3909">
        <f t="shared" si="103"/>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10154</v>
      </c>
      <c r="B517" s="3546"/>
      <c r="C517" s="3547">
        <v>713411121</v>
      </c>
      <c r="D517" s="3548" t="s">
        <v>9435</v>
      </c>
      <c r="E517" s="3547" t="s">
        <v>611</v>
      </c>
      <c r="F517" s="3530">
        <f>(49.22)*1.36</f>
        <v>66.9392</v>
      </c>
      <c r="G517" s="3549"/>
      <c r="H517" s="3909">
        <f t="shared" si="103"/>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10155</v>
      </c>
      <c r="B518" s="3546"/>
      <c r="C518" s="3551" t="s">
        <v>8129</v>
      </c>
      <c r="D518" s="3552" t="s">
        <v>9436</v>
      </c>
      <c r="E518" s="3551" t="s">
        <v>611</v>
      </c>
      <c r="F518" s="3553">
        <f>((49.22)*1.36)*1.1</f>
        <v>73.633120000000005</v>
      </c>
      <c r="G518" s="3554"/>
      <c r="H518" s="3910">
        <f t="shared" si="103"/>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9437</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9438</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8132</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9525</v>
      </c>
      <c r="D522" s="3526" t="s">
        <v>9439</v>
      </c>
      <c r="E522" s="3526" t="s">
        <v>141</v>
      </c>
      <c r="F522" s="3527">
        <f>ROUND(SUM(F530),3)</f>
        <v>14</v>
      </c>
      <c r="G522" s="3542">
        <f>ROUND(SUM(H525:H528)/F522,2)</f>
        <v>0</v>
      </c>
      <c r="H522" s="3904">
        <f t="shared" ref="H522" si="104">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9440</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9092</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8121</v>
      </c>
      <c r="D525" s="3548" t="s">
        <v>9441</v>
      </c>
      <c r="E525" s="3547" t="s">
        <v>141</v>
      </c>
      <c r="F525" s="3530">
        <f>F522</f>
        <v>14</v>
      </c>
      <c r="G525" s="3549"/>
      <c r="H525" s="3909">
        <f t="shared" ref="H525:H528" si="105">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8124</v>
      </c>
      <c r="D526" s="3548" t="s">
        <v>9442</v>
      </c>
      <c r="E526" s="3547" t="s">
        <v>141</v>
      </c>
      <c r="F526" s="3530">
        <f xml:space="preserve"> (14)*1.05</f>
        <v>14.700000000000001</v>
      </c>
      <c r="G526" s="3549"/>
      <c r="H526" s="3909">
        <f t="shared" si="105"/>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9443</v>
      </c>
      <c r="E527" s="3547" t="s">
        <v>611</v>
      </c>
      <c r="F527" s="3530">
        <f>(14)*1.36</f>
        <v>19.040000000000003</v>
      </c>
      <c r="G527" s="3549"/>
      <c r="H527" s="3909">
        <f t="shared" si="105"/>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9096</v>
      </c>
      <c r="D528" s="3552" t="s">
        <v>9444</v>
      </c>
      <c r="E528" s="3551" t="s">
        <v>611</v>
      </c>
      <c r="F528" s="3553">
        <f>((14)*1.36)*1.1</f>
        <v>20.944000000000006</v>
      </c>
      <c r="G528" s="3554"/>
      <c r="H528" s="3910">
        <f t="shared" si="105"/>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9437</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9445</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8132</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9534</v>
      </c>
      <c r="D532" s="3526" t="s">
        <v>9447</v>
      </c>
      <c r="E532" s="3526" t="s">
        <v>141</v>
      </c>
      <c r="F532" s="3527">
        <f>ROUND(SUM(F540),3)</f>
        <v>26.01</v>
      </c>
      <c r="G532" s="3542">
        <f>ROUND(SUM(H535:H538)/F532,2)</f>
        <v>0</v>
      </c>
      <c r="H532" s="3904">
        <f t="shared" ref="H532" si="106">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9448</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8119</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10156</v>
      </c>
      <c r="B535" s="3546"/>
      <c r="C535" s="3547" t="s">
        <v>8121</v>
      </c>
      <c r="D535" s="3548" t="s">
        <v>9449</v>
      </c>
      <c r="E535" s="3547" t="s">
        <v>141</v>
      </c>
      <c r="F535" s="3530">
        <f>F532</f>
        <v>26.01</v>
      </c>
      <c r="G535" s="3549"/>
      <c r="H535" s="3909">
        <f t="shared" ref="H535:H538" si="107">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10157</v>
      </c>
      <c r="B536" s="3546"/>
      <c r="C536" s="3547" t="s">
        <v>8124</v>
      </c>
      <c r="D536" s="3548" t="s">
        <v>9450</v>
      </c>
      <c r="E536" s="3547" t="s">
        <v>141</v>
      </c>
      <c r="F536" s="3530">
        <f>(26.01)*1.05</f>
        <v>27.310500000000001</v>
      </c>
      <c r="G536" s="3549"/>
      <c r="H536" s="3909">
        <f t="shared" si="107"/>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10158</v>
      </c>
      <c r="B537" s="3546"/>
      <c r="C537" s="3547">
        <v>713411121</v>
      </c>
      <c r="D537" s="3548" t="s">
        <v>9451</v>
      </c>
      <c r="E537" s="3547" t="s">
        <v>611</v>
      </c>
      <c r="F537" s="3530">
        <f>(26.01)*1.59</f>
        <v>41.355900000000005</v>
      </c>
      <c r="G537" s="3549"/>
      <c r="H537" s="3909">
        <f t="shared" si="107"/>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10159</v>
      </c>
      <c r="B538" s="3546"/>
      <c r="C538" s="3551" t="s">
        <v>8129</v>
      </c>
      <c r="D538" s="3552" t="s">
        <v>9452</v>
      </c>
      <c r="E538" s="3551" t="s">
        <v>611</v>
      </c>
      <c r="F538" s="3553">
        <f>((26.01)*1.59)*1.1</f>
        <v>45.491490000000013</v>
      </c>
      <c r="G538" s="3554"/>
      <c r="H538" s="3910">
        <f t="shared" si="107"/>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9453</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9454</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8132</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9543</v>
      </c>
      <c r="D542" s="3526" t="s">
        <v>9456</v>
      </c>
      <c r="E542" s="3526" t="s">
        <v>141</v>
      </c>
      <c r="F542" s="3527">
        <f>ROUND(SUM(F550),3)</f>
        <v>12.06</v>
      </c>
      <c r="G542" s="3542">
        <f>ROUND(SUM(H545:H548)/F542,2)</f>
        <v>0</v>
      </c>
      <c r="H542" s="3904">
        <f t="shared" ref="H542" si="108">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9457</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8119</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10160</v>
      </c>
      <c r="B545" s="3546"/>
      <c r="C545" s="3547" t="s">
        <v>8138</v>
      </c>
      <c r="D545" s="3548" t="s">
        <v>9458</v>
      </c>
      <c r="E545" s="3547" t="s">
        <v>141</v>
      </c>
      <c r="F545" s="3530">
        <f>F542</f>
        <v>12.06</v>
      </c>
      <c r="G545" s="3549"/>
      <c r="H545" s="3909">
        <f t="shared" ref="H545:H548" si="109">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10161</v>
      </c>
      <c r="B546" s="3546"/>
      <c r="C546" s="3547" t="s">
        <v>9300</v>
      </c>
      <c r="D546" s="3548" t="s">
        <v>9459</v>
      </c>
      <c r="E546" s="3547" t="s">
        <v>141</v>
      </c>
      <c r="F546" s="3530">
        <f>(12.06)*1.05</f>
        <v>12.663</v>
      </c>
      <c r="G546" s="3549"/>
      <c r="H546" s="3909">
        <f t="shared" si="109"/>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10162</v>
      </c>
      <c r="B547" s="3546"/>
      <c r="C547" s="3547">
        <v>713411121</v>
      </c>
      <c r="D547" s="3548" t="s">
        <v>9460</v>
      </c>
      <c r="E547" s="3547" t="s">
        <v>611</v>
      </c>
      <c r="F547" s="3530">
        <f>(12.06)*1.76</f>
        <v>21.2256</v>
      </c>
      <c r="G547" s="3549"/>
      <c r="H547" s="3909">
        <f t="shared" si="109"/>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10163</v>
      </c>
      <c r="B548" s="3546"/>
      <c r="C548" s="3551" t="s">
        <v>8129</v>
      </c>
      <c r="D548" s="3552" t="s">
        <v>9461</v>
      </c>
      <c r="E548" s="3551" t="s">
        <v>611</v>
      </c>
      <c r="F548" s="3553">
        <f>((12.06)*1.76)*1.1</f>
        <v>23.348160000000004</v>
      </c>
      <c r="G548" s="3554"/>
      <c r="H548" s="3910">
        <f t="shared" si="109"/>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9462</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9463</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8132</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9552</v>
      </c>
      <c r="D552" s="3526" t="s">
        <v>9464</v>
      </c>
      <c r="E552" s="3526" t="s">
        <v>141</v>
      </c>
      <c r="F552" s="3527">
        <f>ROUND(SUM(F560),3)</f>
        <v>7.4</v>
      </c>
      <c r="G552" s="3542">
        <f>ROUND(SUM(H555:H558)/F552,2)</f>
        <v>0</v>
      </c>
      <c r="H552" s="3904">
        <f t="shared" ref="H552" si="110">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9465</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8119</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8138</v>
      </c>
      <c r="D555" s="3548" t="s">
        <v>9466</v>
      </c>
      <c r="E555" s="3547" t="s">
        <v>141</v>
      </c>
      <c r="F555" s="3530">
        <f>F552</f>
        <v>7.4</v>
      </c>
      <c r="G555" s="3549"/>
      <c r="H555" s="3909">
        <f t="shared" ref="H555:H558" si="111">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9300</v>
      </c>
      <c r="D556" s="3548" t="s">
        <v>9467</v>
      </c>
      <c r="E556" s="3547" t="s">
        <v>141</v>
      </c>
      <c r="F556" s="3530">
        <f>(7.4)*1.05</f>
        <v>7.7700000000000005</v>
      </c>
      <c r="G556" s="3549"/>
      <c r="H556" s="3909">
        <f t="shared" si="111"/>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9468</v>
      </c>
      <c r="E557" s="3547" t="s">
        <v>611</v>
      </c>
      <c r="F557" s="3530">
        <f>(7.4)*2</f>
        <v>14.8</v>
      </c>
      <c r="G557" s="3549"/>
      <c r="H557" s="3909">
        <f t="shared" si="111"/>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9115</v>
      </c>
      <c r="D558" s="3552" t="s">
        <v>9469</v>
      </c>
      <c r="E558" s="3551" t="s">
        <v>611</v>
      </c>
      <c r="F558" s="3553">
        <f>((7.4)*2)*1.1</f>
        <v>16.28</v>
      </c>
      <c r="G558" s="3554"/>
      <c r="H558" s="3910">
        <f t="shared" si="111"/>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9470</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9471</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8132</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9561</v>
      </c>
      <c r="D562" s="3526" t="s">
        <v>9473</v>
      </c>
      <c r="E562" s="3526" t="s">
        <v>141</v>
      </c>
      <c r="F562" s="3527">
        <f>ROUND(SUM(F570),3)</f>
        <v>8.81</v>
      </c>
      <c r="G562" s="3542">
        <f>ROUND(SUM(H565:H568)/F562,2)</f>
        <v>0</v>
      </c>
      <c r="H562" s="3904">
        <f t="shared" ref="H562" si="112">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9474</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8119</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9475</v>
      </c>
      <c r="D565" s="3548" t="s">
        <v>9476</v>
      </c>
      <c r="E565" s="3547" t="s">
        <v>141</v>
      </c>
      <c r="F565" s="3530">
        <f>F562</f>
        <v>8.81</v>
      </c>
      <c r="G565" s="3549"/>
      <c r="H565" s="3909">
        <f t="shared" ref="H565:H568" si="113">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9477</v>
      </c>
      <c r="D566" s="3548" t="s">
        <v>9478</v>
      </c>
      <c r="E566" s="3547" t="s">
        <v>141</v>
      </c>
      <c r="F566" s="3530">
        <f>(8.81)*1.05</f>
        <v>9.2505000000000006</v>
      </c>
      <c r="G566" s="3549"/>
      <c r="H566" s="3909">
        <f t="shared" si="113"/>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9479</v>
      </c>
      <c r="E567" s="3547" t="s">
        <v>611</v>
      </c>
      <c r="F567" s="3530">
        <f xml:space="preserve"> (8.81)*2.96</f>
        <v>26.0776</v>
      </c>
      <c r="G567" s="3549"/>
      <c r="H567" s="3909">
        <f t="shared" si="113"/>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8129</v>
      </c>
      <c r="D568" s="3552" t="s">
        <v>9480</v>
      </c>
      <c r="E568" s="3551" t="s">
        <v>611</v>
      </c>
      <c r="F568" s="3553">
        <f>((8.81)*2.96)*1.1</f>
        <v>28.685360000000003</v>
      </c>
      <c r="G568" s="3554"/>
      <c r="H568" s="3910">
        <f t="shared" si="113"/>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9481</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9482</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8132</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9570</v>
      </c>
      <c r="D572" s="3526" t="s">
        <v>9484</v>
      </c>
      <c r="E572" s="3526" t="s">
        <v>141</v>
      </c>
      <c r="F572" s="3527">
        <f>ROUND(SUM(F580),3)</f>
        <v>12.11</v>
      </c>
      <c r="G572" s="3542">
        <f>ROUND(SUM(H575:H578)/F572,2)</f>
        <v>0</v>
      </c>
      <c r="H572" s="3904">
        <f t="shared" ref="H572" si="114">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9485</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8119</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8121</v>
      </c>
      <c r="D575" s="3548" t="s">
        <v>9486</v>
      </c>
      <c r="E575" s="3547" t="s">
        <v>141</v>
      </c>
      <c r="F575" s="3530">
        <f>F572</f>
        <v>12.11</v>
      </c>
      <c r="G575" s="3549"/>
      <c r="H575" s="3909">
        <f t="shared" ref="H575:H578" si="115">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8124</v>
      </c>
      <c r="D576" s="3548" t="s">
        <v>9487</v>
      </c>
      <c r="E576" s="3547" t="s">
        <v>141</v>
      </c>
      <c r="F576" s="3530">
        <f xml:space="preserve"> (12.11)*1.05</f>
        <v>12.7155</v>
      </c>
      <c r="G576" s="3549"/>
      <c r="H576" s="3909">
        <f t="shared" si="115"/>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9488</v>
      </c>
      <c r="E577" s="3547" t="s">
        <v>611</v>
      </c>
      <c r="F577" s="3530">
        <f>(12.11)*1.46</f>
        <v>17.680599999999998</v>
      </c>
      <c r="G577" s="3549"/>
      <c r="H577" s="3909">
        <f t="shared" si="115"/>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8129</v>
      </c>
      <c r="D578" s="3552" t="s">
        <v>9489</v>
      </c>
      <c r="E578" s="3551" t="s">
        <v>611</v>
      </c>
      <c r="F578" s="3553">
        <f>((12.11)*1.46)*1.1</f>
        <v>19.44866</v>
      </c>
      <c r="G578" s="3554"/>
      <c r="H578" s="3910">
        <f t="shared" si="115"/>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9490</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9491</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8132</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9579</v>
      </c>
      <c r="D582" s="3526" t="s">
        <v>9492</v>
      </c>
      <c r="E582" s="3526" t="s">
        <v>141</v>
      </c>
      <c r="F582" s="3527">
        <f>ROUND(SUM(F590),3)</f>
        <v>8</v>
      </c>
      <c r="G582" s="3542">
        <f>ROUND(SUM(H585:H588)/F582,2)</f>
        <v>0</v>
      </c>
      <c r="H582" s="3904">
        <f t="shared" ref="H582" si="116">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9493</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9092</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8121</v>
      </c>
      <c r="D585" s="3548" t="s">
        <v>9494</v>
      </c>
      <c r="E585" s="3547" t="s">
        <v>141</v>
      </c>
      <c r="F585" s="3530">
        <f>F582</f>
        <v>8</v>
      </c>
      <c r="G585" s="3549"/>
      <c r="H585" s="3909">
        <f t="shared" ref="H585:H588" si="117">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8124</v>
      </c>
      <c r="D586" s="3548" t="s">
        <v>9495</v>
      </c>
      <c r="E586" s="3547" t="s">
        <v>141</v>
      </c>
      <c r="F586" s="3530">
        <f>(8)*1.05</f>
        <v>8.4</v>
      </c>
      <c r="G586" s="3549"/>
      <c r="H586" s="3909">
        <f t="shared" si="117"/>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9496</v>
      </c>
      <c r="E587" s="3547" t="s">
        <v>611</v>
      </c>
      <c r="F587" s="3530">
        <f xml:space="preserve"> (8)*1.46</f>
        <v>11.68</v>
      </c>
      <c r="G587" s="3549"/>
      <c r="H587" s="3909">
        <f t="shared" si="117"/>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9096</v>
      </c>
      <c r="D588" s="3552" t="s">
        <v>9497</v>
      </c>
      <c r="E588" s="3551" t="s">
        <v>611</v>
      </c>
      <c r="F588" s="3553">
        <f>((8)*1.46)*1.1</f>
        <v>12.848000000000001</v>
      </c>
      <c r="G588" s="3554"/>
      <c r="H588" s="3910">
        <f t="shared" si="117"/>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9490</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9498</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8132</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9588</v>
      </c>
      <c r="D592" s="3526" t="s">
        <v>9500</v>
      </c>
      <c r="E592" s="3526" t="s">
        <v>141</v>
      </c>
      <c r="F592" s="3527">
        <f>ROUND(SUM(F600),3)</f>
        <v>58.61</v>
      </c>
      <c r="G592" s="3542">
        <f>ROUND(SUM(H595:H598)/F592,2)</f>
        <v>0</v>
      </c>
      <c r="H592" s="3904">
        <f t="shared" ref="H592" si="118">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9501</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8119</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10164</v>
      </c>
      <c r="B595" s="3546"/>
      <c r="C595" s="3547" t="s">
        <v>8121</v>
      </c>
      <c r="D595" s="3548" t="s">
        <v>9502</v>
      </c>
      <c r="E595" s="3547" t="s">
        <v>141</v>
      </c>
      <c r="F595" s="3530">
        <f>F592</f>
        <v>58.61</v>
      </c>
      <c r="G595" s="3549"/>
      <c r="H595" s="3909">
        <f t="shared" ref="H595:H598" si="119">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10165</v>
      </c>
      <c r="B596" s="3546"/>
      <c r="C596" s="3547" t="s">
        <v>8124</v>
      </c>
      <c r="D596" s="3548" t="s">
        <v>9503</v>
      </c>
      <c r="E596" s="3547" t="s">
        <v>141</v>
      </c>
      <c r="F596" s="3530">
        <f>(58.61)*1.05</f>
        <v>61.540500000000002</v>
      </c>
      <c r="G596" s="3549"/>
      <c r="H596" s="3909">
        <f t="shared" si="119"/>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10166</v>
      </c>
      <c r="B597" s="3546"/>
      <c r="C597" s="3547">
        <v>713411121</v>
      </c>
      <c r="D597" s="3548" t="s">
        <v>9504</v>
      </c>
      <c r="E597" s="3547" t="s">
        <v>611</v>
      </c>
      <c r="F597" s="3530">
        <f xml:space="preserve"> (58.61)*1.56</f>
        <v>91.431600000000003</v>
      </c>
      <c r="G597" s="3549"/>
      <c r="H597" s="3909">
        <f t="shared" si="119"/>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10167</v>
      </c>
      <c r="B598" s="3546"/>
      <c r="C598" s="3551" t="s">
        <v>8129</v>
      </c>
      <c r="D598" s="3552" t="s">
        <v>9505</v>
      </c>
      <c r="E598" s="3551" t="s">
        <v>611</v>
      </c>
      <c r="F598" s="3553">
        <f>((58.61)*1.56)*1.1</f>
        <v>100.57476000000001</v>
      </c>
      <c r="G598" s="3554"/>
      <c r="H598" s="3910">
        <f t="shared" si="119"/>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9506</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9507</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8132</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9597</v>
      </c>
      <c r="D602" s="3526" t="s">
        <v>9508</v>
      </c>
      <c r="E602" s="3526" t="s">
        <v>141</v>
      </c>
      <c r="F602" s="3527">
        <f>ROUND(SUM(F610),3)</f>
        <v>36.200000000000003</v>
      </c>
      <c r="G602" s="3542">
        <f>ROUND(SUM(H605:H608)/F602,2)</f>
        <v>0</v>
      </c>
      <c r="H602" s="3904">
        <f t="shared" ref="H602" si="120">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9509</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9092</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10168</v>
      </c>
      <c r="B605" s="3546"/>
      <c r="C605" s="3547" t="s">
        <v>8121</v>
      </c>
      <c r="D605" s="3548" t="s">
        <v>9510</v>
      </c>
      <c r="E605" s="3547" t="s">
        <v>141</v>
      </c>
      <c r="F605" s="3530">
        <f>F602</f>
        <v>36.200000000000003</v>
      </c>
      <c r="G605" s="3549"/>
      <c r="H605" s="3909">
        <f t="shared" ref="H605:H608" si="121">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10169</v>
      </c>
      <c r="B606" s="3546"/>
      <c r="C606" s="3547" t="s">
        <v>8124</v>
      </c>
      <c r="D606" s="3548" t="s">
        <v>9511</v>
      </c>
      <c r="E606" s="3547" t="s">
        <v>141</v>
      </c>
      <c r="F606" s="3530">
        <f xml:space="preserve"> (36.2)*1.05</f>
        <v>38.010000000000005</v>
      </c>
      <c r="G606" s="3549"/>
      <c r="H606" s="3909">
        <f t="shared" si="121"/>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10170</v>
      </c>
      <c r="B607" s="3546"/>
      <c r="C607" s="3547">
        <v>713411121</v>
      </c>
      <c r="D607" s="3548" t="s">
        <v>9512</v>
      </c>
      <c r="E607" s="3547" t="s">
        <v>611</v>
      </c>
      <c r="F607" s="3530">
        <f>(36.2)*1.56</f>
        <v>56.472000000000008</v>
      </c>
      <c r="G607" s="3549"/>
      <c r="H607" s="3909">
        <f t="shared" si="121"/>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10171</v>
      </c>
      <c r="B608" s="3546"/>
      <c r="C608" s="3551" t="s">
        <v>9096</v>
      </c>
      <c r="D608" s="3552" t="s">
        <v>9513</v>
      </c>
      <c r="E608" s="3551" t="s">
        <v>611</v>
      </c>
      <c r="F608" s="3553">
        <f>((36.2)*1.56)*1.1</f>
        <v>62.119200000000014</v>
      </c>
      <c r="G608" s="3554"/>
      <c r="H608" s="3910">
        <f t="shared" si="121"/>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9514</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9515</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8132</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9608</v>
      </c>
      <c r="D612" s="3526" t="s">
        <v>9517</v>
      </c>
      <c r="E612" s="3526" t="s">
        <v>141</v>
      </c>
      <c r="F612" s="3527">
        <f>ROUND(SUM(F620),3)</f>
        <v>45.9</v>
      </c>
      <c r="G612" s="3542">
        <f>ROUND(SUM(H615:H618)/F612,2)</f>
        <v>0</v>
      </c>
      <c r="H612" s="3904">
        <f t="shared" ref="H612" si="122">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9518</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8119</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10172</v>
      </c>
      <c r="B615" s="3546"/>
      <c r="C615" s="3547" t="s">
        <v>8121</v>
      </c>
      <c r="D615" s="3548" t="s">
        <v>9519</v>
      </c>
      <c r="E615" s="3547" t="s">
        <v>141</v>
      </c>
      <c r="F615" s="3530">
        <f>F612</f>
        <v>45.9</v>
      </c>
      <c r="G615" s="3549"/>
      <c r="H615" s="3909">
        <f t="shared" ref="H615:H618" si="123">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10173</v>
      </c>
      <c r="B616" s="3546"/>
      <c r="C616" s="3547" t="s">
        <v>8124</v>
      </c>
      <c r="D616" s="3548" t="s">
        <v>9520</v>
      </c>
      <c r="E616" s="3547" t="s">
        <v>141</v>
      </c>
      <c r="F616" s="3530">
        <f>(45.9)*1.05</f>
        <v>48.195</v>
      </c>
      <c r="G616" s="3549"/>
      <c r="H616" s="3909">
        <f t="shared" si="123"/>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10174</v>
      </c>
      <c r="B617" s="3546"/>
      <c r="C617" s="3547">
        <v>713411121</v>
      </c>
      <c r="D617" s="3548" t="s">
        <v>9521</v>
      </c>
      <c r="E617" s="3547" t="s">
        <v>611</v>
      </c>
      <c r="F617" s="3530">
        <f>(45.9)*1.66</f>
        <v>76.193999999999988</v>
      </c>
      <c r="G617" s="3549"/>
      <c r="H617" s="3909">
        <f t="shared" si="123"/>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10175</v>
      </c>
      <c r="B618" s="3546"/>
      <c r="C618" s="3551" t="s">
        <v>8129</v>
      </c>
      <c r="D618" s="3552" t="s">
        <v>9522</v>
      </c>
      <c r="E618" s="3551" t="s">
        <v>611</v>
      </c>
      <c r="F618" s="3553">
        <f>((45.9)*1.66)*1.1</f>
        <v>83.813399999999987</v>
      </c>
      <c r="G618" s="3554"/>
      <c r="H618" s="3910">
        <f t="shared" si="123"/>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9523</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9524</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8132</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9617</v>
      </c>
      <c r="D622" s="3526" t="s">
        <v>9526</v>
      </c>
      <c r="E622" s="3526" t="s">
        <v>141</v>
      </c>
      <c r="F622" s="3527">
        <f>ROUND(SUM(F630),3)</f>
        <v>6.48</v>
      </c>
      <c r="G622" s="3542">
        <f>ROUND(SUM(H625:H628)/F622,2)</f>
        <v>0</v>
      </c>
      <c r="H622" s="3904">
        <f t="shared" ref="H622" si="124">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9527</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8119</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10176</v>
      </c>
      <c r="B625" s="3546"/>
      <c r="C625" s="3547" t="s">
        <v>8138</v>
      </c>
      <c r="D625" s="3548" t="s">
        <v>9528</v>
      </c>
      <c r="E625" s="3547" t="s">
        <v>141</v>
      </c>
      <c r="F625" s="3530">
        <f>F622</f>
        <v>6.48</v>
      </c>
      <c r="G625" s="3549"/>
      <c r="H625" s="3909">
        <f t="shared" ref="H625:H628" si="125">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10177</v>
      </c>
      <c r="B626" s="3546"/>
      <c r="C626" s="3547" t="s">
        <v>9300</v>
      </c>
      <c r="D626" s="3548" t="s">
        <v>9529</v>
      </c>
      <c r="E626" s="3547" t="s">
        <v>141</v>
      </c>
      <c r="F626" s="3530">
        <f>(6.48)*1.05</f>
        <v>6.8040000000000012</v>
      </c>
      <c r="G626" s="3549"/>
      <c r="H626" s="3909">
        <f t="shared" si="125"/>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10178</v>
      </c>
      <c r="B627" s="3546"/>
      <c r="C627" s="3547">
        <v>713411121</v>
      </c>
      <c r="D627" s="3548" t="s">
        <v>9530</v>
      </c>
      <c r="E627" s="3547" t="s">
        <v>611</v>
      </c>
      <c r="F627" s="3530">
        <f xml:space="preserve"> (6.48)*1.72</f>
        <v>11.1456</v>
      </c>
      <c r="G627" s="3549"/>
      <c r="H627" s="3909">
        <f t="shared" si="125"/>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10179</v>
      </c>
      <c r="B628" s="3546"/>
      <c r="C628" s="3551" t="s">
        <v>8129</v>
      </c>
      <c r="D628" s="3552" t="s">
        <v>9531</v>
      </c>
      <c r="E628" s="3551" t="s">
        <v>611</v>
      </c>
      <c r="F628" s="3553">
        <f>((6.48)*1.72)*1.1</f>
        <v>12.260160000000001</v>
      </c>
      <c r="G628" s="3554"/>
      <c r="H628" s="3910">
        <f t="shared" si="125"/>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9532</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9533</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8132</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9626</v>
      </c>
      <c r="D632" s="3526" t="s">
        <v>9535</v>
      </c>
      <c r="E632" s="3526" t="s">
        <v>141</v>
      </c>
      <c r="F632" s="3527">
        <f>ROUND(SUM(F640),3)</f>
        <v>25.62</v>
      </c>
      <c r="G632" s="3542">
        <f>ROUND(SUM(H635:H638)/F632,2)</f>
        <v>0</v>
      </c>
      <c r="H632" s="3904">
        <f t="shared" ref="H632" si="126">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9536</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8119</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10180</v>
      </c>
      <c r="B635" s="3546"/>
      <c r="C635" s="3547" t="s">
        <v>8138</v>
      </c>
      <c r="D635" s="3548" t="s">
        <v>9537</v>
      </c>
      <c r="E635" s="3547" t="s">
        <v>141</v>
      </c>
      <c r="F635" s="3530">
        <f>F632</f>
        <v>25.62</v>
      </c>
      <c r="G635" s="3549"/>
      <c r="H635" s="3909">
        <f t="shared" ref="H635:H638" si="127">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10181</v>
      </c>
      <c r="B636" s="3546"/>
      <c r="C636" s="3547" t="s">
        <v>9300</v>
      </c>
      <c r="D636" s="3548" t="s">
        <v>9538</v>
      </c>
      <c r="E636" s="3547" t="s">
        <v>141</v>
      </c>
      <c r="F636" s="3530">
        <f>(25.62)*1.05</f>
        <v>26.901000000000003</v>
      </c>
      <c r="G636" s="3549"/>
      <c r="H636" s="3909">
        <f t="shared" si="127"/>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10182</v>
      </c>
      <c r="B637" s="3546"/>
      <c r="C637" s="3547">
        <v>713411121</v>
      </c>
      <c r="D637" s="3548" t="s">
        <v>9539</v>
      </c>
      <c r="E637" s="3547" t="s">
        <v>611</v>
      </c>
      <c r="F637" s="3530">
        <f xml:space="preserve"> (25.62)*1.79</f>
        <v>45.8598</v>
      </c>
      <c r="G637" s="3549"/>
      <c r="H637" s="3909">
        <f t="shared" si="127"/>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10183</v>
      </c>
      <c r="B638" s="3546"/>
      <c r="C638" s="3551" t="s">
        <v>8129</v>
      </c>
      <c r="D638" s="3552" t="s">
        <v>9540</v>
      </c>
      <c r="E638" s="3551" t="s">
        <v>611</v>
      </c>
      <c r="F638" s="3553">
        <f>((25.62)*1.79)*1.1</f>
        <v>50.445780000000006</v>
      </c>
      <c r="G638" s="3554"/>
      <c r="H638" s="3910">
        <f t="shared" si="127"/>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9541</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9542</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8132</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9635</v>
      </c>
      <c r="D642" s="3526" t="s">
        <v>9544</v>
      </c>
      <c r="E642" s="3526" t="s">
        <v>141</v>
      </c>
      <c r="F642" s="3527">
        <f>ROUND(SUM(F650),3)</f>
        <v>4.28</v>
      </c>
      <c r="G642" s="3542">
        <f>ROUND(SUM(H645:H648)/F642,2)</f>
        <v>0</v>
      </c>
      <c r="H642" s="3904">
        <f t="shared" ref="H642" si="128">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9545</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8119</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10184</v>
      </c>
      <c r="B645" s="3546"/>
      <c r="C645" s="3547" t="s">
        <v>8138</v>
      </c>
      <c r="D645" s="3548" t="s">
        <v>9546</v>
      </c>
      <c r="E645" s="3547" t="s">
        <v>141</v>
      </c>
      <c r="F645" s="3530">
        <f>F642</f>
        <v>4.28</v>
      </c>
      <c r="G645" s="3549"/>
      <c r="H645" s="3909">
        <f t="shared" ref="H645:H648" si="129">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10185</v>
      </c>
      <c r="B646" s="3546"/>
      <c r="C646" s="3547" t="s">
        <v>9300</v>
      </c>
      <c r="D646" s="3548" t="s">
        <v>9547</v>
      </c>
      <c r="E646" s="3547" t="s">
        <v>141</v>
      </c>
      <c r="F646" s="3530">
        <f xml:space="preserve"> (4.28)*1.05</f>
        <v>4.4940000000000007</v>
      </c>
      <c r="G646" s="3549"/>
      <c r="H646" s="3909">
        <f t="shared" si="129"/>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10186</v>
      </c>
      <c r="B647" s="3546"/>
      <c r="C647" s="3547">
        <v>713411121</v>
      </c>
      <c r="D647" s="3548" t="s">
        <v>9548</v>
      </c>
      <c r="E647" s="3547" t="s">
        <v>611</v>
      </c>
      <c r="F647" s="3530">
        <f>(4.28)*1.87</f>
        <v>8.0036000000000005</v>
      </c>
      <c r="G647" s="3549"/>
      <c r="H647" s="3909">
        <f t="shared" si="129"/>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10187</v>
      </c>
      <c r="B648" s="3546"/>
      <c r="C648" s="3551" t="s">
        <v>8129</v>
      </c>
      <c r="D648" s="3552" t="s">
        <v>9549</v>
      </c>
      <c r="E648" s="3551" t="s">
        <v>611</v>
      </c>
      <c r="F648" s="3553">
        <f>((4.28)*1.87)*1.1</f>
        <v>8.8039600000000018</v>
      </c>
      <c r="G648" s="3554"/>
      <c r="H648" s="3910">
        <f t="shared" si="129"/>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9550</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9551</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8132</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9649</v>
      </c>
      <c r="D652" s="3526" t="s">
        <v>9553</v>
      </c>
      <c r="E652" s="3526" t="s">
        <v>141</v>
      </c>
      <c r="F652" s="3527">
        <f>ROUND(SUM(F660),3)</f>
        <v>5.62</v>
      </c>
      <c r="G652" s="3542">
        <f>ROUND(SUM(H655:H658)/F652,2)</f>
        <v>0</v>
      </c>
      <c r="H652" s="3904">
        <f t="shared" ref="H652" si="130">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9554</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8119</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8120</v>
      </c>
      <c r="B655" s="3546"/>
      <c r="C655" s="3547" t="s">
        <v>8138</v>
      </c>
      <c r="D655" s="3548" t="s">
        <v>9555</v>
      </c>
      <c r="E655" s="3547" t="s">
        <v>141</v>
      </c>
      <c r="F655" s="3530">
        <f>F652</f>
        <v>5.62</v>
      </c>
      <c r="G655" s="3549"/>
      <c r="H655" s="3909">
        <f t="shared" ref="H655:H658" si="131">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8123</v>
      </c>
      <c r="B656" s="3546"/>
      <c r="C656" s="3547" t="s">
        <v>9300</v>
      </c>
      <c r="D656" s="3548" t="s">
        <v>9556</v>
      </c>
      <c r="E656" s="3547" t="s">
        <v>141</v>
      </c>
      <c r="F656" s="3530">
        <f>(5.62)*1.05</f>
        <v>5.9010000000000007</v>
      </c>
      <c r="G656" s="3549"/>
      <c r="H656" s="3909">
        <f t="shared" si="131"/>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8126</v>
      </c>
      <c r="B657" s="3546"/>
      <c r="C657" s="3547">
        <v>713411121</v>
      </c>
      <c r="D657" s="3548" t="s">
        <v>9557</v>
      </c>
      <c r="E657" s="3547" t="s">
        <v>611</v>
      </c>
      <c r="F657" s="3530">
        <f>(5.62)*1.96</f>
        <v>11.0152</v>
      </c>
      <c r="G657" s="3549"/>
      <c r="H657" s="3909">
        <f t="shared" si="131"/>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8128</v>
      </c>
      <c r="B658" s="3546"/>
      <c r="C658" s="3551" t="s">
        <v>8129</v>
      </c>
      <c r="D658" s="3552" t="s">
        <v>9558</v>
      </c>
      <c r="E658" s="3551" t="s">
        <v>611</v>
      </c>
      <c r="F658" s="3553">
        <f>((5.62)*1.96)*1.1</f>
        <v>12.116720000000001</v>
      </c>
      <c r="G658" s="3554"/>
      <c r="H658" s="3910">
        <f t="shared" si="131"/>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9559</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9560</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8132</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9665</v>
      </c>
      <c r="D662" s="3526" t="s">
        <v>9562</v>
      </c>
      <c r="E662" s="3526" t="s">
        <v>141</v>
      </c>
      <c r="F662" s="3527">
        <f>ROUND(SUM(F670),3)</f>
        <v>1.28</v>
      </c>
      <c r="G662" s="3542">
        <f>ROUND(SUM(H665:H668)/F662,2)</f>
        <v>0</v>
      </c>
      <c r="H662" s="3904">
        <f t="shared" ref="H662" si="132">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9563</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8119</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8137</v>
      </c>
      <c r="B665" s="3546"/>
      <c r="C665" s="3547" t="s">
        <v>8138</v>
      </c>
      <c r="D665" s="3548" t="s">
        <v>9564</v>
      </c>
      <c r="E665" s="3547" t="s">
        <v>141</v>
      </c>
      <c r="F665" s="3530">
        <f>F662</f>
        <v>1.28</v>
      </c>
      <c r="G665" s="3549"/>
      <c r="H665" s="3909">
        <f t="shared" ref="H665:H668" si="133">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8140</v>
      </c>
      <c r="B666" s="3546"/>
      <c r="C666" s="3547" t="s">
        <v>9300</v>
      </c>
      <c r="D666" s="3548" t="s">
        <v>9565</v>
      </c>
      <c r="E666" s="3547" t="s">
        <v>141</v>
      </c>
      <c r="F666" s="3530">
        <f xml:space="preserve"> (1.28)*1.05</f>
        <v>1.3440000000000001</v>
      </c>
      <c r="G666" s="3549"/>
      <c r="H666" s="3909">
        <f t="shared" si="133"/>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8142</v>
      </c>
      <c r="B667" s="3546"/>
      <c r="C667" s="3547">
        <v>713411121</v>
      </c>
      <c r="D667" s="3548" t="s">
        <v>9566</v>
      </c>
      <c r="E667" s="3547" t="s">
        <v>611</v>
      </c>
      <c r="F667" s="3530">
        <f>(1.28)*2.16</f>
        <v>2.7648000000000001</v>
      </c>
      <c r="G667" s="3549"/>
      <c r="H667" s="3909">
        <f t="shared" si="133"/>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8144</v>
      </c>
      <c r="B668" s="3546"/>
      <c r="C668" s="3551" t="s">
        <v>8129</v>
      </c>
      <c r="D668" s="3552" t="s">
        <v>9567</v>
      </c>
      <c r="E668" s="3551" t="s">
        <v>611</v>
      </c>
      <c r="F668" s="3553">
        <f xml:space="preserve"> ((1.28)*2.16)*1.1</f>
        <v>3.0412800000000004</v>
      </c>
      <c r="G668" s="3554"/>
      <c r="H668" s="3910">
        <f t="shared" si="133"/>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9568</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9569</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8132</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9674</v>
      </c>
      <c r="D672" s="3526" t="s">
        <v>9571</v>
      </c>
      <c r="E672" s="3526" t="s">
        <v>141</v>
      </c>
      <c r="F672" s="3527">
        <f>ROUND(SUM(F680),3)</f>
        <v>1.1000000000000001</v>
      </c>
      <c r="G672" s="3542">
        <f>ROUND(SUM(H675:H678)/F672,2)</f>
        <v>0</v>
      </c>
      <c r="H672" s="3904">
        <f t="shared" ref="H672" si="134">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9572</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8119</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8151</v>
      </c>
      <c r="B675" s="3546"/>
      <c r="C675" s="3547" t="s">
        <v>9475</v>
      </c>
      <c r="D675" s="3548" t="s">
        <v>9573</v>
      </c>
      <c r="E675" s="3547" t="s">
        <v>141</v>
      </c>
      <c r="F675" s="3530">
        <f>F672</f>
        <v>1.1000000000000001</v>
      </c>
      <c r="G675" s="3549"/>
      <c r="H675" s="3909">
        <f t="shared" ref="H675:H678" si="135">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8152</v>
      </c>
      <c r="B676" s="3546"/>
      <c r="C676" s="3547" t="s">
        <v>9477</v>
      </c>
      <c r="D676" s="3548" t="s">
        <v>9574</v>
      </c>
      <c r="E676" s="3547" t="s">
        <v>141</v>
      </c>
      <c r="F676" s="3530">
        <f>(1.1)*1.05</f>
        <v>1.1550000000000002</v>
      </c>
      <c r="G676" s="3549"/>
      <c r="H676" s="3909">
        <f t="shared" si="135"/>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8153</v>
      </c>
      <c r="B677" s="3546"/>
      <c r="C677" s="3547">
        <v>713411121</v>
      </c>
      <c r="D677" s="3548" t="s">
        <v>9575</v>
      </c>
      <c r="E677" s="3547" t="s">
        <v>611</v>
      </c>
      <c r="F677" s="3530">
        <f xml:space="preserve"> (1.1)*2.42</f>
        <v>2.6619999999999999</v>
      </c>
      <c r="G677" s="3549"/>
      <c r="H677" s="3909">
        <f t="shared" si="135"/>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8155</v>
      </c>
      <c r="B678" s="3546"/>
      <c r="C678" s="3551" t="s">
        <v>8129</v>
      </c>
      <c r="D678" s="3552" t="s">
        <v>9576</v>
      </c>
      <c r="E678" s="3551" t="s">
        <v>611</v>
      </c>
      <c r="F678" s="3553">
        <f>((1.1)*2.42)*1.1</f>
        <v>2.9282000000000004</v>
      </c>
      <c r="G678" s="3554"/>
      <c r="H678" s="3910">
        <f t="shared" si="135"/>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9577</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9578</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8132</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9690</v>
      </c>
      <c r="D682" s="3526" t="s">
        <v>9580</v>
      </c>
      <c r="E682" s="3526" t="s">
        <v>141</v>
      </c>
      <c r="F682" s="3527">
        <f>ROUND(SUM(F690),3)</f>
        <v>1.57</v>
      </c>
      <c r="G682" s="3542">
        <f>ROUND(SUM(H685:H688)/F682,2)</f>
        <v>0</v>
      </c>
      <c r="H682" s="3904">
        <f t="shared" ref="H682" si="136">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9581</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8119</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10188</v>
      </c>
      <c r="B685" s="3546"/>
      <c r="C685" s="3547" t="s">
        <v>9475</v>
      </c>
      <c r="D685" s="3548" t="s">
        <v>9582</v>
      </c>
      <c r="E685" s="3547" t="s">
        <v>141</v>
      </c>
      <c r="F685" s="3530">
        <f>F682</f>
        <v>1.57</v>
      </c>
      <c r="G685" s="3549"/>
      <c r="H685" s="3909">
        <f t="shared" ref="H685:H688" si="137">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10189</v>
      </c>
      <c r="B686" s="3546"/>
      <c r="C686" s="3547" t="s">
        <v>9477</v>
      </c>
      <c r="D686" s="3548" t="s">
        <v>9583</v>
      </c>
      <c r="E686" s="3547" t="s">
        <v>141</v>
      </c>
      <c r="F686" s="3530">
        <f>(1.57)*1.05</f>
        <v>1.6485000000000001</v>
      </c>
      <c r="G686" s="3549"/>
      <c r="H686" s="3909">
        <f t="shared" si="137"/>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10190</v>
      </c>
      <c r="B687" s="3546"/>
      <c r="C687" s="3547">
        <v>713411121</v>
      </c>
      <c r="D687" s="3548" t="s">
        <v>9584</v>
      </c>
      <c r="E687" s="3547" t="s">
        <v>611</v>
      </c>
      <c r="F687" s="3530">
        <f>(1.57)*2.58</f>
        <v>4.0506000000000002</v>
      </c>
      <c r="G687" s="3549"/>
      <c r="H687" s="3909">
        <f t="shared" si="137"/>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10191</v>
      </c>
      <c r="B688" s="3546"/>
      <c r="C688" s="3551" t="s">
        <v>8129</v>
      </c>
      <c r="D688" s="3552" t="s">
        <v>9585</v>
      </c>
      <c r="E688" s="3551" t="s">
        <v>611</v>
      </c>
      <c r="F688" s="3553">
        <f>((1.57)*2.58)*1.1</f>
        <v>4.4556600000000008</v>
      </c>
      <c r="G688" s="3554"/>
      <c r="H688" s="3910">
        <f t="shared" si="137"/>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9586</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9587</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8132</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9699</v>
      </c>
      <c r="D692" s="3526" t="s">
        <v>9589</v>
      </c>
      <c r="E692" s="3526" t="s">
        <v>141</v>
      </c>
      <c r="F692" s="3527">
        <f>ROUND(SUM(F700),3)</f>
        <v>2.2400000000000002</v>
      </c>
      <c r="G692" s="3542">
        <f>ROUND(SUM(H695:H698)/F692,2)</f>
        <v>0</v>
      </c>
      <c r="H692" s="3904">
        <f t="shared" ref="H692" si="138">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9590</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8119</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6422</v>
      </c>
      <c r="B695" s="3546"/>
      <c r="C695" s="3547" t="s">
        <v>9475</v>
      </c>
      <c r="D695" s="3548" t="s">
        <v>9591</v>
      </c>
      <c r="E695" s="3547" t="s">
        <v>141</v>
      </c>
      <c r="F695" s="3530">
        <f>F692</f>
        <v>2.2400000000000002</v>
      </c>
      <c r="G695" s="3549"/>
      <c r="H695" s="3909">
        <f t="shared" ref="H695:H698" si="139">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6425</v>
      </c>
      <c r="B696" s="3546"/>
      <c r="C696" s="3547" t="s">
        <v>9477</v>
      </c>
      <c r="D696" s="3548" t="s">
        <v>9592</v>
      </c>
      <c r="E696" s="3547" t="s">
        <v>141</v>
      </c>
      <c r="F696" s="3530">
        <f xml:space="preserve"> (2.24)*1.05</f>
        <v>2.3520000000000003</v>
      </c>
      <c r="G696" s="3549"/>
      <c r="H696" s="3909">
        <f t="shared" si="139"/>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6428</v>
      </c>
      <c r="B697" s="3546"/>
      <c r="C697" s="3547">
        <v>713411121</v>
      </c>
      <c r="D697" s="3548" t="s">
        <v>9593</v>
      </c>
      <c r="E697" s="3547" t="s">
        <v>611</v>
      </c>
      <c r="F697" s="3530">
        <f>(2.24)*3.16</f>
        <v>7.0784000000000011</v>
      </c>
      <c r="G697" s="3549"/>
      <c r="H697" s="3909">
        <f t="shared" si="139"/>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6431</v>
      </c>
      <c r="B698" s="3546"/>
      <c r="C698" s="3551" t="s">
        <v>8129</v>
      </c>
      <c r="D698" s="3552" t="s">
        <v>9594</v>
      </c>
      <c r="E698" s="3551" t="s">
        <v>611</v>
      </c>
      <c r="F698" s="3553">
        <f>((2.24)*3.16)*1.1</f>
        <v>7.786240000000002</v>
      </c>
      <c r="G698" s="3554"/>
      <c r="H698" s="3910">
        <f t="shared" si="139"/>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9595</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9596</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8132</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9708</v>
      </c>
      <c r="D702" s="3526" t="s">
        <v>9598</v>
      </c>
      <c r="E702" s="3526" t="s">
        <v>141</v>
      </c>
      <c r="F702" s="3527">
        <f>ROUND(SUM(F710),3)</f>
        <v>1.1100000000000001</v>
      </c>
      <c r="G702" s="3542">
        <f>ROUND(SUM(H705:H708)/F702,2)</f>
        <v>0</v>
      </c>
      <c r="H702" s="3904">
        <f t="shared" ref="H702" si="140">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9599</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8119</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6438</v>
      </c>
      <c r="B705" s="3546"/>
      <c r="C705" s="3547" t="s">
        <v>9600</v>
      </c>
      <c r="D705" s="3548" t="s">
        <v>9601</v>
      </c>
      <c r="E705" s="3547" t="s">
        <v>141</v>
      </c>
      <c r="F705" s="3530">
        <f>F702</f>
        <v>1.1100000000000001</v>
      </c>
      <c r="G705" s="3549"/>
      <c r="H705" s="3909">
        <f t="shared" ref="H705:H708" si="141">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6439</v>
      </c>
      <c r="B706" s="3546"/>
      <c r="C706" s="3547" t="s">
        <v>9602</v>
      </c>
      <c r="D706" s="3548" t="s">
        <v>9603</v>
      </c>
      <c r="E706" s="3547" t="s">
        <v>141</v>
      </c>
      <c r="F706" s="3530">
        <f>(1.11)*1.05</f>
        <v>1.1655000000000002</v>
      </c>
      <c r="G706" s="3549"/>
      <c r="H706" s="3909">
        <f t="shared" si="141"/>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6442</v>
      </c>
      <c r="B707" s="3546"/>
      <c r="C707" s="3547">
        <v>713411121</v>
      </c>
      <c r="D707" s="3548" t="s">
        <v>9604</v>
      </c>
      <c r="E707" s="3547" t="s">
        <v>611</v>
      </c>
      <c r="F707" s="3530">
        <f>(1.11)*3.66</f>
        <v>4.0626000000000007</v>
      </c>
      <c r="G707" s="3549"/>
      <c r="H707" s="3909">
        <f t="shared" si="141"/>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6445</v>
      </c>
      <c r="B708" s="3546"/>
      <c r="C708" s="3551" t="s">
        <v>8129</v>
      </c>
      <c r="D708" s="3552" t="s">
        <v>9605</v>
      </c>
      <c r="E708" s="3551" t="s">
        <v>611</v>
      </c>
      <c r="F708" s="3553">
        <f>((1.11)*3.66)*1.1</f>
        <v>4.4688600000000012</v>
      </c>
      <c r="G708" s="3554"/>
      <c r="H708" s="3910">
        <f t="shared" si="141"/>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9606</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9607</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8132</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9725</v>
      </c>
      <c r="D712" s="3526" t="s">
        <v>9609</v>
      </c>
      <c r="E712" s="3526" t="s">
        <v>141</v>
      </c>
      <c r="F712" s="3527">
        <f>ROUND(SUM(F720),3)</f>
        <v>4.8899999999999997</v>
      </c>
      <c r="G712" s="3542">
        <f>ROUND(SUM(H715:H718)/F712,2)</f>
        <v>0</v>
      </c>
      <c r="H712" s="3904">
        <f t="shared" ref="H712" si="142">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9610</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8119</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6450</v>
      </c>
      <c r="B715" s="3546"/>
      <c r="C715" s="3547" t="s">
        <v>8121</v>
      </c>
      <c r="D715" s="3548" t="s">
        <v>9611</v>
      </c>
      <c r="E715" s="3547" t="s">
        <v>141</v>
      </c>
      <c r="F715" s="3530">
        <f>F712</f>
        <v>4.8899999999999997</v>
      </c>
      <c r="G715" s="3549"/>
      <c r="H715" s="3909">
        <f t="shared" ref="H715:H718" si="143">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6453</v>
      </c>
      <c r="B716" s="3546"/>
      <c r="C716" s="3547" t="s">
        <v>8124</v>
      </c>
      <c r="D716" s="3548" t="s">
        <v>9612</v>
      </c>
      <c r="E716" s="3547" t="s">
        <v>141</v>
      </c>
      <c r="F716" s="3530">
        <f>(4.89)*1.05</f>
        <v>5.1345000000000001</v>
      </c>
      <c r="G716" s="3549"/>
      <c r="H716" s="3909">
        <f t="shared" si="143"/>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6456</v>
      </c>
      <c r="B717" s="3546"/>
      <c r="C717" s="3547">
        <v>713411121</v>
      </c>
      <c r="D717" s="3548" t="s">
        <v>9613</v>
      </c>
      <c r="E717" s="3547" t="s">
        <v>611</v>
      </c>
      <c r="F717" s="3530">
        <f>(4.89)*1.68</f>
        <v>8.2151999999999994</v>
      </c>
      <c r="G717" s="3549"/>
      <c r="H717" s="3909">
        <f t="shared" si="143"/>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6459</v>
      </c>
      <c r="B718" s="3546"/>
      <c r="C718" s="3551" t="s">
        <v>8129</v>
      </c>
      <c r="D718" s="3552" t="s">
        <v>9614</v>
      </c>
      <c r="E718" s="3551" t="s">
        <v>611</v>
      </c>
      <c r="F718" s="3553">
        <f>((4.89)*1.68)*1.1</f>
        <v>9.0367200000000008</v>
      </c>
      <c r="G718" s="3554"/>
      <c r="H718" s="3910">
        <f t="shared" si="143"/>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9615</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9616</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8132</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9734</v>
      </c>
      <c r="D722" s="3526" t="s">
        <v>9618</v>
      </c>
      <c r="E722" s="3526" t="s">
        <v>141</v>
      </c>
      <c r="F722" s="3527">
        <f>ROUND(SUM(F730),3)</f>
        <v>1.28</v>
      </c>
      <c r="G722" s="3542">
        <f>ROUND(SUM(H725:H728)/F722,2)</f>
        <v>0</v>
      </c>
      <c r="H722" s="3904">
        <f t="shared" ref="H722" si="144">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9619</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8119</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6463</v>
      </c>
      <c r="B725" s="3546"/>
      <c r="C725" s="3547" t="s">
        <v>9475</v>
      </c>
      <c r="D725" s="3548" t="s">
        <v>9620</v>
      </c>
      <c r="E725" s="3547" t="s">
        <v>141</v>
      </c>
      <c r="F725" s="3530">
        <f>F722</f>
        <v>1.28</v>
      </c>
      <c r="G725" s="3549"/>
      <c r="H725" s="3909">
        <f t="shared" ref="H725:H728" si="145">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6465</v>
      </c>
      <c r="B726" s="3546"/>
      <c r="C726" s="3547" t="s">
        <v>9477</v>
      </c>
      <c r="D726" s="3548" t="s">
        <v>9621</v>
      </c>
      <c r="E726" s="3547" t="s">
        <v>141</v>
      </c>
      <c r="F726" s="3530">
        <f xml:space="preserve"> (1.28)*1.05</f>
        <v>1.3440000000000001</v>
      </c>
      <c r="G726" s="3549"/>
      <c r="H726" s="3909">
        <f t="shared" si="145"/>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6468</v>
      </c>
      <c r="B727" s="3546"/>
      <c r="C727" s="3547">
        <v>713411121</v>
      </c>
      <c r="D727" s="3548" t="s">
        <v>9622</v>
      </c>
      <c r="E727" s="3547" t="s">
        <v>611</v>
      </c>
      <c r="F727" s="3530">
        <f xml:space="preserve"> (1.28)*2.42</f>
        <v>3.0975999999999999</v>
      </c>
      <c r="G727" s="3549"/>
      <c r="H727" s="3909">
        <f t="shared" si="145"/>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6469</v>
      </c>
      <c r="B728" s="3546"/>
      <c r="C728" s="3551" t="s">
        <v>8129</v>
      </c>
      <c r="D728" s="3552" t="s">
        <v>9623</v>
      </c>
      <c r="E728" s="3551" t="s">
        <v>611</v>
      </c>
      <c r="F728" s="3553">
        <f xml:space="preserve"> ((1.28)*2.42)*1.1</f>
        <v>3.4073600000000002</v>
      </c>
      <c r="G728" s="3554"/>
      <c r="H728" s="3910">
        <f t="shared" si="145"/>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9624</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9625</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8132</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9743</v>
      </c>
      <c r="D732" s="3526" t="s">
        <v>9627</v>
      </c>
      <c r="E732" s="3526" t="s">
        <v>141</v>
      </c>
      <c r="F732" s="3527">
        <f>ROUND(SUM(F740),3)</f>
        <v>1.26</v>
      </c>
      <c r="G732" s="3542">
        <f>ROUND(SUM(H735:H738)/F732,2)</f>
        <v>0</v>
      </c>
      <c r="H732" s="3904">
        <f t="shared" ref="H732" si="146">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9628</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8119</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10192</v>
      </c>
      <c r="B735" s="3546"/>
      <c r="C735" s="3547" t="s">
        <v>8138</v>
      </c>
      <c r="D735" s="3548" t="s">
        <v>9629</v>
      </c>
      <c r="E735" s="3547" t="s">
        <v>141</v>
      </c>
      <c r="F735" s="3530">
        <f>F732</f>
        <v>1.26</v>
      </c>
      <c r="G735" s="3549"/>
      <c r="H735" s="3909">
        <f t="shared" ref="H735:H738" si="147">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10193</v>
      </c>
      <c r="B736" s="3546"/>
      <c r="C736" s="3547" t="s">
        <v>9300</v>
      </c>
      <c r="D736" s="3548" t="s">
        <v>9630</v>
      </c>
      <c r="E736" s="3547" t="s">
        <v>141</v>
      </c>
      <c r="F736" s="3530">
        <f>(1.26)*1.05</f>
        <v>1.3230000000000002</v>
      </c>
      <c r="G736" s="3549"/>
      <c r="H736" s="3909">
        <f t="shared" si="147"/>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10194</v>
      </c>
      <c r="B737" s="3546"/>
      <c r="C737" s="3547">
        <v>713411121</v>
      </c>
      <c r="D737" s="3548" t="s">
        <v>9631</v>
      </c>
      <c r="E737" s="3547" t="s">
        <v>611</v>
      </c>
      <c r="F737" s="3530">
        <f xml:space="preserve"> (1.26)*2.16</f>
        <v>2.7216</v>
      </c>
      <c r="G737" s="3549"/>
      <c r="H737" s="3909">
        <f t="shared" si="147"/>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10195</v>
      </c>
      <c r="B738" s="3546"/>
      <c r="C738" s="3551" t="s">
        <v>8129</v>
      </c>
      <c r="D738" s="3552" t="s">
        <v>9632</v>
      </c>
      <c r="E738" s="3551" t="s">
        <v>611</v>
      </c>
      <c r="F738" s="3553">
        <f xml:space="preserve"> ((1.26)*2.16)*1.1</f>
        <v>2.9937600000000004</v>
      </c>
      <c r="G738" s="3554"/>
      <c r="H738" s="3910">
        <f t="shared" si="147"/>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9633</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9634</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8132</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9759</v>
      </c>
      <c r="D742" s="3526" t="s">
        <v>8117</v>
      </c>
      <c r="E742" s="3526" t="s">
        <v>141</v>
      </c>
      <c r="F742" s="3527">
        <f>ROUND(SUM(F750),3)</f>
        <v>3.23</v>
      </c>
      <c r="G742" s="3542">
        <f>ROUND(SUM(H745:H748)/F742,2)</f>
        <v>0</v>
      </c>
      <c r="H742" s="3904">
        <f t="shared" ref="H742" si="148">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8118</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8119</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10196</v>
      </c>
      <c r="B745" s="3546"/>
      <c r="C745" s="3547" t="s">
        <v>8121</v>
      </c>
      <c r="D745" s="3548" t="s">
        <v>9636</v>
      </c>
      <c r="E745" s="3547" t="s">
        <v>141</v>
      </c>
      <c r="F745" s="3530">
        <f>F742</f>
        <v>3.23</v>
      </c>
      <c r="G745" s="3549"/>
      <c r="H745" s="3909">
        <f t="shared" ref="H745:H748" si="149">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10197</v>
      </c>
      <c r="B746" s="3546"/>
      <c r="C746" s="3547" t="s">
        <v>8124</v>
      </c>
      <c r="D746" s="3548" t="s">
        <v>9637</v>
      </c>
      <c r="E746" s="3547" t="s">
        <v>141</v>
      </c>
      <c r="F746" s="3530">
        <f>(3.23)*1.05</f>
        <v>3.3915000000000002</v>
      </c>
      <c r="G746" s="3549"/>
      <c r="H746" s="3909">
        <f t="shared" si="149"/>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10198</v>
      </c>
      <c r="B747" s="3546"/>
      <c r="C747" s="3547">
        <v>713411121</v>
      </c>
      <c r="D747" s="3548" t="s">
        <v>9638</v>
      </c>
      <c r="E747" s="3547" t="s">
        <v>611</v>
      </c>
      <c r="F747" s="3530">
        <f>(3.23)*1.82</f>
        <v>5.8786000000000005</v>
      </c>
      <c r="G747" s="3549"/>
      <c r="H747" s="3909">
        <f t="shared" si="149"/>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10199</v>
      </c>
      <c r="B748" s="3546"/>
      <c r="C748" s="3551" t="s">
        <v>8129</v>
      </c>
      <c r="D748" s="3552" t="s">
        <v>9639</v>
      </c>
      <c r="E748" s="3551" t="s">
        <v>611</v>
      </c>
      <c r="F748" s="3553">
        <f>((3.23)*1.82)*1.1</f>
        <v>6.4664600000000014</v>
      </c>
      <c r="G748" s="3554"/>
      <c r="H748" s="3910">
        <f t="shared" si="149"/>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9640</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9641</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8132</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9768</v>
      </c>
      <c r="D752" s="3526" t="s">
        <v>9642</v>
      </c>
      <c r="E752" s="3526" t="s">
        <v>141</v>
      </c>
      <c r="F752" s="3527">
        <f>ROUND(SUM(F760),3)</f>
        <v>36</v>
      </c>
      <c r="G752" s="3542">
        <f>ROUND(SUM(H755:H758)/F752,2)</f>
        <v>0</v>
      </c>
      <c r="H752" s="3904">
        <f t="shared" ref="H752" si="150">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9643</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9092</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10200</v>
      </c>
      <c r="B755" s="3546"/>
      <c r="C755" s="3547" t="s">
        <v>8121</v>
      </c>
      <c r="D755" s="3548" t="s">
        <v>9644</v>
      </c>
      <c r="E755" s="3547" t="s">
        <v>141</v>
      </c>
      <c r="F755" s="3530">
        <f>F752</f>
        <v>36</v>
      </c>
      <c r="G755" s="3549"/>
      <c r="H755" s="3909">
        <f t="shared" ref="H755:H758" si="151">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10201</v>
      </c>
      <c r="B756" s="3546"/>
      <c r="C756" s="3547" t="s">
        <v>8124</v>
      </c>
      <c r="D756" s="3548" t="s">
        <v>9645</v>
      </c>
      <c r="E756" s="3547" t="s">
        <v>141</v>
      </c>
      <c r="F756" s="3530">
        <f>(36)*1.05</f>
        <v>37.800000000000004</v>
      </c>
      <c r="G756" s="3549"/>
      <c r="H756" s="3909">
        <f t="shared" si="151"/>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10202</v>
      </c>
      <c r="B757" s="3546"/>
      <c r="C757" s="3547">
        <v>713411121</v>
      </c>
      <c r="D757" s="3548" t="s">
        <v>9646</v>
      </c>
      <c r="E757" s="3547" t="s">
        <v>611</v>
      </c>
      <c r="F757" s="3530">
        <f>(36)*1.82</f>
        <v>65.52</v>
      </c>
      <c r="G757" s="3549"/>
      <c r="H757" s="3909">
        <f t="shared" si="151"/>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10203</v>
      </c>
      <c r="B758" s="3546"/>
      <c r="C758" s="3551" t="s">
        <v>9096</v>
      </c>
      <c r="D758" s="3552" t="s">
        <v>9647</v>
      </c>
      <c r="E758" s="3551" t="s">
        <v>611</v>
      </c>
      <c r="F758" s="3553">
        <f>((36)*1.82)*1.1</f>
        <v>72.072000000000003</v>
      </c>
      <c r="G758" s="3554"/>
      <c r="H758" s="3910">
        <f t="shared" si="151"/>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9640</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9648</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8132</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9784</v>
      </c>
      <c r="D762" s="3526" t="s">
        <v>9650</v>
      </c>
      <c r="E762" s="3526" t="s">
        <v>141</v>
      </c>
      <c r="F762" s="3527">
        <f>ROUND(SUM(F770),3)</f>
        <v>21.7</v>
      </c>
      <c r="G762" s="3542">
        <f>ROUND(SUM(H765:H768)/F762,2)</f>
        <v>0</v>
      </c>
      <c r="H762" s="3904">
        <f t="shared" ref="H762" si="152">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9651</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8119</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10204</v>
      </c>
      <c r="B765" s="3546"/>
      <c r="C765" s="3547" t="s">
        <v>8138</v>
      </c>
      <c r="D765" s="3548" t="s">
        <v>9652</v>
      </c>
      <c r="E765" s="3547" t="s">
        <v>141</v>
      </c>
      <c r="F765" s="3530">
        <f>F762</f>
        <v>21.7</v>
      </c>
      <c r="G765" s="3549"/>
      <c r="H765" s="3909">
        <f t="shared" ref="H765:H768" si="153">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10205</v>
      </c>
      <c r="B766" s="3546"/>
      <c r="C766" s="3547" t="s">
        <v>9300</v>
      </c>
      <c r="D766" s="3548" t="s">
        <v>9653</v>
      </c>
      <c r="E766" s="3547" t="s">
        <v>141</v>
      </c>
      <c r="F766" s="3530">
        <f>(21.7)*1.05</f>
        <v>22.785</v>
      </c>
      <c r="G766" s="3549"/>
      <c r="H766" s="3909">
        <f t="shared" si="153"/>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10206</v>
      </c>
      <c r="B767" s="3546"/>
      <c r="C767" s="3547">
        <v>713411121</v>
      </c>
      <c r="D767" s="3548" t="s">
        <v>9654</v>
      </c>
      <c r="E767" s="3547" t="s">
        <v>611</v>
      </c>
      <c r="F767" s="3530">
        <f>(21.7)*1.92</f>
        <v>41.663999999999994</v>
      </c>
      <c r="G767" s="3549"/>
      <c r="H767" s="3909">
        <f t="shared" si="153"/>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10207</v>
      </c>
      <c r="B768" s="3546"/>
      <c r="C768" s="3551" t="s">
        <v>8129</v>
      </c>
      <c r="D768" s="3552" t="s">
        <v>9655</v>
      </c>
      <c r="E768" s="3551" t="s">
        <v>611</v>
      </c>
      <c r="F768" s="3553">
        <f>((21.7)*1.92)*1.1</f>
        <v>45.830399999999997</v>
      </c>
      <c r="G768" s="3554"/>
      <c r="H768" s="3910">
        <f t="shared" si="153"/>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9656</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9657</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8132</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9793</v>
      </c>
      <c r="D772" s="3526" t="s">
        <v>9658</v>
      </c>
      <c r="E772" s="3526" t="s">
        <v>141</v>
      </c>
      <c r="F772" s="3527">
        <f>ROUND(SUM(F780),3)</f>
        <v>21.4</v>
      </c>
      <c r="G772" s="3542">
        <f>ROUND(SUM(H775:H778)/F772,2)</f>
        <v>0</v>
      </c>
      <c r="H772" s="3904">
        <f t="shared" ref="H772" si="154">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9659</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9092</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10208</v>
      </c>
      <c r="B775" s="3546"/>
      <c r="C775" s="3547" t="s">
        <v>8138</v>
      </c>
      <c r="D775" s="3548" t="s">
        <v>9660</v>
      </c>
      <c r="E775" s="3547" t="s">
        <v>141</v>
      </c>
      <c r="F775" s="3530">
        <f>F772</f>
        <v>21.4</v>
      </c>
      <c r="G775" s="3549"/>
      <c r="H775" s="3909">
        <f t="shared" ref="H775:H778" si="155">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10209</v>
      </c>
      <c r="B776" s="3546"/>
      <c r="C776" s="3547" t="s">
        <v>9300</v>
      </c>
      <c r="D776" s="3548" t="s">
        <v>9661</v>
      </c>
      <c r="E776" s="3547" t="s">
        <v>141</v>
      </c>
      <c r="F776" s="3530">
        <f>(21.4)*1.05</f>
        <v>22.47</v>
      </c>
      <c r="G776" s="3549"/>
      <c r="H776" s="3909">
        <f t="shared" si="155"/>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10210</v>
      </c>
      <c r="B777" s="3546"/>
      <c r="C777" s="3547">
        <v>713411121</v>
      </c>
      <c r="D777" s="3548" t="s">
        <v>9662</v>
      </c>
      <c r="E777" s="3547" t="s">
        <v>611</v>
      </c>
      <c r="F777" s="3530">
        <f>(43.1)*1.92</f>
        <v>82.751999999999995</v>
      </c>
      <c r="G777" s="3549"/>
      <c r="H777" s="3909">
        <f t="shared" si="155"/>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10211</v>
      </c>
      <c r="B778" s="3546"/>
      <c r="C778" s="3551" t="s">
        <v>9096</v>
      </c>
      <c r="D778" s="3552" t="s">
        <v>9663</v>
      </c>
      <c r="E778" s="3551" t="s">
        <v>611</v>
      </c>
      <c r="F778" s="3553">
        <f>((21.4)*1.92)*1.1</f>
        <v>45.196799999999996</v>
      </c>
      <c r="G778" s="3554"/>
      <c r="H778" s="3910">
        <f t="shared" si="155"/>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9656</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9664</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8132</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9811</v>
      </c>
      <c r="D782" s="3526" t="s">
        <v>9666</v>
      </c>
      <c r="E782" s="3526" t="s">
        <v>141</v>
      </c>
      <c r="F782" s="3527">
        <f>ROUND(SUM(F790),3)</f>
        <v>4.9400000000000004</v>
      </c>
      <c r="G782" s="3542">
        <f>ROUND(SUM(H785:H788)/F782,2)</f>
        <v>0</v>
      </c>
      <c r="H782" s="3904">
        <f t="shared" ref="H782" si="156">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9667</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8119</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10212</v>
      </c>
      <c r="B785" s="3546"/>
      <c r="C785" s="3547" t="s">
        <v>8138</v>
      </c>
      <c r="D785" s="3548" t="s">
        <v>9668</v>
      </c>
      <c r="E785" s="3547" t="s">
        <v>141</v>
      </c>
      <c r="F785" s="3530">
        <f>F782</f>
        <v>4.9400000000000004</v>
      </c>
      <c r="G785" s="3549"/>
      <c r="H785" s="3909">
        <f t="shared" ref="H785:H788" si="157">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10213</v>
      </c>
      <c r="B786" s="3546"/>
      <c r="C786" s="3547" t="s">
        <v>9300</v>
      </c>
      <c r="D786" s="3548" t="s">
        <v>9669</v>
      </c>
      <c r="E786" s="3547" t="s">
        <v>141</v>
      </c>
      <c r="F786" s="3530">
        <f>(4.94)*1.05</f>
        <v>5.1870000000000003</v>
      </c>
      <c r="G786" s="3549"/>
      <c r="H786" s="3909">
        <f t="shared" si="157"/>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10214</v>
      </c>
      <c r="B787" s="3546"/>
      <c r="C787" s="3547">
        <v>713411121</v>
      </c>
      <c r="D787" s="3548" t="s">
        <v>9670</v>
      </c>
      <c r="E787" s="3547" t="s">
        <v>611</v>
      </c>
      <c r="F787" s="3530">
        <f>(4.94)*1.98</f>
        <v>9.7812000000000001</v>
      </c>
      <c r="G787" s="3549"/>
      <c r="H787" s="3909">
        <f t="shared" si="157"/>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10215</v>
      </c>
      <c r="B788" s="3546"/>
      <c r="C788" s="3551" t="s">
        <v>8129</v>
      </c>
      <c r="D788" s="3552" t="s">
        <v>9671</v>
      </c>
      <c r="E788" s="3551" t="s">
        <v>611</v>
      </c>
      <c r="F788" s="3553">
        <f>((4.94)*1.98)*1.1</f>
        <v>10.759320000000001</v>
      </c>
      <c r="G788" s="3554"/>
      <c r="H788" s="3910">
        <f t="shared" si="157"/>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9672</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9673</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8132</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9820</v>
      </c>
      <c r="D792" s="3526" t="s">
        <v>9675</v>
      </c>
      <c r="E792" s="3526" t="s">
        <v>141</v>
      </c>
      <c r="F792" s="3527">
        <f>ROUND(SUM(F800),3)</f>
        <v>12.35</v>
      </c>
      <c r="G792" s="3542">
        <f>ROUND(SUM(H795:H798)/F792,2)</f>
        <v>0</v>
      </c>
      <c r="H792" s="3904">
        <f t="shared" ref="H792" si="158">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9676</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8119</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10216</v>
      </c>
      <c r="B795" s="3546"/>
      <c r="C795" s="3547" t="s">
        <v>8138</v>
      </c>
      <c r="D795" s="3548" t="s">
        <v>9677</v>
      </c>
      <c r="E795" s="3547" t="s">
        <v>141</v>
      </c>
      <c r="F795" s="3530">
        <f>F792</f>
        <v>12.35</v>
      </c>
      <c r="G795" s="3549"/>
      <c r="H795" s="3909">
        <f t="shared" ref="H795:H798" si="159">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10217</v>
      </c>
      <c r="B796" s="3546"/>
      <c r="C796" s="3547" t="s">
        <v>9300</v>
      </c>
      <c r="D796" s="3548" t="s">
        <v>9678</v>
      </c>
      <c r="E796" s="3547" t="s">
        <v>141</v>
      </c>
      <c r="F796" s="3530">
        <f xml:space="preserve"> (12.35)*1.05</f>
        <v>12.967499999999999</v>
      </c>
      <c r="G796" s="3549"/>
      <c r="H796" s="3909">
        <f t="shared" si="159"/>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10218</v>
      </c>
      <c r="B797" s="3546"/>
      <c r="C797" s="3547">
        <v>713411121</v>
      </c>
      <c r="D797" s="3548" t="s">
        <v>9679</v>
      </c>
      <c r="E797" s="3547" t="s">
        <v>611</v>
      </c>
      <c r="F797" s="3530">
        <f xml:space="preserve"> (12.35)*2.05</f>
        <v>25.317499999999995</v>
      </c>
      <c r="G797" s="3549"/>
      <c r="H797" s="3909">
        <f t="shared" si="159"/>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10219</v>
      </c>
      <c r="B798" s="3546"/>
      <c r="C798" s="3551" t="s">
        <v>8129</v>
      </c>
      <c r="D798" s="3552" t="s">
        <v>9680</v>
      </c>
      <c r="E798" s="3551" t="s">
        <v>611</v>
      </c>
      <c r="F798" s="3553">
        <f>((15.35)*2.05)*1.1</f>
        <v>34.614249999999998</v>
      </c>
      <c r="G798" s="3554"/>
      <c r="H798" s="3910">
        <f t="shared" si="159"/>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9681</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9682</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8132</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9829</v>
      </c>
      <c r="D802" s="3526" t="s">
        <v>9683</v>
      </c>
      <c r="E802" s="3526" t="s">
        <v>141</v>
      </c>
      <c r="F802" s="3527">
        <f>ROUND(SUM(F810),3)</f>
        <v>3</v>
      </c>
      <c r="G802" s="3542">
        <f>ROUND(SUM(H805:H808)/F802,2)</f>
        <v>0</v>
      </c>
      <c r="H802" s="3904">
        <f t="shared" ref="H802" si="160">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9684</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9092</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10220</v>
      </c>
      <c r="B805" s="3546"/>
      <c r="C805" s="3547" t="s">
        <v>8138</v>
      </c>
      <c r="D805" s="3548" t="s">
        <v>9685</v>
      </c>
      <c r="E805" s="3547" t="s">
        <v>141</v>
      </c>
      <c r="F805" s="3530">
        <f>F802</f>
        <v>3</v>
      </c>
      <c r="G805" s="3549"/>
      <c r="H805" s="3909">
        <f t="shared" ref="H805:H808" si="161">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10221</v>
      </c>
      <c r="B806" s="3546"/>
      <c r="C806" s="3547" t="s">
        <v>9300</v>
      </c>
      <c r="D806" s="3548" t="s">
        <v>9686</v>
      </c>
      <c r="E806" s="3547" t="s">
        <v>141</v>
      </c>
      <c r="F806" s="3530">
        <f>(3)*1.05</f>
        <v>3.1500000000000004</v>
      </c>
      <c r="G806" s="3549"/>
      <c r="H806" s="3909">
        <f t="shared" si="161"/>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10222</v>
      </c>
      <c r="B807" s="3546"/>
      <c r="C807" s="3547">
        <v>713411121</v>
      </c>
      <c r="D807" s="3548" t="s">
        <v>9687</v>
      </c>
      <c r="E807" s="3547" t="s">
        <v>611</v>
      </c>
      <c r="F807" s="3530">
        <f>(3)*2.05</f>
        <v>6.1499999999999995</v>
      </c>
      <c r="G807" s="3549"/>
      <c r="H807" s="3909">
        <f t="shared" si="161"/>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10223</v>
      </c>
      <c r="B808" s="3546"/>
      <c r="C808" s="3551" t="s">
        <v>9096</v>
      </c>
      <c r="D808" s="3552" t="s">
        <v>9688</v>
      </c>
      <c r="E808" s="3551" t="s">
        <v>611</v>
      </c>
      <c r="F808" s="3553">
        <f>((3)*2.05)*1.1</f>
        <v>6.7649999999999997</v>
      </c>
      <c r="G808" s="3554"/>
      <c r="H808" s="3910">
        <f t="shared" si="161"/>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9681</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9689</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8132</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9838</v>
      </c>
      <c r="D812" s="3526" t="s">
        <v>9691</v>
      </c>
      <c r="E812" s="3526" t="s">
        <v>141</v>
      </c>
      <c r="F812" s="3527">
        <f>ROUND(SUM(F820),3)</f>
        <v>1.6</v>
      </c>
      <c r="G812" s="3542">
        <f>ROUND(SUM(H815:H818)/F812,2)</f>
        <v>0</v>
      </c>
      <c r="H812" s="3904">
        <f t="shared" ref="H812" si="162">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9692</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8119</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10224</v>
      </c>
      <c r="B815" s="3546"/>
      <c r="C815" s="3547" t="s">
        <v>8138</v>
      </c>
      <c r="D815" s="3548" t="s">
        <v>9693</v>
      </c>
      <c r="E815" s="3547" t="s">
        <v>141</v>
      </c>
      <c r="F815" s="3530">
        <f>F812</f>
        <v>1.6</v>
      </c>
      <c r="G815" s="3549"/>
      <c r="H815" s="3909">
        <f t="shared" ref="H815:H818" si="163">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10225</v>
      </c>
      <c r="B816" s="3546"/>
      <c r="C816" s="3547" t="s">
        <v>9300</v>
      </c>
      <c r="D816" s="3548" t="s">
        <v>9694</v>
      </c>
      <c r="E816" s="3547" t="s">
        <v>141</v>
      </c>
      <c r="F816" s="3530">
        <f>(1.6)*1.05</f>
        <v>1.6800000000000002</v>
      </c>
      <c r="G816" s="3549"/>
      <c r="H816" s="3909">
        <f t="shared" si="163"/>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10226</v>
      </c>
      <c r="B817" s="3546"/>
      <c r="C817" s="3547">
        <v>713411121</v>
      </c>
      <c r="D817" s="3548" t="s">
        <v>9695</v>
      </c>
      <c r="E817" s="3547" t="s">
        <v>611</v>
      </c>
      <c r="F817" s="3530">
        <f>(1.6)*2.22</f>
        <v>3.5520000000000005</v>
      </c>
      <c r="G817" s="3549"/>
      <c r="H817" s="3909">
        <f t="shared" si="163"/>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10227</v>
      </c>
      <c r="B818" s="3546"/>
      <c r="C818" s="3551" t="s">
        <v>8129</v>
      </c>
      <c r="D818" s="3552" t="s">
        <v>9696</v>
      </c>
      <c r="E818" s="3551" t="s">
        <v>611</v>
      </c>
      <c r="F818" s="3553">
        <f>((1.6)*2.22)*1.1</f>
        <v>3.9072000000000009</v>
      </c>
      <c r="G818" s="3554"/>
      <c r="H818" s="3910">
        <f t="shared" si="163"/>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9697</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9698</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8132</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9847</v>
      </c>
      <c r="D822" s="3526" t="s">
        <v>9700</v>
      </c>
      <c r="E822" s="3526" t="s">
        <v>141</v>
      </c>
      <c r="F822" s="3527">
        <f>ROUND(SUM(F830),3)</f>
        <v>2.8</v>
      </c>
      <c r="G822" s="3542">
        <f>ROUND(SUM(H825:H828)/F822,2)</f>
        <v>0</v>
      </c>
      <c r="H822" s="3904">
        <f t="shared" ref="H822" si="164">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9701</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8119</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10228</v>
      </c>
      <c r="B825" s="3546"/>
      <c r="C825" s="3547" t="s">
        <v>9475</v>
      </c>
      <c r="D825" s="3548" t="s">
        <v>9702</v>
      </c>
      <c r="E825" s="3547" t="s">
        <v>141</v>
      </c>
      <c r="F825" s="3530">
        <f>F822</f>
        <v>2.8</v>
      </c>
      <c r="G825" s="3549"/>
      <c r="H825" s="3909">
        <f t="shared" ref="H825:H828" si="165">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10229</v>
      </c>
      <c r="B826" s="3546"/>
      <c r="C826" s="3547" t="s">
        <v>9477</v>
      </c>
      <c r="D826" s="3548" t="s">
        <v>9703</v>
      </c>
      <c r="E826" s="3547" t="s">
        <v>141</v>
      </c>
      <c r="F826" s="3530">
        <f>(2.8)*1.05</f>
        <v>2.94</v>
      </c>
      <c r="G826" s="3549"/>
      <c r="H826" s="3909">
        <f t="shared" si="165"/>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10230</v>
      </c>
      <c r="B827" s="3546"/>
      <c r="C827" s="3547">
        <v>713411121</v>
      </c>
      <c r="D827" s="3548" t="s">
        <v>9704</v>
      </c>
      <c r="E827" s="3547" t="s">
        <v>611</v>
      </c>
      <c r="F827" s="3530">
        <f>(2.8)*2.42</f>
        <v>6.7759999999999998</v>
      </c>
      <c r="G827" s="3549"/>
      <c r="H827" s="3909">
        <f t="shared" si="165"/>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10231</v>
      </c>
      <c r="B828" s="3546"/>
      <c r="C828" s="3551" t="s">
        <v>8129</v>
      </c>
      <c r="D828" s="3552" t="s">
        <v>9705</v>
      </c>
      <c r="E828" s="3551" t="s">
        <v>611</v>
      </c>
      <c r="F828" s="3553">
        <f>((2.8)*2.42)*1.1</f>
        <v>7.4536000000000007</v>
      </c>
      <c r="G828" s="3554"/>
      <c r="H828" s="3910">
        <f t="shared" si="165"/>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9706</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9707</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8132</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9856</v>
      </c>
      <c r="D832" s="3526" t="s">
        <v>9709</v>
      </c>
      <c r="E832" s="3526" t="s">
        <v>141</v>
      </c>
      <c r="F832" s="3527">
        <f>ROUND(SUM(F840),3)</f>
        <v>4.12</v>
      </c>
      <c r="G832" s="3542">
        <f>ROUND(SUM(H835:H838)/F832,2)</f>
        <v>0</v>
      </c>
      <c r="H832" s="3904">
        <f t="shared" ref="H832" si="166">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9710</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8119</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10232</v>
      </c>
      <c r="B835" s="3546"/>
      <c r="C835" s="3547" t="s">
        <v>9475</v>
      </c>
      <c r="D835" s="3548" t="s">
        <v>9711</v>
      </c>
      <c r="E835" s="3547" t="s">
        <v>141</v>
      </c>
      <c r="F835" s="3530">
        <f>F832</f>
        <v>4.12</v>
      </c>
      <c r="G835" s="3549"/>
      <c r="H835" s="3909">
        <f t="shared" ref="H835:H838" si="167">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10233</v>
      </c>
      <c r="B836" s="3546"/>
      <c r="C836" s="3547" t="s">
        <v>9477</v>
      </c>
      <c r="D836" s="3548" t="s">
        <v>9712</v>
      </c>
      <c r="E836" s="3547" t="s">
        <v>141</v>
      </c>
      <c r="F836" s="3530">
        <f>(4.12)*1.05</f>
        <v>4.3260000000000005</v>
      </c>
      <c r="G836" s="3549"/>
      <c r="H836" s="3909">
        <f t="shared" si="167"/>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10234</v>
      </c>
      <c r="B837" s="3546"/>
      <c r="C837" s="3547">
        <v>713411121</v>
      </c>
      <c r="D837" s="3548" t="s">
        <v>9713</v>
      </c>
      <c r="E837" s="3547" t="s">
        <v>611</v>
      </c>
      <c r="F837" s="3530">
        <f>(4.12)*2.68</f>
        <v>11.041600000000001</v>
      </c>
      <c r="G837" s="3549"/>
      <c r="H837" s="3909">
        <f t="shared" si="167"/>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10235</v>
      </c>
      <c r="B838" s="3546"/>
      <c r="C838" s="3551" t="s">
        <v>8129</v>
      </c>
      <c r="D838" s="3552" t="s">
        <v>9714</v>
      </c>
      <c r="E838" s="3551" t="s">
        <v>611</v>
      </c>
      <c r="F838" s="3553">
        <f>((4.12)*2.68)*1.1</f>
        <v>12.145760000000001</v>
      </c>
      <c r="G838" s="3554"/>
      <c r="H838" s="3910">
        <f t="shared" si="167"/>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9715</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9716</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8132</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9865</v>
      </c>
      <c r="D842" s="3526" t="s">
        <v>9717</v>
      </c>
      <c r="E842" s="3526" t="s">
        <v>141</v>
      </c>
      <c r="F842" s="3527">
        <f>ROUND(SUM(F851),3)</f>
        <v>4.5</v>
      </c>
      <c r="G842" s="3542">
        <f>ROUND(SUM(H845:H849)/F842,2)</f>
        <v>0</v>
      </c>
      <c r="H842" s="3904">
        <f t="shared" ref="H842" si="168">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9465</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9112</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10236</v>
      </c>
      <c r="B845" s="3546"/>
      <c r="C845" s="3547" t="s">
        <v>9300</v>
      </c>
      <c r="D845" s="3548" t="s">
        <v>9718</v>
      </c>
      <c r="E845" s="3547" t="s">
        <v>141</v>
      </c>
      <c r="F845" s="3530">
        <f>(4.5)*1.05</f>
        <v>4.7250000000000005</v>
      </c>
      <c r="G845" s="3549"/>
      <c r="H845" s="3909">
        <f t="shared" ref="H845:H849" si="169">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10237</v>
      </c>
      <c r="B846" s="3546"/>
      <c r="C846" s="3547">
        <v>713411121</v>
      </c>
      <c r="D846" s="3548" t="s">
        <v>9719</v>
      </c>
      <c r="E846" s="3547" t="s">
        <v>611</v>
      </c>
      <c r="F846" s="3530">
        <f>(4.5)*2.92</f>
        <v>13.14</v>
      </c>
      <c r="G846" s="3549"/>
      <c r="H846" s="3909">
        <f t="shared" si="169"/>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10238</v>
      </c>
      <c r="B847" s="3546"/>
      <c r="C847" s="3551" t="s">
        <v>9115</v>
      </c>
      <c r="D847" s="3552" t="s">
        <v>9720</v>
      </c>
      <c r="E847" s="3551" t="s">
        <v>611</v>
      </c>
      <c r="F847" s="3553">
        <f>((4.5)*2.92)*1.1</f>
        <v>14.454000000000002</v>
      </c>
      <c r="G847" s="3554"/>
      <c r="H847" s="3910">
        <f t="shared" si="169"/>
        <v>0</v>
      </c>
      <c r="I847" s="3931"/>
      <c r="J847" s="3210" t="s">
        <v>644</v>
      </c>
      <c r="K847" s="5042"/>
      <c r="L847" s="5043"/>
      <c r="M847" s="5014"/>
      <c r="U847" s="5047"/>
      <c r="AB847" s="1091"/>
      <c r="AC847" s="1091"/>
      <c r="AD847" s="1091"/>
      <c r="AE847" s="1091"/>
    </row>
    <row r="848" spans="1:43" s="1061" customFormat="1" ht="27" customHeight="1">
      <c r="A848" s="3545" t="s">
        <v>10239</v>
      </c>
      <c r="B848" s="3546"/>
      <c r="C848" s="3547">
        <v>713491211</v>
      </c>
      <c r="D848" s="3547" t="s">
        <v>9721</v>
      </c>
      <c r="E848" s="3547" t="s">
        <v>611</v>
      </c>
      <c r="F848" s="3530">
        <f>(4.5)*2.92</f>
        <v>13.14</v>
      </c>
      <c r="G848" s="3549"/>
      <c r="H848" s="3909">
        <f t="shared" si="169"/>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10240</v>
      </c>
      <c r="B849" s="3546"/>
      <c r="C849" s="3551">
        <v>13756626</v>
      </c>
      <c r="D849" s="3551" t="s">
        <v>9722</v>
      </c>
      <c r="E849" s="3551" t="s">
        <v>302</v>
      </c>
      <c r="F849" s="3553">
        <f>((4.5)*2.92)*(8/1000)*1.1</f>
        <v>0.11563200000000001</v>
      </c>
      <c r="G849" s="3554"/>
      <c r="H849" s="3910">
        <f t="shared" si="169"/>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9723</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9724</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8132</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9879</v>
      </c>
      <c r="D853" s="3526" t="s">
        <v>9726</v>
      </c>
      <c r="E853" s="3526" t="s">
        <v>141</v>
      </c>
      <c r="F853" s="3527">
        <f>ROUND(SUM(F861),3)</f>
        <v>1.37</v>
      </c>
      <c r="G853" s="3542">
        <f>ROUND(SUM(H856:H859)/F853,2)</f>
        <v>0</v>
      </c>
      <c r="H853" s="3904">
        <f t="shared" ref="H853" si="170">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9727</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8119</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10241</v>
      </c>
      <c r="B856" s="3546"/>
      <c r="C856" s="3547" t="s">
        <v>9475</v>
      </c>
      <c r="D856" s="3548" t="s">
        <v>9728</v>
      </c>
      <c r="E856" s="3547" t="s">
        <v>141</v>
      </c>
      <c r="F856" s="3530">
        <f>F853</f>
        <v>1.37</v>
      </c>
      <c r="G856" s="3549"/>
      <c r="H856" s="3909">
        <f t="shared" ref="H856:H859" si="171">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10242</v>
      </c>
      <c r="B857" s="3546"/>
      <c r="C857" s="3547" t="s">
        <v>9477</v>
      </c>
      <c r="D857" s="3548" t="s">
        <v>9729</v>
      </c>
      <c r="E857" s="3547" t="s">
        <v>141</v>
      </c>
      <c r="F857" s="3530">
        <f xml:space="preserve"> (1.37)*1.05</f>
        <v>1.4385000000000001</v>
      </c>
      <c r="G857" s="3549"/>
      <c r="H857" s="3909">
        <f t="shared" si="171"/>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10243</v>
      </c>
      <c r="B858" s="3546"/>
      <c r="C858" s="3547">
        <v>713411121</v>
      </c>
      <c r="D858" s="3548" t="s">
        <v>9730</v>
      </c>
      <c r="E858" s="3547" t="s">
        <v>611</v>
      </c>
      <c r="F858" s="3530">
        <f>(1.37)*2.58</f>
        <v>3.5346000000000002</v>
      </c>
      <c r="G858" s="3549"/>
      <c r="H858" s="3909">
        <f t="shared" si="171"/>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10244</v>
      </c>
      <c r="B859" s="3546"/>
      <c r="C859" s="3551" t="s">
        <v>8129</v>
      </c>
      <c r="D859" s="3552" t="s">
        <v>9731</v>
      </c>
      <c r="E859" s="3551" t="s">
        <v>611</v>
      </c>
      <c r="F859" s="3553">
        <f>((1.37)*2.58)*1.1</f>
        <v>3.8880600000000007</v>
      </c>
      <c r="G859" s="3554"/>
      <c r="H859" s="3910">
        <f t="shared" si="171"/>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9732</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9733</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8132</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9888</v>
      </c>
      <c r="D863" s="3526" t="s">
        <v>9735</v>
      </c>
      <c r="E863" s="3526" t="s">
        <v>141</v>
      </c>
      <c r="F863" s="3527">
        <f>ROUND(SUM(F871),3)</f>
        <v>1.41</v>
      </c>
      <c r="G863" s="3542">
        <f>ROUND(SUM(H866:H869)/F863,2)</f>
        <v>0</v>
      </c>
      <c r="H863" s="3904">
        <f t="shared" ref="H863" si="172">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9736</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8119</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10245</v>
      </c>
      <c r="B866" s="3546"/>
      <c r="C866" s="3547" t="s">
        <v>9600</v>
      </c>
      <c r="D866" s="3548" t="s">
        <v>9737</v>
      </c>
      <c r="E866" s="3547" t="s">
        <v>141</v>
      </c>
      <c r="F866" s="3530">
        <f>F863</f>
        <v>1.41</v>
      </c>
      <c r="G866" s="3549"/>
      <c r="H866" s="3909">
        <f t="shared" ref="H866:H869" si="173">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10246</v>
      </c>
      <c r="B867" s="3546"/>
      <c r="C867" s="3547" t="s">
        <v>9602</v>
      </c>
      <c r="D867" s="3548" t="s">
        <v>9738</v>
      </c>
      <c r="E867" s="3547" t="s">
        <v>141</v>
      </c>
      <c r="F867" s="3530">
        <f>(1.41)*1.05</f>
        <v>1.4804999999999999</v>
      </c>
      <c r="G867" s="3549"/>
      <c r="H867" s="3909">
        <f t="shared" si="173"/>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10247</v>
      </c>
      <c r="B868" s="3546"/>
      <c r="C868" s="3547">
        <v>713411121</v>
      </c>
      <c r="D868" s="3548" t="s">
        <v>9739</v>
      </c>
      <c r="E868" s="3547" t="s">
        <v>611</v>
      </c>
      <c r="F868" s="3530">
        <f>(1.41)*3.18</f>
        <v>4.4837999999999996</v>
      </c>
      <c r="G868" s="3549"/>
      <c r="H868" s="3909">
        <f t="shared" si="173"/>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10248</v>
      </c>
      <c r="B869" s="3546"/>
      <c r="C869" s="3551" t="s">
        <v>8129</v>
      </c>
      <c r="D869" s="3552" t="s">
        <v>9740</v>
      </c>
      <c r="E869" s="3551" t="s">
        <v>611</v>
      </c>
      <c r="F869" s="3553">
        <f>((1.41)*3.18)*1.1</f>
        <v>4.9321799999999998</v>
      </c>
      <c r="G869" s="3554"/>
      <c r="H869" s="3910">
        <f t="shared" si="173"/>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9741</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9742</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8132</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9899</v>
      </c>
      <c r="D873" s="3526" t="s">
        <v>9744</v>
      </c>
      <c r="E873" s="3526" t="s">
        <v>141</v>
      </c>
      <c r="F873" s="3527">
        <f>ROUND(SUM(F881),3)</f>
        <v>0.61</v>
      </c>
      <c r="G873" s="3542">
        <f>ROUND(SUM(H876:H879)/F873,2)</f>
        <v>0</v>
      </c>
      <c r="H873" s="3904">
        <f t="shared" ref="H873" si="174">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9745</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8119</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10249</v>
      </c>
      <c r="B876" s="3546"/>
      <c r="C876" s="3547" t="s">
        <v>8138</v>
      </c>
      <c r="D876" s="3548" t="s">
        <v>9746</v>
      </c>
      <c r="E876" s="3547" t="s">
        <v>141</v>
      </c>
      <c r="F876" s="3530">
        <f>F873</f>
        <v>0.61</v>
      </c>
      <c r="G876" s="3549"/>
      <c r="H876" s="3909">
        <f t="shared" ref="H876:H879" si="175">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10250</v>
      </c>
      <c r="B877" s="3546"/>
      <c r="C877" s="3547" t="s">
        <v>9300</v>
      </c>
      <c r="D877" s="3548" t="s">
        <v>9747</v>
      </c>
      <c r="E877" s="3547" t="s">
        <v>141</v>
      </c>
      <c r="F877" s="3530">
        <f>(0.61)*1.05</f>
        <v>0.64049999999999996</v>
      </c>
      <c r="G877" s="3549"/>
      <c r="H877" s="3909">
        <f t="shared" si="175"/>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10251</v>
      </c>
      <c r="B878" s="3546"/>
      <c r="C878" s="3547">
        <v>713411121</v>
      </c>
      <c r="D878" s="3548" t="s">
        <v>9748</v>
      </c>
      <c r="E878" s="3547" t="s">
        <v>611</v>
      </c>
      <c r="F878" s="3530">
        <f>(0.61)*2.16</f>
        <v>1.3176000000000001</v>
      </c>
      <c r="G878" s="3549"/>
      <c r="H878" s="3909">
        <f t="shared" si="175"/>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10252</v>
      </c>
      <c r="B879" s="3546"/>
      <c r="C879" s="3551" t="s">
        <v>8129</v>
      </c>
      <c r="D879" s="3552" t="s">
        <v>9749</v>
      </c>
      <c r="E879" s="3551" t="s">
        <v>611</v>
      </c>
      <c r="F879" s="3553">
        <f>((0.61)*2.16)*1.1</f>
        <v>1.4493600000000002</v>
      </c>
      <c r="G879" s="3554"/>
      <c r="H879" s="3910">
        <f t="shared" si="175"/>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9750</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9751</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8132</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9908</v>
      </c>
      <c r="D883" s="3526" t="s">
        <v>9752</v>
      </c>
      <c r="E883" s="3526" t="s">
        <v>141</v>
      </c>
      <c r="F883" s="3527">
        <f>ROUND(SUM(F891),3)</f>
        <v>0.9</v>
      </c>
      <c r="G883" s="3542">
        <f>ROUND(SUM(H886:H889)/F883,2)</f>
        <v>0</v>
      </c>
      <c r="H883" s="3904">
        <f t="shared" ref="H883" si="176">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9753</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9092</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10253</v>
      </c>
      <c r="B886" s="3546"/>
      <c r="C886" s="3547" t="s">
        <v>8138</v>
      </c>
      <c r="D886" s="3548" t="s">
        <v>9754</v>
      </c>
      <c r="E886" s="3547" t="s">
        <v>141</v>
      </c>
      <c r="F886" s="3530">
        <f>F883</f>
        <v>0.9</v>
      </c>
      <c r="G886" s="3549"/>
      <c r="H886" s="3909">
        <f t="shared" ref="H886:H889" si="177">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10254</v>
      </c>
      <c r="B887" s="3546"/>
      <c r="C887" s="3547" t="s">
        <v>9300</v>
      </c>
      <c r="D887" s="3548" t="s">
        <v>9755</v>
      </c>
      <c r="E887" s="3547" t="s">
        <v>141</v>
      </c>
      <c r="F887" s="3530">
        <f>(0.9)*1.05</f>
        <v>0.94500000000000006</v>
      </c>
      <c r="G887" s="3549"/>
      <c r="H887" s="3909">
        <f t="shared" si="177"/>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10255</v>
      </c>
      <c r="B888" s="3546"/>
      <c r="C888" s="3547">
        <v>713411121</v>
      </c>
      <c r="D888" s="3548" t="s">
        <v>9756</v>
      </c>
      <c r="E888" s="3547" t="s">
        <v>611</v>
      </c>
      <c r="F888" s="3530">
        <f>(0.9)*2.16</f>
        <v>1.9440000000000002</v>
      </c>
      <c r="G888" s="3549"/>
      <c r="H888" s="3909">
        <f t="shared" si="177"/>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10256</v>
      </c>
      <c r="B889" s="3546"/>
      <c r="C889" s="3551" t="s">
        <v>9096</v>
      </c>
      <c r="D889" s="3552" t="s">
        <v>9757</v>
      </c>
      <c r="E889" s="3551" t="s">
        <v>611</v>
      </c>
      <c r="F889" s="3553">
        <f>((0.9)*2.16)*1.1</f>
        <v>2.1384000000000003</v>
      </c>
      <c r="G889" s="3554"/>
      <c r="H889" s="3910">
        <f t="shared" si="177"/>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9750</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9758</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8132</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10257</v>
      </c>
      <c r="D893" s="3526" t="s">
        <v>9760</v>
      </c>
      <c r="E893" s="3526" t="s">
        <v>141</v>
      </c>
      <c r="F893" s="3527">
        <f>ROUND(SUM(F901),3)</f>
        <v>4.0999999999999996</v>
      </c>
      <c r="G893" s="3542">
        <f>ROUND(SUM(H896:H899)/F893,2)</f>
        <v>0</v>
      </c>
      <c r="H893" s="3904">
        <f t="shared" ref="H893" si="178">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9761</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8119</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10258</v>
      </c>
      <c r="B896" s="3546"/>
      <c r="C896" s="3547" t="s">
        <v>8138</v>
      </c>
      <c r="D896" s="3548" t="s">
        <v>9762</v>
      </c>
      <c r="E896" s="3547" t="s">
        <v>141</v>
      </c>
      <c r="F896" s="3530">
        <f>F893</f>
        <v>4.0999999999999996</v>
      </c>
      <c r="G896" s="3549"/>
      <c r="H896" s="3909">
        <f t="shared" ref="H896:H899" si="179">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10259</v>
      </c>
      <c r="B897" s="3546"/>
      <c r="C897" s="3547" t="s">
        <v>9300</v>
      </c>
      <c r="D897" s="3548" t="s">
        <v>9763</v>
      </c>
      <c r="E897" s="3547" t="s">
        <v>141</v>
      </c>
      <c r="F897" s="3530">
        <f xml:space="preserve"> (4.1)*1.05</f>
        <v>4.3049999999999997</v>
      </c>
      <c r="G897" s="3549"/>
      <c r="H897" s="3909">
        <f t="shared" si="179"/>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10260</v>
      </c>
      <c r="B898" s="3546"/>
      <c r="C898" s="3547">
        <v>713411121</v>
      </c>
      <c r="D898" s="3548" t="s">
        <v>9764</v>
      </c>
      <c r="E898" s="3547" t="s">
        <v>611</v>
      </c>
      <c r="F898" s="3530">
        <f xml:space="preserve"> (4.1)*2.26</f>
        <v>9.2659999999999982</v>
      </c>
      <c r="G898" s="3549"/>
      <c r="H898" s="3909">
        <f t="shared" si="179"/>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10261</v>
      </c>
      <c r="B899" s="3546"/>
      <c r="C899" s="3551" t="s">
        <v>8129</v>
      </c>
      <c r="D899" s="3552" t="s">
        <v>9765</v>
      </c>
      <c r="E899" s="3551" t="s">
        <v>611</v>
      </c>
      <c r="F899" s="3553">
        <f>((4.1)*2.26)*1.1</f>
        <v>10.192599999999999</v>
      </c>
      <c r="G899" s="3554"/>
      <c r="H899" s="3910">
        <f t="shared" si="179"/>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9766</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9767</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8132</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10262</v>
      </c>
      <c r="D903" s="3526" t="s">
        <v>9769</v>
      </c>
      <c r="E903" s="3526" t="s">
        <v>141</v>
      </c>
      <c r="F903" s="3527">
        <f>ROUND(SUM(F911),3)</f>
        <v>18.010000000000002</v>
      </c>
      <c r="G903" s="3542">
        <f>ROUND(SUM(H906:H909)/F903,2)</f>
        <v>0</v>
      </c>
      <c r="H903" s="3904">
        <f t="shared" ref="H903" si="180">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9770</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8119</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10263</v>
      </c>
      <c r="B906" s="3546"/>
      <c r="C906" s="3547" t="s">
        <v>8138</v>
      </c>
      <c r="D906" s="3548" t="s">
        <v>9771</v>
      </c>
      <c r="E906" s="3547" t="s">
        <v>141</v>
      </c>
      <c r="F906" s="3530">
        <f>F903</f>
        <v>18.010000000000002</v>
      </c>
      <c r="G906" s="3549"/>
      <c r="H906" s="3909">
        <f t="shared" ref="H906:H909" si="181">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10264</v>
      </c>
      <c r="B907" s="3546"/>
      <c r="C907" s="3547" t="s">
        <v>9300</v>
      </c>
      <c r="D907" s="3548" t="s">
        <v>9772</v>
      </c>
      <c r="E907" s="3547" t="s">
        <v>141</v>
      </c>
      <c r="F907" s="3530">
        <f>(18.01)*1.05</f>
        <v>18.910500000000003</v>
      </c>
      <c r="G907" s="3549"/>
      <c r="H907" s="3909">
        <f t="shared" si="181"/>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10265</v>
      </c>
      <c r="B908" s="3546"/>
      <c r="C908" s="3547">
        <v>713411121</v>
      </c>
      <c r="D908" s="3548" t="s">
        <v>9773</v>
      </c>
      <c r="E908" s="3547" t="s">
        <v>611</v>
      </c>
      <c r="F908" s="3530">
        <f>(18.01)*2.39</f>
        <v>43.043900000000008</v>
      </c>
      <c r="G908" s="3549"/>
      <c r="H908" s="3909">
        <f t="shared" si="181"/>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10266</v>
      </c>
      <c r="B909" s="3546"/>
      <c r="C909" s="3551" t="s">
        <v>8129</v>
      </c>
      <c r="D909" s="3552" t="s">
        <v>9774</v>
      </c>
      <c r="E909" s="3551" t="s">
        <v>611</v>
      </c>
      <c r="F909" s="3553">
        <f>((18.01)*2.39)*1.1</f>
        <v>47.348290000000013</v>
      </c>
      <c r="G909" s="3554"/>
      <c r="H909" s="3910">
        <f t="shared" si="181"/>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9775</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9776</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8132</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10267</v>
      </c>
      <c r="D913" s="3526" t="s">
        <v>9777</v>
      </c>
      <c r="E913" s="3526" t="s">
        <v>141</v>
      </c>
      <c r="F913" s="3527">
        <f>ROUND(SUM(F921),3)</f>
        <v>19.100000000000001</v>
      </c>
      <c r="G913" s="3542">
        <f>ROUND(SUM(H916:H919)/F913,2)</f>
        <v>0</v>
      </c>
      <c r="H913" s="3904">
        <f t="shared" ref="H913" si="182">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9778</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9092</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10268</v>
      </c>
      <c r="B916" s="3546"/>
      <c r="C916" s="3547" t="s">
        <v>8138</v>
      </c>
      <c r="D916" s="3548" t="s">
        <v>9779</v>
      </c>
      <c r="E916" s="3547" t="s">
        <v>141</v>
      </c>
      <c r="F916" s="3530">
        <f>F913</f>
        <v>19.100000000000001</v>
      </c>
      <c r="G916" s="3549"/>
      <c r="H916" s="3909">
        <f t="shared" ref="H916:H919" si="183">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10269</v>
      </c>
      <c r="B917" s="3546"/>
      <c r="C917" s="3547" t="s">
        <v>9300</v>
      </c>
      <c r="D917" s="3548" t="s">
        <v>9780</v>
      </c>
      <c r="E917" s="3547" t="s">
        <v>141</v>
      </c>
      <c r="F917" s="3530">
        <f>(19.1)*1.05</f>
        <v>20.055000000000003</v>
      </c>
      <c r="G917" s="3549"/>
      <c r="H917" s="3909">
        <f t="shared" si="183"/>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10270</v>
      </c>
      <c r="B918" s="3546"/>
      <c r="C918" s="3547">
        <v>713411121</v>
      </c>
      <c r="D918" s="3548" t="s">
        <v>9781</v>
      </c>
      <c r="E918" s="3547" t="s">
        <v>611</v>
      </c>
      <c r="F918" s="3530">
        <f>(19.1)*2.39</f>
        <v>45.649000000000008</v>
      </c>
      <c r="G918" s="3549"/>
      <c r="H918" s="3909">
        <f t="shared" si="183"/>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10271</v>
      </c>
      <c r="B919" s="3546"/>
      <c r="C919" s="3551" t="s">
        <v>9096</v>
      </c>
      <c r="D919" s="3552" t="s">
        <v>9782</v>
      </c>
      <c r="E919" s="3551" t="s">
        <v>611</v>
      </c>
      <c r="F919" s="3553">
        <f>((19.1)*2.39)*1.1</f>
        <v>50.21390000000001</v>
      </c>
      <c r="G919" s="3554"/>
      <c r="H919" s="3910">
        <f t="shared" si="183"/>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9775</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9783</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8132</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10272</v>
      </c>
      <c r="D923" s="3526" t="s">
        <v>9785</v>
      </c>
      <c r="E923" s="3526" t="s">
        <v>141</v>
      </c>
      <c r="F923" s="3527">
        <f>ROUND(SUM(F931),3)</f>
        <v>4.9000000000000004</v>
      </c>
      <c r="G923" s="3542">
        <f>ROUND(SUM(H926:H929)/F923,2)</f>
        <v>0</v>
      </c>
      <c r="H923" s="3904">
        <f t="shared" ref="H923" si="184">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9786</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8119</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10273</v>
      </c>
      <c r="B926" s="3546"/>
      <c r="C926" s="3547" t="s">
        <v>9475</v>
      </c>
      <c r="D926" s="3548" t="s">
        <v>9787</v>
      </c>
      <c r="E926" s="3547" t="s">
        <v>141</v>
      </c>
      <c r="F926" s="3530">
        <f>F923</f>
        <v>4.9000000000000004</v>
      </c>
      <c r="G926" s="3549"/>
      <c r="H926" s="3909">
        <f t="shared" ref="H926:H929" si="185">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10274</v>
      </c>
      <c r="B927" s="3546"/>
      <c r="C927" s="3547" t="s">
        <v>9477</v>
      </c>
      <c r="D927" s="3548" t="s">
        <v>9788</v>
      </c>
      <c r="E927" s="3547" t="s">
        <v>141</v>
      </c>
      <c r="F927" s="3530">
        <f xml:space="preserve"> (4.9)*1.05</f>
        <v>5.1450000000000005</v>
      </c>
      <c r="G927" s="3549"/>
      <c r="H927" s="3909">
        <f t="shared" si="185"/>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10275</v>
      </c>
      <c r="B928" s="3546"/>
      <c r="C928" s="3547">
        <v>713411121</v>
      </c>
      <c r="D928" s="3548" t="s">
        <v>9789</v>
      </c>
      <c r="E928" s="3547" t="s">
        <v>611</v>
      </c>
      <c r="F928" s="3530">
        <f>(4.9)*2.76</f>
        <v>13.523999999999999</v>
      </c>
      <c r="G928" s="3549"/>
      <c r="H928" s="3909">
        <f t="shared" si="185"/>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10276</v>
      </c>
      <c r="B929" s="3546"/>
      <c r="C929" s="3551" t="s">
        <v>8129</v>
      </c>
      <c r="D929" s="3552" t="s">
        <v>9790</v>
      </c>
      <c r="E929" s="3551" t="s">
        <v>611</v>
      </c>
      <c r="F929" s="3553">
        <f>((4.9)*2.76)*1.1</f>
        <v>14.8764</v>
      </c>
      <c r="G929" s="3554"/>
      <c r="H929" s="3910">
        <f t="shared" si="185"/>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9791</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9792</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8132</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10277</v>
      </c>
      <c r="D933" s="3526" t="s">
        <v>9794</v>
      </c>
      <c r="E933" s="3526" t="s">
        <v>141</v>
      </c>
      <c r="F933" s="3527">
        <f>ROUND(SUM(F941),3)</f>
        <v>1.84</v>
      </c>
      <c r="G933" s="3542">
        <f>ROUND(SUM(H936:H939)/F933,2)</f>
        <v>0</v>
      </c>
      <c r="H933" s="3904">
        <f t="shared" ref="H933" si="186">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9795</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8119</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10278</v>
      </c>
      <c r="B936" s="3546"/>
      <c r="C936" s="3547" t="s">
        <v>9600</v>
      </c>
      <c r="D936" s="3548" t="s">
        <v>9796</v>
      </c>
      <c r="E936" s="3547" t="s">
        <v>141</v>
      </c>
      <c r="F936" s="3530">
        <f>F933</f>
        <v>1.84</v>
      </c>
      <c r="G936" s="3549"/>
      <c r="H936" s="3909">
        <f t="shared" ref="H936:H939" si="187">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10279</v>
      </c>
      <c r="B937" s="3546"/>
      <c r="C937" s="3547" t="s">
        <v>9602</v>
      </c>
      <c r="D937" s="3548" t="s">
        <v>9797</v>
      </c>
      <c r="E937" s="3547" t="s">
        <v>141</v>
      </c>
      <c r="F937" s="3530">
        <f>(1.84)*1.05</f>
        <v>1.9320000000000002</v>
      </c>
      <c r="G937" s="3549"/>
      <c r="H937" s="3909">
        <f t="shared" si="187"/>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10280</v>
      </c>
      <c r="B938" s="3546"/>
      <c r="C938" s="3547">
        <v>713411121</v>
      </c>
      <c r="D938" s="3548" t="s">
        <v>9798</v>
      </c>
      <c r="E938" s="3547" t="s">
        <v>611</v>
      </c>
      <c r="F938" s="3530">
        <f>(1.84)*3.36</f>
        <v>6.1824000000000003</v>
      </c>
      <c r="G938" s="3549"/>
      <c r="H938" s="3909">
        <f t="shared" si="187"/>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10281</v>
      </c>
      <c r="B939" s="3546"/>
      <c r="C939" s="3551" t="s">
        <v>8129</v>
      </c>
      <c r="D939" s="3552" t="s">
        <v>9799</v>
      </c>
      <c r="E939" s="3551" t="s">
        <v>611</v>
      </c>
      <c r="F939" s="3553">
        <f>((1.84)*3.36)*1.1</f>
        <v>6.8006400000000014</v>
      </c>
      <c r="G939" s="3554"/>
      <c r="H939" s="3910">
        <f t="shared" si="187"/>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9800</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9801</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8132</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10282</v>
      </c>
      <c r="D943" s="3526" t="s">
        <v>9802</v>
      </c>
      <c r="E943" s="3526" t="s">
        <v>141</v>
      </c>
      <c r="F943" s="3527">
        <f>ROUND(SUM(F952),3)</f>
        <v>5.3</v>
      </c>
      <c r="G943" s="3542">
        <f>ROUND(SUM(H946:H950)/F943,2)</f>
        <v>0</v>
      </c>
      <c r="H943" s="3904">
        <f t="shared" ref="H943" si="188">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9803</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9112</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10283</v>
      </c>
      <c r="B946" s="3546"/>
      <c r="C946" s="3547" t="s">
        <v>9300</v>
      </c>
      <c r="D946" s="3548" t="s">
        <v>9804</v>
      </c>
      <c r="E946" s="3547" t="s">
        <v>141</v>
      </c>
      <c r="F946" s="3530">
        <f xml:space="preserve"> (5.3)*1.05</f>
        <v>5.5650000000000004</v>
      </c>
      <c r="G946" s="3549"/>
      <c r="H946" s="3909">
        <f t="shared" ref="H946:H950" si="189">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10284</v>
      </c>
      <c r="B947" s="3546"/>
      <c r="C947" s="3547">
        <v>713411121</v>
      </c>
      <c r="D947" s="3548" t="s">
        <v>9805</v>
      </c>
      <c r="E947" s="3547" t="s">
        <v>611</v>
      </c>
      <c r="F947" s="3530">
        <f xml:space="preserve"> (5.3)*3.6</f>
        <v>19.079999999999998</v>
      </c>
      <c r="G947" s="3549"/>
      <c r="H947" s="3909">
        <f t="shared" si="189"/>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10285</v>
      </c>
      <c r="B948" s="3546"/>
      <c r="C948" s="3551" t="s">
        <v>9115</v>
      </c>
      <c r="D948" s="3552" t="s">
        <v>9806</v>
      </c>
      <c r="E948" s="3551" t="s">
        <v>611</v>
      </c>
      <c r="F948" s="3553">
        <f>((5.3)*3.6)*1.1</f>
        <v>20.988</v>
      </c>
      <c r="G948" s="3554"/>
      <c r="H948" s="3910">
        <f t="shared" si="189"/>
        <v>0</v>
      </c>
      <c r="I948" s="3931"/>
      <c r="J948" s="3210" t="s">
        <v>644</v>
      </c>
      <c r="K948" s="5042"/>
      <c r="L948" s="5043"/>
      <c r="M948" s="5014"/>
      <c r="U948" s="5047"/>
      <c r="AB948" s="1091"/>
      <c r="AC948" s="1091"/>
      <c r="AD948" s="1091"/>
      <c r="AE948" s="1091"/>
    </row>
    <row r="949" spans="1:43" s="1061" customFormat="1" ht="27" customHeight="1">
      <c r="A949" s="3545" t="s">
        <v>10286</v>
      </c>
      <c r="B949" s="3546"/>
      <c r="C949" s="3547">
        <v>713491211</v>
      </c>
      <c r="D949" s="3547" t="s">
        <v>9807</v>
      </c>
      <c r="E949" s="3547" t="s">
        <v>611</v>
      </c>
      <c r="F949" s="3530">
        <f>(5.3)*3.6</f>
        <v>19.079999999999998</v>
      </c>
      <c r="G949" s="3549"/>
      <c r="H949" s="3909">
        <f t="shared" si="189"/>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10287</v>
      </c>
      <c r="B950" s="3546"/>
      <c r="C950" s="3551">
        <v>13756626</v>
      </c>
      <c r="D950" s="3551" t="s">
        <v>9808</v>
      </c>
      <c r="E950" s="3551" t="s">
        <v>302</v>
      </c>
      <c r="F950" s="3553">
        <f>((5.3)*3.6)*(8/1000)*1.1</f>
        <v>0.167904</v>
      </c>
      <c r="G950" s="3554"/>
      <c r="H950" s="3910">
        <f t="shared" si="189"/>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9809</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9810</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8132</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10288</v>
      </c>
      <c r="D954" s="3526" t="s">
        <v>9812</v>
      </c>
      <c r="E954" s="3526" t="s">
        <v>141</v>
      </c>
      <c r="F954" s="3527">
        <f>ROUND(SUM(F962),3)</f>
        <v>1.28</v>
      </c>
      <c r="G954" s="3542">
        <f>ROUND(SUM(H957:H960)/F954,2)</f>
        <v>0</v>
      </c>
      <c r="H954" s="3904">
        <f t="shared" ref="H954" si="190">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9813</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8119</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10289</v>
      </c>
      <c r="B957" s="3546"/>
      <c r="C957" s="3547" t="s">
        <v>9600</v>
      </c>
      <c r="D957" s="3548" t="s">
        <v>9814</v>
      </c>
      <c r="E957" s="3547" t="s">
        <v>141</v>
      </c>
      <c r="F957" s="3530">
        <f>F954</f>
        <v>1.28</v>
      </c>
      <c r="G957" s="3549"/>
      <c r="H957" s="3909">
        <f t="shared" ref="H957:H960" si="191">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10290</v>
      </c>
      <c r="B958" s="3546"/>
      <c r="C958" s="3547" t="s">
        <v>9602</v>
      </c>
      <c r="D958" s="3548" t="s">
        <v>9815</v>
      </c>
      <c r="E958" s="3547" t="s">
        <v>141</v>
      </c>
      <c r="F958" s="3530">
        <f xml:space="preserve"> (1.28)*1.05</f>
        <v>1.3440000000000001</v>
      </c>
      <c r="G958" s="3549"/>
      <c r="H958" s="3909">
        <f t="shared" si="191"/>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10291</v>
      </c>
      <c r="B959" s="3546"/>
      <c r="C959" s="3547">
        <v>713411121</v>
      </c>
      <c r="D959" s="3548" t="s">
        <v>9816</v>
      </c>
      <c r="E959" s="3547" t="s">
        <v>611</v>
      </c>
      <c r="F959" s="3530">
        <f>(1.28)*3.4</f>
        <v>4.3520000000000003</v>
      </c>
      <c r="G959" s="3549"/>
      <c r="H959" s="3909">
        <f t="shared" si="191"/>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10292</v>
      </c>
      <c r="B960" s="3546"/>
      <c r="C960" s="3551" t="s">
        <v>8129</v>
      </c>
      <c r="D960" s="3552" t="s">
        <v>9817</v>
      </c>
      <c r="E960" s="3551" t="s">
        <v>611</v>
      </c>
      <c r="F960" s="3553">
        <f>((1.28)*3.4)*1.1</f>
        <v>4.7872000000000003</v>
      </c>
      <c r="G960" s="3554"/>
      <c r="H960" s="3910">
        <f t="shared" si="191"/>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9818</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9819</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8132</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10293</v>
      </c>
      <c r="D964" s="3526" t="s">
        <v>9821</v>
      </c>
      <c r="E964" s="3526" t="s">
        <v>141</v>
      </c>
      <c r="F964" s="3527">
        <f>ROUND(SUM(F972),3)</f>
        <v>1.18</v>
      </c>
      <c r="G964" s="3542">
        <f>ROUND(SUM(H967:H970)/F964,2)</f>
        <v>0</v>
      </c>
      <c r="H964" s="3904">
        <f t="shared" ref="H964" si="192">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9822</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8119</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10294</v>
      </c>
      <c r="B967" s="3546"/>
      <c r="C967" s="3547" t="s">
        <v>9600</v>
      </c>
      <c r="D967" s="3548" t="s">
        <v>9823</v>
      </c>
      <c r="E967" s="3547" t="s">
        <v>141</v>
      </c>
      <c r="F967" s="3530">
        <f>F964</f>
        <v>1.18</v>
      </c>
      <c r="G967" s="3549"/>
      <c r="H967" s="3909">
        <f t="shared" ref="H967:H970" si="193">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10295</v>
      </c>
      <c r="B968" s="3546"/>
      <c r="C968" s="3547" t="s">
        <v>9602</v>
      </c>
      <c r="D968" s="3548" t="s">
        <v>9824</v>
      </c>
      <c r="E968" s="3547" t="s">
        <v>141</v>
      </c>
      <c r="F968" s="3530">
        <f xml:space="preserve"> (1.18)*1.05</f>
        <v>1.2389999999999999</v>
      </c>
      <c r="G968" s="3549"/>
      <c r="H968" s="3909">
        <f t="shared" si="193"/>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10296</v>
      </c>
      <c r="B969" s="3546"/>
      <c r="C969" s="3547">
        <v>713411121</v>
      </c>
      <c r="D969" s="3548" t="s">
        <v>9825</v>
      </c>
      <c r="E969" s="3547" t="s">
        <v>611</v>
      </c>
      <c r="F969" s="3530">
        <f xml:space="preserve"> (1.18)*3.38</f>
        <v>3.9883999999999995</v>
      </c>
      <c r="G969" s="3549"/>
      <c r="H969" s="3909">
        <f t="shared" si="193"/>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10297</v>
      </c>
      <c r="B970" s="3546"/>
      <c r="C970" s="3551" t="s">
        <v>8129</v>
      </c>
      <c r="D970" s="3552" t="s">
        <v>9826</v>
      </c>
      <c r="E970" s="3551" t="s">
        <v>611</v>
      </c>
      <c r="F970" s="3553">
        <f>((1.18)*3.38)*1.1</f>
        <v>4.3872399999999994</v>
      </c>
      <c r="G970" s="3554"/>
      <c r="H970" s="3910">
        <f t="shared" si="193"/>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9827</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9828</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8132</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10298</v>
      </c>
      <c r="D974" s="3526" t="s">
        <v>9830</v>
      </c>
      <c r="E974" s="3526" t="s">
        <v>141</v>
      </c>
      <c r="F974" s="3527">
        <f>ROUND(SUM(F982),3)</f>
        <v>5</v>
      </c>
      <c r="G974" s="3542">
        <f>ROUND(SUM(H977:H980)/F974,2)</f>
        <v>0</v>
      </c>
      <c r="H974" s="3904">
        <f t="shared" ref="H974" si="194">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9831</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8119</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6562</v>
      </c>
      <c r="B977" s="3546"/>
      <c r="C977" s="3547" t="s">
        <v>9600</v>
      </c>
      <c r="D977" s="3548" t="s">
        <v>9832</v>
      </c>
      <c r="E977" s="3547" t="s">
        <v>141</v>
      </c>
      <c r="F977" s="3530">
        <f>F974</f>
        <v>5</v>
      </c>
      <c r="G977" s="3549"/>
      <c r="H977" s="3909">
        <f t="shared" ref="H977:H980" si="195">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6563</v>
      </c>
      <c r="B978" s="3546"/>
      <c r="C978" s="3547" t="s">
        <v>9602</v>
      </c>
      <c r="D978" s="3548" t="s">
        <v>9833</v>
      </c>
      <c r="E978" s="3547" t="s">
        <v>141</v>
      </c>
      <c r="F978" s="3530">
        <f>(5)*1.05</f>
        <v>5.25</v>
      </c>
      <c r="G978" s="3549"/>
      <c r="H978" s="3909">
        <f t="shared" si="195"/>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10299</v>
      </c>
      <c r="B979" s="3546"/>
      <c r="C979" s="3547">
        <v>713411121</v>
      </c>
      <c r="D979" s="3548" t="s">
        <v>9834</v>
      </c>
      <c r="E979" s="3547" t="s">
        <v>611</v>
      </c>
      <c r="F979" s="3530">
        <f>(5)*3.56</f>
        <v>17.8</v>
      </c>
      <c r="G979" s="3549"/>
      <c r="H979" s="3909">
        <f t="shared" si="195"/>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10300</v>
      </c>
      <c r="B980" s="3546"/>
      <c r="C980" s="3551" t="s">
        <v>8129</v>
      </c>
      <c r="D980" s="3552" t="s">
        <v>9835</v>
      </c>
      <c r="E980" s="3551" t="s">
        <v>611</v>
      </c>
      <c r="F980" s="3553">
        <f>((5)*3.56)*1.1</f>
        <v>19.580000000000002</v>
      </c>
      <c r="G980" s="3554"/>
      <c r="H980" s="3910">
        <f t="shared" si="195"/>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9836</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9837</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8132</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10301</v>
      </c>
      <c r="D984" s="3526" t="s">
        <v>9839</v>
      </c>
      <c r="E984" s="3526" t="s">
        <v>141</v>
      </c>
      <c r="F984" s="3527">
        <f>ROUND(SUM(F992),3)</f>
        <v>6.6</v>
      </c>
      <c r="G984" s="3542">
        <f>ROUND(SUM(H987:H990)/F984,2)</f>
        <v>0</v>
      </c>
      <c r="H984" s="3904">
        <f t="shared" ref="H984" si="196">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9840</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8119</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6567</v>
      </c>
      <c r="B987" s="3546"/>
      <c r="C987" s="3547" t="s">
        <v>8138</v>
      </c>
      <c r="D987" s="3548" t="s">
        <v>9841</v>
      </c>
      <c r="E987" s="3547" t="s">
        <v>141</v>
      </c>
      <c r="F987" s="3530">
        <f>F984</f>
        <v>6.6</v>
      </c>
      <c r="G987" s="3549"/>
      <c r="H987" s="3909">
        <f t="shared" ref="H987:H990" si="197">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6568</v>
      </c>
      <c r="B988" s="3546"/>
      <c r="C988" s="3547" t="s">
        <v>9300</v>
      </c>
      <c r="D988" s="3548" t="s">
        <v>9842</v>
      </c>
      <c r="E988" s="3547" t="s">
        <v>141</v>
      </c>
      <c r="F988" s="3530">
        <f xml:space="preserve"> (6.6)*1.05</f>
        <v>6.93</v>
      </c>
      <c r="G988" s="3549"/>
      <c r="H988" s="3909">
        <f t="shared" si="197"/>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6569</v>
      </c>
      <c r="B989" s="3546"/>
      <c r="C989" s="3547">
        <v>713411121</v>
      </c>
      <c r="D989" s="3548" t="s">
        <v>9843</v>
      </c>
      <c r="E989" s="3547" t="s">
        <v>611</v>
      </c>
      <c r="F989" s="3530">
        <f>(6.6)*2.66</f>
        <v>17.556000000000001</v>
      </c>
      <c r="G989" s="3549"/>
      <c r="H989" s="3909">
        <f t="shared" si="197"/>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10302</v>
      </c>
      <c r="B990" s="3546"/>
      <c r="C990" s="3551" t="s">
        <v>8129</v>
      </c>
      <c r="D990" s="3552" t="s">
        <v>9844</v>
      </c>
      <c r="E990" s="3551" t="s">
        <v>611</v>
      </c>
      <c r="F990" s="3553">
        <f>((6.6)*2.66)*1.1</f>
        <v>19.311600000000002</v>
      </c>
      <c r="G990" s="3554"/>
      <c r="H990" s="3910">
        <f t="shared" si="197"/>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9845</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9846</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8132</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10303</v>
      </c>
      <c r="D994" s="3526" t="s">
        <v>9848</v>
      </c>
      <c r="E994" s="3526" t="s">
        <v>141</v>
      </c>
      <c r="F994" s="3527">
        <f>ROUND(SUM(F1002),3)</f>
        <v>1.42</v>
      </c>
      <c r="G994" s="3542">
        <f>ROUND(SUM(H997:H1000)/F994,2)</f>
        <v>0</v>
      </c>
      <c r="H994" s="3904">
        <f t="shared" ref="H994" si="198">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9849</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8119</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6573</v>
      </c>
      <c r="B997" s="3546"/>
      <c r="C997" s="3547" t="s">
        <v>9475</v>
      </c>
      <c r="D997" s="3548" t="s">
        <v>9850</v>
      </c>
      <c r="E997" s="3547" t="s">
        <v>141</v>
      </c>
      <c r="F997" s="3530">
        <f>F994</f>
        <v>1.42</v>
      </c>
      <c r="G997" s="3549"/>
      <c r="H997" s="3909">
        <f t="shared" ref="H997:H1000" si="199">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6575</v>
      </c>
      <c r="B998" s="3546"/>
      <c r="C998" s="3547" t="s">
        <v>9477</v>
      </c>
      <c r="D998" s="3548" t="s">
        <v>9851</v>
      </c>
      <c r="E998" s="3547" t="s">
        <v>141</v>
      </c>
      <c r="F998" s="3530">
        <f>(1.42)*1.05</f>
        <v>1.4909999999999999</v>
      </c>
      <c r="G998" s="3549"/>
      <c r="H998" s="3909">
        <f t="shared" si="199"/>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10304</v>
      </c>
      <c r="B999" s="3546"/>
      <c r="C999" s="3547">
        <v>713411121</v>
      </c>
      <c r="D999" s="3548" t="s">
        <v>9852</v>
      </c>
      <c r="E999" s="3547" t="s">
        <v>611</v>
      </c>
      <c r="F999" s="3530">
        <f>(1.42)*2.96</f>
        <v>4.2031999999999998</v>
      </c>
      <c r="G999" s="3549"/>
      <c r="H999" s="3909">
        <f t="shared" si="199"/>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10305</v>
      </c>
      <c r="B1000" s="3546"/>
      <c r="C1000" s="3551" t="s">
        <v>8129</v>
      </c>
      <c r="D1000" s="3552" t="s">
        <v>9853</v>
      </c>
      <c r="E1000" s="3551" t="s">
        <v>611</v>
      </c>
      <c r="F1000" s="3553">
        <f>((1.42)*2.96)*1.1</f>
        <v>4.6235200000000001</v>
      </c>
      <c r="G1000" s="3554"/>
      <c r="H1000" s="3910">
        <f t="shared" si="199"/>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9854</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9855</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8132</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10306</v>
      </c>
      <c r="D1004" s="3526" t="s">
        <v>9857</v>
      </c>
      <c r="E1004" s="3526" t="s">
        <v>141</v>
      </c>
      <c r="F1004" s="3527">
        <f>ROUND(SUM(F1012),3)</f>
        <v>6.8</v>
      </c>
      <c r="G1004" s="3542">
        <f>ROUND(SUM(H1007:H1010)/F1004,2)</f>
        <v>0</v>
      </c>
      <c r="H1004" s="3904">
        <f t="shared" ref="H1004" si="200">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9858</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9092</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6581</v>
      </c>
      <c r="B1007" s="3546"/>
      <c r="C1007" s="3547" t="s">
        <v>9475</v>
      </c>
      <c r="D1007" s="3548" t="s">
        <v>9859</v>
      </c>
      <c r="E1007" s="3547" t="s">
        <v>141</v>
      </c>
      <c r="F1007" s="3530">
        <f>F1004</f>
        <v>6.8</v>
      </c>
      <c r="G1007" s="3549"/>
      <c r="H1007" s="3909">
        <f t="shared" ref="H1007:H1010" si="201">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6582</v>
      </c>
      <c r="B1008" s="3546"/>
      <c r="C1008" s="3547" t="s">
        <v>9477</v>
      </c>
      <c r="D1008" s="3548" t="s">
        <v>9860</v>
      </c>
      <c r="E1008" s="3547" t="s">
        <v>141</v>
      </c>
      <c r="F1008" s="3530">
        <f>(6.8)*1.05</f>
        <v>7.14</v>
      </c>
      <c r="G1008" s="3549"/>
      <c r="H1008" s="3909">
        <f t="shared" si="201"/>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6583</v>
      </c>
      <c r="B1009" s="3546"/>
      <c r="C1009" s="3547">
        <v>713411121</v>
      </c>
      <c r="D1009" s="3548" t="s">
        <v>9861</v>
      </c>
      <c r="E1009" s="3547" t="s">
        <v>611</v>
      </c>
      <c r="F1009" s="3530">
        <f>(6.8)*3.06</f>
        <v>20.808</v>
      </c>
      <c r="G1009" s="3549"/>
      <c r="H1009" s="3909">
        <f t="shared" si="201"/>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10307</v>
      </c>
      <c r="B1010" s="3546"/>
      <c r="C1010" s="3551" t="s">
        <v>9096</v>
      </c>
      <c r="D1010" s="3552" t="s">
        <v>9862</v>
      </c>
      <c r="E1010" s="3551" t="s">
        <v>611</v>
      </c>
      <c r="F1010" s="3553">
        <f>((6.8)*3.06)*1.1</f>
        <v>22.888800000000003</v>
      </c>
      <c r="G1010" s="3554"/>
      <c r="H1010" s="3910">
        <f t="shared" si="201"/>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9863</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9864</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8132</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10308</v>
      </c>
      <c r="D1014" s="3526" t="s">
        <v>9866</v>
      </c>
      <c r="E1014" s="3526" t="s">
        <v>141</v>
      </c>
      <c r="F1014" s="3527">
        <f>ROUND(SUM(F1022),3)</f>
        <v>10.57</v>
      </c>
      <c r="G1014" s="3542">
        <f>ROUND(SUM(H1017:H1020)/F1014,2)</f>
        <v>0</v>
      </c>
      <c r="H1014" s="3904">
        <f t="shared" ref="H1014" si="202">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9867</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8119</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6587</v>
      </c>
      <c r="B1017" s="3546"/>
      <c r="C1017" s="3547" t="s">
        <v>9475</v>
      </c>
      <c r="D1017" s="3548" t="s">
        <v>9868</v>
      </c>
      <c r="E1017" s="3547" t="s">
        <v>141</v>
      </c>
      <c r="F1017" s="3530">
        <f>F1014</f>
        <v>10.57</v>
      </c>
      <c r="G1017" s="3549"/>
      <c r="H1017" s="3909">
        <f t="shared" ref="H1017:H1020" si="203">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6589</v>
      </c>
      <c r="B1018" s="3546"/>
      <c r="C1018" s="3547" t="s">
        <v>9477</v>
      </c>
      <c r="D1018" s="3548" t="s">
        <v>9869</v>
      </c>
      <c r="E1018" s="3547" t="s">
        <v>141</v>
      </c>
      <c r="F1018" s="3530">
        <f>(10.57)*1.05</f>
        <v>11.098500000000001</v>
      </c>
      <c r="G1018" s="3549"/>
      <c r="H1018" s="3909">
        <f t="shared" si="203"/>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10309</v>
      </c>
      <c r="B1019" s="3546"/>
      <c r="C1019" s="3547">
        <v>713411121</v>
      </c>
      <c r="D1019" s="3548" t="s">
        <v>9870</v>
      </c>
      <c r="E1019" s="3547" t="s">
        <v>611</v>
      </c>
      <c r="F1019" s="3530">
        <f>(10.57)*3.16</f>
        <v>33.401200000000003</v>
      </c>
      <c r="G1019" s="3549"/>
      <c r="H1019" s="3909">
        <f t="shared" si="203"/>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10310</v>
      </c>
      <c r="B1020" s="3546"/>
      <c r="C1020" s="3551" t="s">
        <v>8129</v>
      </c>
      <c r="D1020" s="3552" t="s">
        <v>9871</v>
      </c>
      <c r="E1020" s="3551" t="s">
        <v>611</v>
      </c>
      <c r="F1020" s="3553">
        <f>((10.57)*3.16)*1.1</f>
        <v>36.741320000000009</v>
      </c>
      <c r="G1020" s="3554"/>
      <c r="H1020" s="3910">
        <f t="shared" si="203"/>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9872</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9873</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8132</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10311</v>
      </c>
      <c r="D1024" s="3526" t="s">
        <v>9866</v>
      </c>
      <c r="E1024" s="3526" t="s">
        <v>141</v>
      </c>
      <c r="F1024" s="3527">
        <f>ROUND(SUM(F1032),3)</f>
        <v>14.7</v>
      </c>
      <c r="G1024" s="3542">
        <f>ROUND(SUM(H1027:H1030)/F1024,2)</f>
        <v>0</v>
      </c>
      <c r="H1024" s="3904">
        <f t="shared" ref="H1024" si="204">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9867</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9092</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6594</v>
      </c>
      <c r="B1027" s="3546"/>
      <c r="C1027" s="3547" t="s">
        <v>9475</v>
      </c>
      <c r="D1027" s="3548" t="s">
        <v>9874</v>
      </c>
      <c r="E1027" s="3547" t="s">
        <v>141</v>
      </c>
      <c r="F1027" s="3530">
        <f>F1024</f>
        <v>14.7</v>
      </c>
      <c r="G1027" s="3549"/>
      <c r="H1027" s="3909">
        <f t="shared" ref="H1027:H1030" si="205">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6596</v>
      </c>
      <c r="B1028" s="3546"/>
      <c r="C1028" s="3547" t="s">
        <v>9477</v>
      </c>
      <c r="D1028" s="3548" t="s">
        <v>9875</v>
      </c>
      <c r="E1028" s="3547" t="s">
        <v>141</v>
      </c>
      <c r="F1028" s="3530">
        <f xml:space="preserve"> (14.7)*1.05</f>
        <v>15.435</v>
      </c>
      <c r="G1028" s="3549"/>
      <c r="H1028" s="3909">
        <f t="shared" si="205"/>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6598</v>
      </c>
      <c r="B1029" s="3546"/>
      <c r="C1029" s="3547">
        <v>713411121</v>
      </c>
      <c r="D1029" s="3548" t="s">
        <v>9876</v>
      </c>
      <c r="E1029" s="3547" t="s">
        <v>611</v>
      </c>
      <c r="F1029" s="3530">
        <f xml:space="preserve"> (14.7)*3.16</f>
        <v>46.451999999999998</v>
      </c>
      <c r="G1029" s="3549"/>
      <c r="H1029" s="3909">
        <f t="shared" si="205"/>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10312</v>
      </c>
      <c r="B1030" s="3546"/>
      <c r="C1030" s="3551" t="s">
        <v>9096</v>
      </c>
      <c r="D1030" s="3552" t="s">
        <v>9877</v>
      </c>
      <c r="E1030" s="3551" t="s">
        <v>611</v>
      </c>
      <c r="F1030" s="3553">
        <f>((14.7)*3.16)*1.1</f>
        <v>51.097200000000001</v>
      </c>
      <c r="G1030" s="3554"/>
      <c r="H1030" s="3910">
        <f t="shared" si="205"/>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9872</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9878</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8132</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10313</v>
      </c>
      <c r="D1034" s="3526" t="s">
        <v>9880</v>
      </c>
      <c r="E1034" s="3526" t="s">
        <v>141</v>
      </c>
      <c r="F1034" s="3527">
        <f>ROUND(SUM(F1042),3)</f>
        <v>2.7</v>
      </c>
      <c r="G1034" s="3542">
        <f>ROUND(SUM(H1037:H1040)/F1034,2)</f>
        <v>0</v>
      </c>
      <c r="H1034" s="3904">
        <f t="shared" ref="H1034" si="206">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9881</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8119</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6604</v>
      </c>
      <c r="B1037" s="3546"/>
      <c r="C1037" s="3547" t="s">
        <v>9600</v>
      </c>
      <c r="D1037" s="3548" t="s">
        <v>9882</v>
      </c>
      <c r="E1037" s="3547" t="s">
        <v>141</v>
      </c>
      <c r="F1037" s="3530">
        <f>F1034</f>
        <v>2.7</v>
      </c>
      <c r="G1037" s="3549"/>
      <c r="H1037" s="3909">
        <f t="shared" ref="H1037:H1040" si="207">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6606</v>
      </c>
      <c r="B1038" s="3546"/>
      <c r="C1038" s="3547" t="s">
        <v>9602</v>
      </c>
      <c r="D1038" s="3548" t="s">
        <v>9883</v>
      </c>
      <c r="E1038" s="3547" t="s">
        <v>141</v>
      </c>
      <c r="F1038" s="3530">
        <f>(2.7)*1.05</f>
        <v>2.8350000000000004</v>
      </c>
      <c r="G1038" s="3549"/>
      <c r="H1038" s="3909">
        <f t="shared" si="207"/>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10314</v>
      </c>
      <c r="B1039" s="3546"/>
      <c r="C1039" s="3547">
        <v>713411121</v>
      </c>
      <c r="D1039" s="3548" t="s">
        <v>9884</v>
      </c>
      <c r="E1039" s="3547" t="s">
        <v>611</v>
      </c>
      <c r="F1039" s="3530">
        <f>(2.7)*3.61</f>
        <v>9.7469999999999999</v>
      </c>
      <c r="G1039" s="3549"/>
      <c r="H1039" s="3909">
        <f t="shared" si="207"/>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10315</v>
      </c>
      <c r="B1040" s="3546"/>
      <c r="C1040" s="3551" t="s">
        <v>8129</v>
      </c>
      <c r="D1040" s="3552" t="s">
        <v>9885</v>
      </c>
      <c r="E1040" s="3551" t="s">
        <v>611</v>
      </c>
      <c r="F1040" s="3553">
        <f>((2.7)*3.61)*1.1</f>
        <v>10.7217</v>
      </c>
      <c r="G1040" s="3554"/>
      <c r="H1040" s="3910">
        <f t="shared" si="207"/>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9886</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9887</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8132</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10316</v>
      </c>
      <c r="D1044" s="3526" t="s">
        <v>9889</v>
      </c>
      <c r="E1044" s="3526" t="s">
        <v>141</v>
      </c>
      <c r="F1044" s="3527">
        <f>ROUND(SUM(F1052),3)</f>
        <v>1.28</v>
      </c>
      <c r="G1044" s="3542">
        <f>ROUND(SUM(H1047:H1050)/F1044,2)</f>
        <v>0</v>
      </c>
      <c r="H1044" s="3904">
        <f t="shared" ref="H1044" si="208">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9890</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8119</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6612</v>
      </c>
      <c r="B1047" s="3546"/>
      <c r="C1047" s="3547" t="s">
        <v>9891</v>
      </c>
      <c r="D1047" s="3548" t="s">
        <v>9892</v>
      </c>
      <c r="E1047" s="3547" t="s">
        <v>141</v>
      </c>
      <c r="F1047" s="3530">
        <f>F1044</f>
        <v>1.28</v>
      </c>
      <c r="G1047" s="3549"/>
      <c r="H1047" s="3909">
        <f t="shared" ref="H1047:H1050" si="209">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6614</v>
      </c>
      <c r="B1048" s="3546"/>
      <c r="C1048" s="3547" t="s">
        <v>9893</v>
      </c>
      <c r="D1048" s="3548" t="s">
        <v>9894</v>
      </c>
      <c r="E1048" s="3547" t="s">
        <v>141</v>
      </c>
      <c r="F1048" s="3530">
        <f xml:space="preserve"> (1.28)*1.05</f>
        <v>1.3440000000000001</v>
      </c>
      <c r="G1048" s="3549"/>
      <c r="H1048" s="3909">
        <f t="shared" si="209"/>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6616</v>
      </c>
      <c r="B1049" s="3546"/>
      <c r="C1049" s="3547">
        <v>713411121</v>
      </c>
      <c r="D1049" s="3548" t="s">
        <v>9895</v>
      </c>
      <c r="E1049" s="3547" t="s">
        <v>611</v>
      </c>
      <c r="F1049" s="3530">
        <f xml:space="preserve"> (1.28)*4.33</f>
        <v>5.5423999999999998</v>
      </c>
      <c r="G1049" s="3549"/>
      <c r="H1049" s="3909">
        <f t="shared" si="209"/>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10317</v>
      </c>
      <c r="B1050" s="3546"/>
      <c r="C1050" s="3551" t="s">
        <v>8129</v>
      </c>
      <c r="D1050" s="3552" t="s">
        <v>9896</v>
      </c>
      <c r="E1050" s="3551" t="s">
        <v>611</v>
      </c>
      <c r="F1050" s="3553">
        <f>((1.28)*4.33)*1.1</f>
        <v>6.0966399999999998</v>
      </c>
      <c r="G1050" s="3554"/>
      <c r="H1050" s="3910">
        <f t="shared" si="209"/>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9897</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9898</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8132</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10318</v>
      </c>
      <c r="D1054" s="3526" t="s">
        <v>9900</v>
      </c>
      <c r="E1054" s="3526" t="s">
        <v>141</v>
      </c>
      <c r="F1054" s="3527">
        <f>ROUND(SUM(F1062),3)</f>
        <v>3.61</v>
      </c>
      <c r="G1054" s="3542">
        <f>ROUND(SUM(H1057:H1060)/F1054,2)</f>
        <v>0</v>
      </c>
      <c r="H1054" s="3904">
        <f t="shared" ref="H1054" si="210">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9901</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8119</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6622</v>
      </c>
      <c r="B1057" s="3546"/>
      <c r="C1057" s="3547" t="s">
        <v>9600</v>
      </c>
      <c r="D1057" s="3548" t="s">
        <v>9902</v>
      </c>
      <c r="E1057" s="3547" t="s">
        <v>141</v>
      </c>
      <c r="F1057" s="3530">
        <f>F1054</f>
        <v>3.61</v>
      </c>
      <c r="G1057" s="3549"/>
      <c r="H1057" s="3909">
        <f t="shared" ref="H1057:H1060" si="211">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6624</v>
      </c>
      <c r="B1058" s="3546"/>
      <c r="C1058" s="3547" t="s">
        <v>9602</v>
      </c>
      <c r="D1058" s="3548" t="s">
        <v>9903</v>
      </c>
      <c r="E1058" s="3547" t="s">
        <v>141</v>
      </c>
      <c r="F1058" s="3530">
        <f>(3.61)*1.05</f>
        <v>3.7905000000000002</v>
      </c>
      <c r="G1058" s="3549"/>
      <c r="H1058" s="3909">
        <f t="shared" si="211"/>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10319</v>
      </c>
      <c r="B1059" s="3546"/>
      <c r="C1059" s="3547">
        <v>713411121</v>
      </c>
      <c r="D1059" s="3548" t="s">
        <v>9904</v>
      </c>
      <c r="E1059" s="3547" t="s">
        <v>611</v>
      </c>
      <c r="F1059" s="3530">
        <f>(3.61)*3.66</f>
        <v>13.2126</v>
      </c>
      <c r="G1059" s="3549"/>
      <c r="H1059" s="3909">
        <f t="shared" si="211"/>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10320</v>
      </c>
      <c r="B1060" s="3546"/>
      <c r="C1060" s="3551" t="s">
        <v>8129</v>
      </c>
      <c r="D1060" s="3552" t="s">
        <v>9905</v>
      </c>
      <c r="E1060" s="3551" t="s">
        <v>611</v>
      </c>
      <c r="F1060" s="3553">
        <f>((3.61)*3.66)*1.1</f>
        <v>14.533860000000001</v>
      </c>
      <c r="G1060" s="3554"/>
      <c r="H1060" s="3910">
        <f t="shared" si="211"/>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9906</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9907</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8132</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10321</v>
      </c>
      <c r="D1064" s="3526" t="s">
        <v>9909</v>
      </c>
      <c r="E1064" s="3526" t="s">
        <v>141</v>
      </c>
      <c r="F1064" s="3527">
        <f>ROUND(SUM(F1072),3)</f>
        <v>1.77</v>
      </c>
      <c r="G1064" s="3542">
        <f>ROUND(SUM(H1067:H1070)/F1064,2)</f>
        <v>0</v>
      </c>
      <c r="H1064" s="3904">
        <f t="shared" ref="H1064" si="212">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9910</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8119</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6630</v>
      </c>
      <c r="B1067" s="3546"/>
      <c r="C1067" s="3547" t="s">
        <v>9891</v>
      </c>
      <c r="D1067" s="3548" t="s">
        <v>9911</v>
      </c>
      <c r="E1067" s="3547" t="s">
        <v>141</v>
      </c>
      <c r="F1067" s="3530">
        <f>F1064</f>
        <v>1.77</v>
      </c>
      <c r="G1067" s="3549"/>
      <c r="H1067" s="3909">
        <f t="shared" ref="H1067:H1070" si="213">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6632</v>
      </c>
      <c r="B1068" s="3546"/>
      <c r="C1068" s="3547" t="s">
        <v>9893</v>
      </c>
      <c r="D1068" s="3548" t="s">
        <v>9912</v>
      </c>
      <c r="E1068" s="3547" t="s">
        <v>141</v>
      </c>
      <c r="F1068" s="3530">
        <f>(1.77)*1.05</f>
        <v>1.8585</v>
      </c>
      <c r="G1068" s="3549"/>
      <c r="H1068" s="3909">
        <f t="shared" si="213"/>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6634</v>
      </c>
      <c r="B1069" s="3546"/>
      <c r="C1069" s="3547">
        <v>713411121</v>
      </c>
      <c r="D1069" s="3548" t="s">
        <v>9913</v>
      </c>
      <c r="E1069" s="3547" t="s">
        <v>611</v>
      </c>
      <c r="F1069" s="3530">
        <f>(1.77)*4.26</f>
        <v>7.5401999999999996</v>
      </c>
      <c r="G1069" s="3549"/>
      <c r="H1069" s="3909">
        <f t="shared" si="213"/>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10322</v>
      </c>
      <c r="B1070" s="3546"/>
      <c r="C1070" s="3551" t="s">
        <v>8129</v>
      </c>
      <c r="D1070" s="3552" t="s">
        <v>9914</v>
      </c>
      <c r="E1070" s="3551" t="s">
        <v>611</v>
      </c>
      <c r="F1070" s="3553">
        <f>((1.77)*4.26)*1.1</f>
        <v>8.294220000000001</v>
      </c>
      <c r="G1070" s="3554"/>
      <c r="H1070" s="3910">
        <f t="shared" si="213"/>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9915</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9916</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8132</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10323</v>
      </c>
      <c r="D1074" s="3536" t="s">
        <v>6540</v>
      </c>
      <c r="E1074" s="3536" t="s">
        <v>23</v>
      </c>
      <c r="F1074" s="3541">
        <f>SUM(F1076)</f>
        <v>1</v>
      </c>
      <c r="G1074" s="3528"/>
      <c r="H1074" s="3975">
        <f t="shared" ref="H1074" si="214">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9918</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6542</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10483</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10324</v>
      </c>
      <c r="E1078" s="4526"/>
      <c r="F1078" s="4528"/>
      <c r="G1078" s="4529"/>
      <c r="H1078" s="3913"/>
      <c r="I1078" s="3934"/>
      <c r="J1078" s="4511"/>
      <c r="K1078" s="5075"/>
    </row>
    <row r="1079" spans="1:122" s="3560" customFormat="1" ht="270">
      <c r="A1079" s="4525"/>
      <c r="B1079" s="4526"/>
      <c r="C1079" s="4526"/>
      <c r="D1079" s="4527" t="s">
        <v>10325</v>
      </c>
      <c r="E1079" s="4526"/>
      <c r="F1079" s="4528"/>
      <c r="G1079" s="4529"/>
      <c r="H1079" s="3913"/>
      <c r="I1079" s="3934"/>
      <c r="J1079" s="4511"/>
      <c r="K1079" s="5075"/>
      <c r="M1079" s="5076"/>
    </row>
    <row r="1080" spans="1:122" s="3560" customFormat="1" ht="135">
      <c r="A1080" s="4525"/>
      <c r="B1080" s="4526"/>
      <c r="C1080" s="4526"/>
      <c r="D1080" s="4527" t="s">
        <v>10326</v>
      </c>
      <c r="E1080" s="4526"/>
      <c r="F1080" s="4528"/>
      <c r="G1080" s="4529"/>
      <c r="H1080" s="3913"/>
      <c r="I1080" s="3934"/>
      <c r="J1080" s="4511"/>
      <c r="K1080" s="5075"/>
    </row>
    <row r="1081" spans="1:122" s="3560" customFormat="1" ht="101.25">
      <c r="A1081" s="4525"/>
      <c r="B1081" s="4526"/>
      <c r="C1081" s="4526"/>
      <c r="D1081" s="4527" t="s">
        <v>10327</v>
      </c>
      <c r="E1081" s="4526"/>
      <c r="F1081" s="4528"/>
      <c r="G1081" s="4529"/>
      <c r="H1081" s="3913"/>
      <c r="I1081" s="3934"/>
      <c r="J1081" s="4511"/>
      <c r="K1081" s="5075"/>
    </row>
    <row r="1082" spans="1:122" s="3560" customFormat="1" ht="146.25">
      <c r="A1082" s="4525"/>
      <c r="B1082" s="4526"/>
      <c r="C1082" s="4526"/>
      <c r="D1082" s="4527" t="s">
        <v>10328</v>
      </c>
      <c r="E1082" s="4526"/>
      <c r="F1082" s="4528"/>
      <c r="G1082" s="4529"/>
      <c r="H1082" s="3913"/>
      <c r="I1082" s="3934"/>
      <c r="J1082" s="4511"/>
      <c r="K1082" s="5075"/>
    </row>
    <row r="1083" spans="1:122" s="3560" customFormat="1" ht="168.75">
      <c r="A1083" s="4525"/>
      <c r="B1083" s="4526"/>
      <c r="C1083" s="4526"/>
      <c r="D1083" s="4527" t="s">
        <v>10329</v>
      </c>
      <c r="E1083" s="4526"/>
      <c r="F1083" s="4528"/>
      <c r="G1083" s="4529"/>
      <c r="H1083" s="3913"/>
      <c r="I1083" s="3934"/>
      <c r="J1083" s="4511"/>
      <c r="K1083" s="5075"/>
    </row>
    <row r="1084" spans="1:122" s="3560" customFormat="1" ht="157.5">
      <c r="A1084" s="4525"/>
      <c r="B1084" s="4526"/>
      <c r="C1084" s="4526"/>
      <c r="D1084" s="4527" t="s">
        <v>10330</v>
      </c>
      <c r="E1084" s="4526"/>
      <c r="F1084" s="4528"/>
      <c r="G1084" s="4529"/>
      <c r="H1084" s="3913"/>
      <c r="I1084" s="3934"/>
      <c r="J1084" s="4511"/>
      <c r="K1084" s="5075"/>
    </row>
    <row r="1085" spans="1:122" s="3560" customFormat="1" ht="146.25">
      <c r="A1085" s="4525"/>
      <c r="B1085" s="4526"/>
      <c r="C1085" s="4526"/>
      <c r="D1085" s="4527" t="s">
        <v>10331</v>
      </c>
      <c r="E1085" s="4526"/>
      <c r="F1085" s="4528"/>
      <c r="G1085" s="4529"/>
      <c r="H1085" s="3913"/>
      <c r="I1085" s="3934"/>
      <c r="J1085" s="4511"/>
      <c r="K1085" s="5075"/>
    </row>
    <row r="1086" spans="1:122" s="2303" customFormat="1" ht="40.5" customHeight="1">
      <c r="A1086" s="3750"/>
      <c r="B1086" s="3695"/>
      <c r="C1086" s="3695"/>
      <c r="D1086" s="4483" t="s">
        <v>10482</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10470</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9917</v>
      </c>
      <c r="D1088" s="3536" t="s">
        <v>6544</v>
      </c>
      <c r="E1088" s="3695" t="s">
        <v>23</v>
      </c>
      <c r="F1088" s="2890">
        <f>ROUND(SUM(F1089),3)</f>
        <v>1</v>
      </c>
      <c r="G1088" s="3698"/>
      <c r="H1088" s="3975">
        <f t="shared" ref="H1088" si="215">ROUND(F1088*G1088,2)</f>
        <v>0</v>
      </c>
      <c r="I1088" s="4028"/>
      <c r="J1088" s="3332" t="s">
        <v>60</v>
      </c>
      <c r="O1088" s="4857"/>
      <c r="P1088" s="4857"/>
    </row>
    <row r="1089" spans="1:109" s="2391" customFormat="1" ht="27" customHeight="1">
      <c r="A1089" s="3694"/>
      <c r="B1089" s="3714"/>
      <c r="C1089" s="3695"/>
      <c r="D1089" s="3548" t="s">
        <v>6545</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6546</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10683</v>
      </c>
      <c r="E1091" s="4374"/>
      <c r="F1091" s="4375"/>
      <c r="G1091" s="4376"/>
      <c r="H1091" s="4370"/>
      <c r="I1091" s="3849"/>
      <c r="J1091" s="3726"/>
      <c r="K1091" s="4855"/>
      <c r="L1091" s="4855"/>
    </row>
    <row r="1092" spans="1:109" s="4367" customFormat="1" ht="40.700000000000003" customHeight="1">
      <c r="A1092" s="4372"/>
      <c r="B1092" s="4373"/>
      <c r="C1092" s="4373"/>
      <c r="D1092" s="4483" t="s">
        <v>10684</v>
      </c>
      <c r="E1092" s="4374"/>
      <c r="F1092" s="4375"/>
      <c r="G1092" s="4376"/>
      <c r="H1092" s="4370"/>
      <c r="I1092" s="3849"/>
      <c r="J1092" s="3726"/>
      <c r="K1092" s="4855"/>
      <c r="L1092" s="4855"/>
    </row>
    <row r="1093" spans="1:109" s="4367" customFormat="1" ht="40.5" customHeight="1">
      <c r="A1093" s="4372"/>
      <c r="B1093" s="4373"/>
      <c r="C1093" s="4373"/>
      <c r="D1093" s="3548" t="s">
        <v>10682</v>
      </c>
      <c r="E1093" s="4374"/>
      <c r="F1093" s="4375"/>
      <c r="G1093" s="4376"/>
      <c r="H1093" s="4370"/>
      <c r="I1093" s="3849"/>
      <c r="J1093" s="3726"/>
      <c r="K1093" s="4855"/>
      <c r="L1093" s="4855"/>
    </row>
    <row r="1094" spans="1:109" s="1061" customFormat="1" ht="13.5" customHeight="1">
      <c r="A1094" s="3525">
        <v>120</v>
      </c>
      <c r="B1094" s="3123" t="s">
        <v>7943</v>
      </c>
      <c r="C1094" s="3536">
        <v>998751202</v>
      </c>
      <c r="D1094" s="3536" t="s">
        <v>7944</v>
      </c>
      <c r="E1094" s="3536" t="s">
        <v>8</v>
      </c>
      <c r="F1094" s="3541">
        <v>0.55000000000000004</v>
      </c>
      <c r="G1094" s="3528"/>
      <c r="H1094" s="3904">
        <f t="shared" ref="H1094:H1095" si="216">ROUND(F1094*G1094,2)</f>
        <v>0</v>
      </c>
      <c r="I1094" s="3925"/>
      <c r="J1094" s="3529" t="s">
        <v>142</v>
      </c>
      <c r="K1094" s="5038"/>
      <c r="M1094" s="5014"/>
    </row>
    <row r="1095" spans="1:109" customFormat="1" ht="13.5" customHeight="1">
      <c r="A1095" s="3525">
        <v>121</v>
      </c>
      <c r="B1095" s="3123" t="s">
        <v>188</v>
      </c>
      <c r="C1095" s="3526" t="s">
        <v>7945</v>
      </c>
      <c r="D1095" s="3526" t="s">
        <v>7946</v>
      </c>
      <c r="E1095" s="3526" t="s">
        <v>191</v>
      </c>
      <c r="F1095" s="3527">
        <f>ROUND(SUM(F1096),3)</f>
        <v>20</v>
      </c>
      <c r="G1095" s="3528"/>
      <c r="H1095" s="3904">
        <f t="shared" si="216"/>
        <v>0</v>
      </c>
      <c r="I1095" s="3925"/>
      <c r="J1095" s="3529" t="s">
        <v>142</v>
      </c>
      <c r="M1095" s="5014"/>
    </row>
    <row r="1096" spans="1:109" customFormat="1" ht="13.5" customHeight="1">
      <c r="A1096" s="3112"/>
      <c r="B1096" s="3526"/>
      <c r="C1096" s="3526"/>
      <c r="D1096" s="3543" t="s">
        <v>7947</v>
      </c>
      <c r="E1096" s="3526"/>
      <c r="F1096" s="3544">
        <v>20</v>
      </c>
      <c r="G1096" s="3528"/>
      <c r="H1096" s="3905"/>
      <c r="I1096" s="3926"/>
      <c r="J1096" s="4507"/>
      <c r="M1096" s="5014"/>
    </row>
    <row r="1097" spans="1:109" s="1102" customFormat="1" ht="27" customHeight="1">
      <c r="A1097" s="3112"/>
      <c r="B1097" s="3526"/>
      <c r="C1097" s="3526"/>
      <c r="D1097" s="3543" t="s">
        <v>7948</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9919</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10094</v>
      </c>
      <c r="D1099" s="3536" t="s">
        <v>9920</v>
      </c>
      <c r="E1099" s="3536" t="s">
        <v>155</v>
      </c>
      <c r="F1099" s="3527">
        <f>ROUND(SUM(F1101:F1104),3)</f>
        <v>8</v>
      </c>
      <c r="G1099" s="3528"/>
      <c r="H1099" s="3904">
        <f t="shared" ref="H1099" si="217">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9921</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9922</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9923</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9924</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9925</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9926</v>
      </c>
      <c r="E1105" s="3536"/>
      <c r="F1105" s="3681"/>
      <c r="G1105" s="3680"/>
      <c r="H1105" s="3903"/>
      <c r="I1105" s="3924"/>
      <c r="J1105" s="4512"/>
      <c r="M1105" s="5014"/>
    </row>
    <row r="1106" spans="1:17" s="1061" customFormat="1" ht="13.5" customHeight="1">
      <c r="A1106" s="3637">
        <v>123</v>
      </c>
      <c r="B1106" s="3536">
        <v>751</v>
      </c>
      <c r="C1106" s="3536" t="s">
        <v>10332</v>
      </c>
      <c r="D1106" s="3536" t="s">
        <v>9927</v>
      </c>
      <c r="E1106" s="3536" t="s">
        <v>155</v>
      </c>
      <c r="F1106" s="3527">
        <f>ROUND(SUM(F1108:F1111),3)</f>
        <v>35</v>
      </c>
      <c r="G1106" s="3528"/>
      <c r="H1106" s="3904">
        <f t="shared" ref="H1106" si="218">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9921</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9928</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9929</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9930</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9931</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9926</v>
      </c>
      <c r="E1112" s="3536"/>
      <c r="F1112" s="3681"/>
      <c r="G1112" s="3680"/>
      <c r="H1112" s="3903"/>
      <c r="I1112" s="3924"/>
      <c r="J1112" s="4512"/>
      <c r="K1112" s="5069"/>
      <c r="M1112" s="5014"/>
    </row>
    <row r="1113" spans="1:17" s="1061" customFormat="1" ht="13.5" customHeight="1">
      <c r="A1113" s="3637">
        <v>124</v>
      </c>
      <c r="B1113" s="3536">
        <v>751</v>
      </c>
      <c r="C1113" s="3536" t="s">
        <v>10333</v>
      </c>
      <c r="D1113" s="3536" t="s">
        <v>9932</v>
      </c>
      <c r="E1113" s="3536" t="s">
        <v>155</v>
      </c>
      <c r="F1113" s="3527">
        <f>ROUND(SUM(F1115:F1118),3)</f>
        <v>26</v>
      </c>
      <c r="G1113" s="3528"/>
      <c r="H1113" s="3904">
        <f t="shared" ref="H1113" si="219">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9921</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9933</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9934</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9935</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9936</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9926</v>
      </c>
      <c r="E1119" s="3536"/>
      <c r="F1119" s="3681"/>
      <c r="G1119" s="3680"/>
      <c r="H1119" s="3903"/>
      <c r="I1119" s="3924"/>
      <c r="J1119" s="4512"/>
      <c r="K1119" s="5082"/>
      <c r="M1119" s="5014"/>
    </row>
    <row r="1120" spans="1:17" s="1061" customFormat="1" ht="13.5" customHeight="1">
      <c r="A1120" s="3637">
        <v>125</v>
      </c>
      <c r="B1120" s="3536">
        <v>751</v>
      </c>
      <c r="C1120" s="3536" t="s">
        <v>10334</v>
      </c>
      <c r="D1120" s="3536" t="s">
        <v>9937</v>
      </c>
      <c r="E1120" s="3536" t="s">
        <v>155</v>
      </c>
      <c r="F1120" s="3527">
        <f>ROUND(SUM(F1122),3)</f>
        <v>10</v>
      </c>
      <c r="G1120" s="3528"/>
      <c r="H1120" s="3904">
        <f t="shared" ref="H1120" si="220">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9921</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9938</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9926</v>
      </c>
      <c r="E1123" s="3536"/>
      <c r="F1123" s="3681"/>
      <c r="G1123" s="3680"/>
      <c r="H1123" s="3903"/>
      <c r="I1123" s="3924"/>
      <c r="J1123" s="4512"/>
      <c r="K1123" s="1392"/>
      <c r="M1123" s="5014"/>
    </row>
    <row r="1124" spans="1:68" ht="13.5" customHeight="1">
      <c r="A1124" s="3637">
        <v>126</v>
      </c>
      <c r="B1124" s="3536">
        <v>751</v>
      </c>
      <c r="C1124" s="3536" t="s">
        <v>10335</v>
      </c>
      <c r="D1124" s="3536" t="s">
        <v>9939</v>
      </c>
      <c r="E1124" s="3536" t="s">
        <v>155</v>
      </c>
      <c r="F1124" s="3527">
        <f>ROUND(SUM(F1126),3)</f>
        <v>5</v>
      </c>
      <c r="G1124" s="3542"/>
      <c r="H1124" s="3904">
        <f t="shared" ref="H1124" si="221">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9940</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9941</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9942</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10336</v>
      </c>
      <c r="D1128" s="3536" t="s">
        <v>9943</v>
      </c>
      <c r="E1128" s="3536" t="s">
        <v>155</v>
      </c>
      <c r="F1128" s="3527">
        <f>ROUND(SUM(F1130:F1133),3)</f>
        <v>21</v>
      </c>
      <c r="G1128" s="3528"/>
      <c r="H1128" s="3904">
        <f t="shared" ref="H1128" si="222">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9944</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9945</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9946</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9947</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9947</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9948</v>
      </c>
      <c r="E1134" s="3536"/>
      <c r="F1134" s="3681"/>
      <c r="G1134" s="3680"/>
      <c r="H1134" s="3903"/>
      <c r="I1134" s="3924"/>
      <c r="J1134" s="4512"/>
      <c r="K1134" s="5069"/>
      <c r="M1134" s="5014"/>
    </row>
    <row r="1135" spans="1:68" s="1061" customFormat="1" ht="27" customHeight="1">
      <c r="A1135" s="3637">
        <v>128</v>
      </c>
      <c r="B1135" s="3536">
        <v>751</v>
      </c>
      <c r="C1135" s="3536" t="s">
        <v>10337</v>
      </c>
      <c r="D1135" s="3536" t="s">
        <v>9949</v>
      </c>
      <c r="E1135" s="3536" t="s">
        <v>155</v>
      </c>
      <c r="F1135" s="3527">
        <f>ROUND(SUM(F1137:F1140),3)</f>
        <v>79</v>
      </c>
      <c r="G1135" s="3528"/>
      <c r="H1135" s="3904">
        <f t="shared" ref="H1135" si="223">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9950</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9951</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9952</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9953</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9954</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9948</v>
      </c>
      <c r="E1141" s="3536"/>
      <c r="F1141" s="3681"/>
      <c r="G1141" s="3680"/>
      <c r="H1141" s="3903"/>
      <c r="I1141" s="3924"/>
      <c r="J1141" s="4512"/>
      <c r="K1141" s="5069"/>
      <c r="M1141" s="5014"/>
    </row>
    <row r="1142" spans="1:17" s="1061" customFormat="1" ht="27" customHeight="1">
      <c r="A1142" s="3637">
        <v>129</v>
      </c>
      <c r="B1142" s="3536">
        <v>751</v>
      </c>
      <c r="C1142" s="3536" t="s">
        <v>10338</v>
      </c>
      <c r="D1142" s="3536" t="s">
        <v>9955</v>
      </c>
      <c r="E1142" s="3536" t="s">
        <v>155</v>
      </c>
      <c r="F1142" s="3527">
        <f>ROUND(SUM(F1144:F1147),3)</f>
        <v>45</v>
      </c>
      <c r="G1142" s="3528"/>
      <c r="H1142" s="3904">
        <f t="shared" ref="H1142" si="224">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9956</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9957</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9930</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9954</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9958</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9948</v>
      </c>
      <c r="E1148" s="3536"/>
      <c r="F1148" s="3681"/>
      <c r="G1148" s="3680"/>
      <c r="H1148" s="3903"/>
      <c r="I1148" s="3924"/>
      <c r="J1148" s="4512"/>
      <c r="K1148" s="5069"/>
      <c r="M1148" s="5014"/>
    </row>
    <row r="1149" spans="1:17" s="1061" customFormat="1" ht="27" customHeight="1">
      <c r="A1149" s="3637">
        <v>130</v>
      </c>
      <c r="B1149" s="3536">
        <v>751</v>
      </c>
      <c r="C1149" s="3536" t="s">
        <v>10339</v>
      </c>
      <c r="D1149" s="3536" t="s">
        <v>9959</v>
      </c>
      <c r="E1149" s="3536" t="s">
        <v>155</v>
      </c>
      <c r="F1149" s="3527">
        <f>ROUND(SUM(F1151),3)</f>
        <v>3</v>
      </c>
      <c r="G1149" s="3528"/>
      <c r="H1149" s="3904">
        <f t="shared" ref="H1149" si="225">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9960</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9961</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9948</v>
      </c>
      <c r="E1152" s="3536"/>
      <c r="F1152" s="3681"/>
      <c r="G1152" s="3680"/>
      <c r="H1152" s="3903"/>
      <c r="I1152" s="3924"/>
      <c r="J1152" s="4512"/>
      <c r="K1152" s="1392"/>
      <c r="M1152" s="5014"/>
    </row>
    <row r="1153" spans="1:18" ht="13.5" customHeight="1">
      <c r="A1153" s="3637">
        <v>131</v>
      </c>
      <c r="B1153" s="3536">
        <v>751</v>
      </c>
      <c r="C1153" s="3536" t="s">
        <v>8159</v>
      </c>
      <c r="D1153" s="3536" t="s">
        <v>9962</v>
      </c>
      <c r="E1153" s="3536" t="s">
        <v>155</v>
      </c>
      <c r="F1153" s="3527">
        <f>ROUND(SUM(F1155),3)</f>
        <v>9</v>
      </c>
      <c r="G1153" s="3528"/>
      <c r="H1153" s="3904">
        <f t="shared" ref="H1153" si="226">ROUND(F1153*G1153,2)</f>
        <v>0</v>
      </c>
      <c r="I1153" s="3925"/>
      <c r="J1153" s="3529" t="s">
        <v>60</v>
      </c>
      <c r="K1153" s="5032"/>
      <c r="L1153" s="5077"/>
      <c r="M1153" s="52"/>
      <c r="R1153" s="5078"/>
    </row>
    <row r="1154" spans="1:18" ht="13.5" customHeight="1">
      <c r="A1154" s="3520"/>
      <c r="B1154" s="3636"/>
      <c r="C1154" s="3521"/>
      <c r="D1154" s="3548" t="s">
        <v>8161</v>
      </c>
      <c r="E1154" s="3521"/>
      <c r="F1154" s="3522"/>
      <c r="G1154" s="3523"/>
      <c r="H1154" s="3903"/>
      <c r="I1154" s="3924"/>
      <c r="J1154" s="3529"/>
      <c r="K1154" s="5032"/>
      <c r="L1154" s="5063"/>
      <c r="M1154" s="4854"/>
      <c r="N1154" s="5093"/>
      <c r="Q1154" s="5094"/>
    </row>
    <row r="1155" spans="1:18" ht="13.5" customHeight="1">
      <c r="A1155" s="3520"/>
      <c r="B1155" s="3636"/>
      <c r="C1155" s="3521"/>
      <c r="D1155" s="3343" t="s">
        <v>9963</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8162</v>
      </c>
      <c r="E1156" s="3536"/>
      <c r="F1156" s="3530"/>
      <c r="G1156" s="3523"/>
      <c r="H1156" s="3905"/>
      <c r="I1156" s="3926"/>
      <c r="J1156" s="3529"/>
      <c r="K1156" s="5096"/>
      <c r="M1156" s="1070"/>
    </row>
    <row r="1157" spans="1:18" ht="13.5" customHeight="1">
      <c r="A1157" s="3637">
        <v>132</v>
      </c>
      <c r="B1157" s="3536">
        <v>751</v>
      </c>
      <c r="C1157" s="3536" t="s">
        <v>8163</v>
      </c>
      <c r="D1157" s="3536" t="s">
        <v>9964</v>
      </c>
      <c r="E1157" s="3536" t="s">
        <v>155</v>
      </c>
      <c r="F1157" s="3527">
        <f>ROUND(SUM(F1159:F1161),3)</f>
        <v>3</v>
      </c>
      <c r="G1157" s="3528"/>
      <c r="H1157" s="3904">
        <f t="shared" ref="H1157" si="227">ROUND(F1157*G1157,2)</f>
        <v>0</v>
      </c>
      <c r="I1157" s="3925"/>
      <c r="J1157" s="3529" t="s">
        <v>60</v>
      </c>
      <c r="K1157" s="5032"/>
      <c r="L1157" s="5077"/>
      <c r="M1157" s="52"/>
      <c r="R1157" s="5078"/>
    </row>
    <row r="1158" spans="1:18" ht="13.5" customHeight="1">
      <c r="A1158" s="3520"/>
      <c r="B1158" s="3636"/>
      <c r="C1158" s="3521"/>
      <c r="D1158" s="3548" t="s">
        <v>8161</v>
      </c>
      <c r="E1158" s="3521"/>
      <c r="F1158" s="3522"/>
      <c r="G1158" s="3523"/>
      <c r="H1158" s="3903"/>
      <c r="I1158" s="3924"/>
      <c r="J1158" s="3529"/>
      <c r="K1158" s="5032"/>
      <c r="L1158" s="5063"/>
      <c r="M1158" s="4854"/>
      <c r="N1158" s="5093"/>
      <c r="Q1158" s="5094"/>
    </row>
    <row r="1159" spans="1:18" ht="13.5" customHeight="1">
      <c r="A1159" s="3520"/>
      <c r="B1159" s="3636"/>
      <c r="C1159" s="3521"/>
      <c r="D1159" s="3343" t="s">
        <v>9965</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9934</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9966</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8162</v>
      </c>
      <c r="E1162" s="3536"/>
      <c r="F1162" s="3530"/>
      <c r="G1162" s="3523"/>
      <c r="H1162" s="3905"/>
      <c r="I1162" s="3926"/>
      <c r="J1162" s="3529"/>
      <c r="M1162" s="1070"/>
    </row>
    <row r="1163" spans="1:18" ht="13.5" customHeight="1">
      <c r="A1163" s="3637">
        <v>133</v>
      </c>
      <c r="B1163" s="3536">
        <v>751</v>
      </c>
      <c r="C1163" s="3536" t="s">
        <v>10340</v>
      </c>
      <c r="D1163" s="3536" t="s">
        <v>9967</v>
      </c>
      <c r="E1163" s="3536" t="s">
        <v>155</v>
      </c>
      <c r="F1163" s="3527">
        <f>ROUND(SUM(F1165),3)</f>
        <v>3</v>
      </c>
      <c r="G1163" s="3528"/>
      <c r="H1163" s="3904">
        <f t="shared" ref="H1163" si="228">ROUND(F1163*G1163,2)</f>
        <v>0</v>
      </c>
      <c r="I1163" s="3925"/>
      <c r="J1163" s="3529" t="s">
        <v>60</v>
      </c>
      <c r="K1163" s="5032"/>
      <c r="L1163" s="5098"/>
      <c r="M1163" s="52"/>
      <c r="R1163" s="5078"/>
    </row>
    <row r="1164" spans="1:18" ht="13.5" customHeight="1">
      <c r="A1164" s="3520"/>
      <c r="B1164" s="3636"/>
      <c r="C1164" s="3521"/>
      <c r="D1164" s="3548" t="s">
        <v>8161</v>
      </c>
      <c r="E1164" s="3521"/>
      <c r="F1164" s="3522"/>
      <c r="G1164" s="3523"/>
      <c r="H1164" s="3903"/>
      <c r="I1164" s="3924"/>
      <c r="J1164" s="3529"/>
      <c r="K1164" s="5032"/>
      <c r="L1164" s="5063"/>
      <c r="M1164" s="4854"/>
      <c r="N1164" s="5093"/>
      <c r="Q1164" s="5094"/>
    </row>
    <row r="1165" spans="1:18" ht="13.5" customHeight="1">
      <c r="A1165" s="3520"/>
      <c r="B1165" s="3636"/>
      <c r="C1165" s="3521"/>
      <c r="D1165" s="3343" t="s">
        <v>9968</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8162</v>
      </c>
      <c r="E1166" s="3536"/>
      <c r="F1166" s="3530"/>
      <c r="G1166" s="3523"/>
      <c r="H1166" s="3905"/>
      <c r="I1166" s="3926"/>
      <c r="J1166" s="3529"/>
      <c r="K1166" s="5099"/>
      <c r="M1166" s="1070"/>
    </row>
    <row r="1167" spans="1:18" ht="13.5" customHeight="1">
      <c r="A1167" s="3637">
        <v>134</v>
      </c>
      <c r="B1167" s="3536">
        <v>751</v>
      </c>
      <c r="C1167" s="3536" t="s">
        <v>10341</v>
      </c>
      <c r="D1167" s="3536" t="s">
        <v>9969</v>
      </c>
      <c r="E1167" s="3536" t="s">
        <v>155</v>
      </c>
      <c r="F1167" s="3527">
        <f>ROUND(SUM(F1169),3)</f>
        <v>8</v>
      </c>
      <c r="G1167" s="3528"/>
      <c r="H1167" s="3904">
        <f t="shared" ref="H1167" si="229">ROUND(F1167*G1167,2)</f>
        <v>0</v>
      </c>
      <c r="I1167" s="3925"/>
      <c r="J1167" s="3529" t="s">
        <v>644</v>
      </c>
      <c r="K1167" s="5032"/>
      <c r="L1167" s="5077"/>
      <c r="M1167" s="52"/>
      <c r="R1167" s="5078"/>
    </row>
    <row r="1168" spans="1:18" ht="13.5" customHeight="1">
      <c r="A1168" s="3520"/>
      <c r="B1168" s="3636"/>
      <c r="C1168" s="3521"/>
      <c r="D1168" s="3548" t="s">
        <v>8161</v>
      </c>
      <c r="E1168" s="3521"/>
      <c r="F1168" s="3522"/>
      <c r="G1168" s="3523"/>
      <c r="H1168" s="3903"/>
      <c r="I1168" s="3924"/>
      <c r="J1168" s="3529"/>
      <c r="K1168" s="5032"/>
      <c r="L1168" s="5063"/>
      <c r="M1168" s="4854"/>
      <c r="N1168" s="5093"/>
      <c r="Q1168" s="5094"/>
    </row>
    <row r="1169" spans="1:18" ht="13.5" customHeight="1">
      <c r="A1169" s="3520"/>
      <c r="B1169" s="3636"/>
      <c r="C1169" s="3521"/>
      <c r="D1169" s="3343" t="s">
        <v>9970</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8162</v>
      </c>
      <c r="E1170" s="3536"/>
      <c r="F1170" s="3530"/>
      <c r="G1170" s="3523"/>
      <c r="H1170" s="3905"/>
      <c r="I1170" s="3926"/>
      <c r="J1170" s="3529"/>
      <c r="K1170" s="5101"/>
      <c r="M1170" s="1070"/>
    </row>
    <row r="1171" spans="1:18" ht="13.5" customHeight="1">
      <c r="A1171" s="3637">
        <v>135</v>
      </c>
      <c r="B1171" s="3536">
        <v>751</v>
      </c>
      <c r="C1171" s="3536" t="s">
        <v>10342</v>
      </c>
      <c r="D1171" s="3536" t="s">
        <v>9971</v>
      </c>
      <c r="E1171" s="3536" t="s">
        <v>155</v>
      </c>
      <c r="F1171" s="3527">
        <f>ROUND(SUM(F1173),3)</f>
        <v>1</v>
      </c>
      <c r="G1171" s="3528"/>
      <c r="H1171" s="3904">
        <f t="shared" ref="H1171" si="230">ROUND(F1171*G1171,2)</f>
        <v>0</v>
      </c>
      <c r="I1171" s="3925"/>
      <c r="J1171" s="3529" t="s">
        <v>644</v>
      </c>
      <c r="K1171" s="5032"/>
      <c r="L1171" s="5077"/>
      <c r="M1171" s="52"/>
      <c r="R1171" s="5078"/>
    </row>
    <row r="1172" spans="1:18" ht="13.5" customHeight="1">
      <c r="A1172" s="3520"/>
      <c r="B1172" s="3636"/>
      <c r="C1172" s="3521"/>
      <c r="D1172" s="3548" t="s">
        <v>8161</v>
      </c>
      <c r="E1172" s="3521"/>
      <c r="F1172" s="3522"/>
      <c r="G1172" s="3523"/>
      <c r="H1172" s="3903"/>
      <c r="I1172" s="3924"/>
      <c r="J1172" s="3529"/>
      <c r="K1172" s="5032"/>
      <c r="L1172" s="5063"/>
      <c r="M1172" s="4854"/>
      <c r="N1172" s="5093"/>
      <c r="Q1172" s="5094"/>
    </row>
    <row r="1173" spans="1:18" ht="13.5" customHeight="1">
      <c r="A1173" s="3520"/>
      <c r="B1173" s="3636"/>
      <c r="C1173" s="3521"/>
      <c r="D1173" s="3343" t="s">
        <v>9972</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8162</v>
      </c>
      <c r="E1174" s="3536"/>
      <c r="F1174" s="3530"/>
      <c r="G1174" s="3523"/>
      <c r="H1174" s="3905"/>
      <c r="I1174" s="3926"/>
      <c r="J1174" s="3529"/>
      <c r="K1174" s="5102"/>
      <c r="M1174" s="1070"/>
    </row>
    <row r="1175" spans="1:18" ht="13.5" customHeight="1">
      <c r="A1175" s="3637">
        <v>136</v>
      </c>
      <c r="B1175" s="3536">
        <v>751</v>
      </c>
      <c r="C1175" s="3536" t="s">
        <v>10343</v>
      </c>
      <c r="D1175" s="3536" t="s">
        <v>9973</v>
      </c>
      <c r="E1175" s="3536" t="s">
        <v>155</v>
      </c>
      <c r="F1175" s="3527">
        <f>ROUND(SUM(F1177),3)</f>
        <v>3</v>
      </c>
      <c r="G1175" s="3528"/>
      <c r="H1175" s="3904">
        <f t="shared" ref="H1175" si="231">ROUND(F1175*G1175,2)</f>
        <v>0</v>
      </c>
      <c r="I1175" s="3925"/>
      <c r="J1175" s="3529" t="s">
        <v>644</v>
      </c>
      <c r="K1175" s="5032"/>
      <c r="L1175" s="5077"/>
      <c r="M1175" s="52"/>
      <c r="R1175" s="5078"/>
    </row>
    <row r="1176" spans="1:18" ht="13.5" customHeight="1">
      <c r="A1176" s="3520"/>
      <c r="B1176" s="3636"/>
      <c r="C1176" s="3521"/>
      <c r="D1176" s="3548" t="s">
        <v>8161</v>
      </c>
      <c r="E1176" s="3521"/>
      <c r="F1176" s="3522"/>
      <c r="G1176" s="3523"/>
      <c r="H1176" s="3903"/>
      <c r="I1176" s="3924"/>
      <c r="J1176" s="3529"/>
      <c r="K1176" s="5032"/>
      <c r="L1176" s="5063"/>
      <c r="M1176" s="4854"/>
      <c r="N1176" s="5093"/>
      <c r="Q1176" s="5094"/>
    </row>
    <row r="1177" spans="1:18" ht="13.5" customHeight="1">
      <c r="A1177" s="3520"/>
      <c r="B1177" s="3636"/>
      <c r="C1177" s="3521"/>
      <c r="D1177" s="3343" t="s">
        <v>9968</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8162</v>
      </c>
      <c r="E1178" s="3536"/>
      <c r="F1178" s="3530"/>
      <c r="G1178" s="3523"/>
      <c r="H1178" s="3905"/>
      <c r="I1178" s="3926"/>
      <c r="J1178" s="3529"/>
      <c r="K1178" s="5102"/>
      <c r="M1178" s="1070"/>
    </row>
    <row r="1179" spans="1:18" ht="13.5" customHeight="1">
      <c r="A1179" s="3637">
        <v>137</v>
      </c>
      <c r="B1179" s="3536">
        <v>751</v>
      </c>
      <c r="C1179" s="3536" t="s">
        <v>10344</v>
      </c>
      <c r="D1179" s="3536" t="s">
        <v>9974</v>
      </c>
      <c r="E1179" s="3536" t="s">
        <v>155</v>
      </c>
      <c r="F1179" s="3527">
        <f>ROUND(SUM(F1181:F1182),3)</f>
        <v>4</v>
      </c>
      <c r="G1179" s="3528"/>
      <c r="H1179" s="3904">
        <f t="shared" ref="H1179" si="232">ROUND(F1179*G1179,2)</f>
        <v>0</v>
      </c>
      <c r="I1179" s="3925"/>
      <c r="J1179" s="3529" t="s">
        <v>644</v>
      </c>
      <c r="K1179" s="5032"/>
      <c r="L1179" s="5077"/>
      <c r="M1179" s="52"/>
      <c r="R1179" s="5078"/>
    </row>
    <row r="1180" spans="1:18" ht="13.5" customHeight="1">
      <c r="A1180" s="3520"/>
      <c r="B1180" s="3636"/>
      <c r="C1180" s="3521"/>
      <c r="D1180" s="3548" t="s">
        <v>8161</v>
      </c>
      <c r="E1180" s="3521"/>
      <c r="F1180" s="3522"/>
      <c r="G1180" s="3523"/>
      <c r="H1180" s="3903"/>
      <c r="I1180" s="3924"/>
      <c r="J1180" s="3529"/>
      <c r="K1180" s="5032"/>
      <c r="L1180" s="5063"/>
      <c r="M1180" s="4854"/>
      <c r="N1180" s="5093"/>
      <c r="Q1180" s="5094"/>
    </row>
    <row r="1181" spans="1:18" ht="13.5" customHeight="1">
      <c r="A1181" s="3520"/>
      <c r="B1181" s="3636"/>
      <c r="C1181" s="3521"/>
      <c r="D1181" s="3343" t="s">
        <v>9924</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9925</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8162</v>
      </c>
      <c r="E1183" s="3536"/>
      <c r="F1183" s="3530"/>
      <c r="G1183" s="3523"/>
      <c r="H1183" s="3905"/>
      <c r="I1183" s="3926"/>
      <c r="J1183" s="3529"/>
      <c r="M1183" s="1070"/>
    </row>
    <row r="1184" spans="1:18" ht="13.5" customHeight="1">
      <c r="A1184" s="3637">
        <v>138</v>
      </c>
      <c r="B1184" s="3536">
        <v>751</v>
      </c>
      <c r="C1184" s="3536" t="s">
        <v>10345</v>
      </c>
      <c r="D1184" s="3536" t="s">
        <v>9975</v>
      </c>
      <c r="E1184" s="3536" t="s">
        <v>155</v>
      </c>
      <c r="F1184" s="3527">
        <f>ROUND(SUM(F1186),3)</f>
        <v>1</v>
      </c>
      <c r="G1184" s="3528"/>
      <c r="H1184" s="3904">
        <f t="shared" ref="H1184" si="233">ROUND(F1184*G1184,2)</f>
        <v>0</v>
      </c>
      <c r="I1184" s="3925"/>
      <c r="J1184" s="3529" t="s">
        <v>644</v>
      </c>
      <c r="K1184" s="5032"/>
      <c r="L1184" s="5077"/>
      <c r="M1184" s="52"/>
      <c r="R1184" s="5078"/>
    </row>
    <row r="1185" spans="1:18" ht="13.5" customHeight="1">
      <c r="A1185" s="3520"/>
      <c r="B1185" s="3636"/>
      <c r="C1185" s="3521"/>
      <c r="D1185" s="3548" t="s">
        <v>8161</v>
      </c>
      <c r="E1185" s="3521"/>
      <c r="F1185" s="3522"/>
      <c r="G1185" s="3523"/>
      <c r="H1185" s="3903"/>
      <c r="I1185" s="3924"/>
      <c r="J1185" s="3529"/>
      <c r="K1185" s="5032"/>
      <c r="L1185" s="5100"/>
      <c r="M1185" s="4854"/>
      <c r="N1185" s="5100"/>
      <c r="Q1185" s="5094"/>
    </row>
    <row r="1186" spans="1:18" ht="13.5" customHeight="1">
      <c r="A1186" s="3520"/>
      <c r="B1186" s="3636"/>
      <c r="C1186" s="3521"/>
      <c r="D1186" s="3343" t="s">
        <v>9934</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8162</v>
      </c>
      <c r="E1187" s="3536"/>
      <c r="F1187" s="3530"/>
      <c r="G1187" s="3523"/>
      <c r="H1187" s="3905"/>
      <c r="I1187" s="3926"/>
      <c r="J1187" s="3529"/>
      <c r="K1187" s="5102"/>
      <c r="M1187" s="1070"/>
    </row>
    <row r="1188" spans="1:18" ht="13.5" customHeight="1">
      <c r="A1188" s="3637">
        <v>139</v>
      </c>
      <c r="B1188" s="3536">
        <v>751</v>
      </c>
      <c r="C1188" s="3536" t="s">
        <v>10346</v>
      </c>
      <c r="D1188" s="3536" t="s">
        <v>9976</v>
      </c>
      <c r="E1188" s="3536" t="s">
        <v>155</v>
      </c>
      <c r="F1188" s="3527">
        <f>ROUND(SUM(F1190:F1191),3)</f>
        <v>3</v>
      </c>
      <c r="G1188" s="3528"/>
      <c r="H1188" s="3904">
        <f t="shared" ref="H1188" si="234">ROUND(F1188*G1188,2)</f>
        <v>0</v>
      </c>
      <c r="I1188" s="3925"/>
      <c r="J1188" s="3529" t="s">
        <v>644</v>
      </c>
      <c r="K1188" s="5032"/>
      <c r="L1188" s="5077"/>
      <c r="M1188" s="52"/>
      <c r="R1188" s="5078"/>
    </row>
    <row r="1189" spans="1:18" ht="13.5" customHeight="1">
      <c r="A1189" s="3520"/>
      <c r="B1189" s="3636"/>
      <c r="C1189" s="3521"/>
      <c r="D1189" s="3548" t="s">
        <v>8161</v>
      </c>
      <c r="E1189" s="3521"/>
      <c r="F1189" s="3522"/>
      <c r="G1189" s="3523"/>
      <c r="H1189" s="3903"/>
      <c r="I1189" s="3924"/>
      <c r="J1189" s="3529"/>
      <c r="K1189" s="5032"/>
      <c r="L1189" s="5100"/>
      <c r="M1189" s="4854"/>
      <c r="N1189" s="5100"/>
      <c r="Q1189" s="5094"/>
    </row>
    <row r="1190" spans="1:18" ht="13.5" customHeight="1">
      <c r="A1190" s="3520"/>
      <c r="B1190" s="3636"/>
      <c r="C1190" s="3521"/>
      <c r="D1190" s="3343" t="s">
        <v>9977</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9934</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8162</v>
      </c>
      <c r="E1192" s="3536"/>
      <c r="F1192" s="3530"/>
      <c r="G1192" s="3523"/>
      <c r="H1192" s="3905"/>
      <c r="I1192" s="3926"/>
      <c r="J1192" s="3529"/>
      <c r="M1192" s="1070"/>
    </row>
    <row r="1193" spans="1:18" ht="13.5" customHeight="1">
      <c r="A1193" s="3637">
        <v>140</v>
      </c>
      <c r="B1193" s="3536">
        <v>751</v>
      </c>
      <c r="C1193" s="3536" t="s">
        <v>10347</v>
      </c>
      <c r="D1193" s="3536" t="s">
        <v>9978</v>
      </c>
      <c r="E1193" s="3536" t="s">
        <v>155</v>
      </c>
      <c r="F1193" s="3527">
        <f>ROUND(SUM(F1195:F1197),3)</f>
        <v>4</v>
      </c>
      <c r="G1193" s="3528"/>
      <c r="H1193" s="3904">
        <f t="shared" ref="H1193" si="235">ROUND(F1193*G1193,2)</f>
        <v>0</v>
      </c>
      <c r="I1193" s="3925"/>
      <c r="J1193" s="3529" t="s">
        <v>644</v>
      </c>
      <c r="K1193" s="5032"/>
      <c r="L1193" s="5077"/>
      <c r="M1193" s="52"/>
      <c r="R1193" s="5078"/>
    </row>
    <row r="1194" spans="1:18" ht="13.5" customHeight="1">
      <c r="A1194" s="3520"/>
      <c r="B1194" s="3636"/>
      <c r="C1194" s="3521"/>
      <c r="D1194" s="3548" t="s">
        <v>8161</v>
      </c>
      <c r="E1194" s="3521"/>
      <c r="F1194" s="3522"/>
      <c r="G1194" s="3523"/>
      <c r="H1194" s="3903"/>
      <c r="I1194" s="3924"/>
      <c r="J1194" s="3529"/>
      <c r="K1194" s="5032"/>
      <c r="L1194" s="5100"/>
      <c r="M1194" s="4854"/>
      <c r="N1194" s="5100"/>
      <c r="Q1194" s="5094"/>
    </row>
    <row r="1195" spans="1:18" ht="13.5" customHeight="1">
      <c r="A1195" s="3520"/>
      <c r="B1195" s="3636"/>
      <c r="C1195" s="3521"/>
      <c r="D1195" s="3343" t="s">
        <v>9979</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9966</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9972</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8162</v>
      </c>
      <c r="E1198" s="3536"/>
      <c r="F1198" s="3530"/>
      <c r="G1198" s="3523"/>
      <c r="H1198" s="3905"/>
      <c r="I1198" s="3926"/>
      <c r="J1198" s="3529"/>
      <c r="M1198" s="1070"/>
    </row>
    <row r="1199" spans="1:18" ht="13.5" customHeight="1">
      <c r="A1199" s="3637">
        <v>141</v>
      </c>
      <c r="B1199" s="3536">
        <v>751</v>
      </c>
      <c r="C1199" s="3536" t="s">
        <v>10348</v>
      </c>
      <c r="D1199" s="3536" t="s">
        <v>9980</v>
      </c>
      <c r="E1199" s="3536" t="s">
        <v>155</v>
      </c>
      <c r="F1199" s="3527">
        <f>ROUND(SUM(F1201),3)</f>
        <v>1</v>
      </c>
      <c r="G1199" s="3528"/>
      <c r="H1199" s="3904">
        <f t="shared" ref="H1199" si="236">ROUND(F1199*G1199,2)</f>
        <v>0</v>
      </c>
      <c r="I1199" s="3925"/>
      <c r="J1199" s="3529" t="s">
        <v>644</v>
      </c>
      <c r="K1199" s="5032"/>
      <c r="L1199" s="5077"/>
      <c r="M1199" s="52"/>
      <c r="R1199" s="5078"/>
    </row>
    <row r="1200" spans="1:18" ht="13.5" customHeight="1">
      <c r="A1200" s="3520"/>
      <c r="B1200" s="3636"/>
      <c r="C1200" s="3521"/>
      <c r="D1200" s="3548" t="s">
        <v>8161</v>
      </c>
      <c r="E1200" s="3521"/>
      <c r="F1200" s="3522"/>
      <c r="G1200" s="3523"/>
      <c r="H1200" s="3903"/>
      <c r="I1200" s="3924"/>
      <c r="J1200" s="3529"/>
      <c r="K1200" s="5032"/>
      <c r="L1200" s="5100"/>
      <c r="M1200" s="4854"/>
      <c r="N1200" s="5100"/>
      <c r="Q1200" s="5094"/>
    </row>
    <row r="1201" spans="1:20" ht="13.5" customHeight="1">
      <c r="A1201" s="3520"/>
      <c r="B1201" s="3636"/>
      <c r="C1201" s="3521"/>
      <c r="D1201" s="3343" t="s">
        <v>9965</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8162</v>
      </c>
      <c r="E1202" s="3536"/>
      <c r="F1202" s="3530"/>
      <c r="G1202" s="3523"/>
      <c r="H1202" s="3905"/>
      <c r="I1202" s="3926"/>
      <c r="J1202" s="3529"/>
      <c r="K1202" s="5102"/>
      <c r="M1202" s="1070"/>
    </row>
    <row r="1203" spans="1:20" ht="13.5" customHeight="1">
      <c r="A1203" s="3637">
        <v>142</v>
      </c>
      <c r="B1203" s="3536">
        <v>751</v>
      </c>
      <c r="C1203" s="3536" t="s">
        <v>10349</v>
      </c>
      <c r="D1203" s="3536" t="s">
        <v>9981</v>
      </c>
      <c r="E1203" s="3536" t="s">
        <v>155</v>
      </c>
      <c r="F1203" s="3527">
        <f>ROUND(SUM(F1205),3)</f>
        <v>4</v>
      </c>
      <c r="G1203" s="3542"/>
      <c r="H1203" s="3904">
        <f t="shared" ref="H1203" si="237">ROUND(F1203*G1203,2)</f>
        <v>0</v>
      </c>
      <c r="I1203" s="3925"/>
      <c r="J1203" s="3529" t="s">
        <v>60</v>
      </c>
      <c r="K1203" s="5032"/>
      <c r="L1203" s="5077"/>
      <c r="M1203" s="5031"/>
      <c r="O1203" s="5066"/>
      <c r="Q1203" s="5087"/>
      <c r="T1203" s="5087"/>
    </row>
    <row r="1204" spans="1:20" ht="13.5" customHeight="1">
      <c r="A1204" s="3683"/>
      <c r="B1204" s="3558"/>
      <c r="C1204" s="3558"/>
      <c r="D1204" s="3548" t="s">
        <v>9982</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9983</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9984</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10350</v>
      </c>
      <c r="D1207" s="3536" t="s">
        <v>9985</v>
      </c>
      <c r="E1207" s="3536" t="s">
        <v>155</v>
      </c>
      <c r="F1207" s="3527">
        <f>ROUND(SUM(F1209),3)</f>
        <v>2</v>
      </c>
      <c r="G1207" s="3542"/>
      <c r="H1207" s="3904">
        <f t="shared" ref="H1207" si="238">ROUND(F1207*G1207,2)</f>
        <v>0</v>
      </c>
      <c r="I1207" s="3925"/>
      <c r="J1207" s="3529" t="s">
        <v>60</v>
      </c>
      <c r="K1207" s="5032"/>
      <c r="L1207" s="5077"/>
      <c r="M1207" s="5031"/>
      <c r="O1207" s="5066"/>
      <c r="Q1207" s="5087"/>
      <c r="T1207" s="5087"/>
    </row>
    <row r="1208" spans="1:20" ht="13.5" customHeight="1">
      <c r="A1208" s="3683"/>
      <c r="B1208" s="3558"/>
      <c r="C1208" s="3558"/>
      <c r="D1208" s="3548" t="s">
        <v>9986</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9987</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9984</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10351</v>
      </c>
      <c r="D1211" s="3536" t="s">
        <v>9988</v>
      </c>
      <c r="E1211" s="3536" t="s">
        <v>155</v>
      </c>
      <c r="F1211" s="3527">
        <f>ROUND(SUM(F1213),3)</f>
        <v>3</v>
      </c>
      <c r="G1211" s="3542"/>
      <c r="H1211" s="3904">
        <f t="shared" ref="H1211" si="239">ROUND(F1211*G1211,2)</f>
        <v>0</v>
      </c>
      <c r="I1211" s="3925"/>
      <c r="J1211" s="3529" t="s">
        <v>60</v>
      </c>
      <c r="K1211" s="5032"/>
      <c r="L1211" s="5077"/>
      <c r="M1211" s="5031"/>
      <c r="O1211" s="5066"/>
      <c r="Q1211" s="5087"/>
      <c r="T1211" s="5087"/>
    </row>
    <row r="1212" spans="1:20" ht="13.5" customHeight="1">
      <c r="A1212" s="3683"/>
      <c r="B1212" s="3558"/>
      <c r="C1212" s="3558"/>
      <c r="D1212" s="3548" t="s">
        <v>9989</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9968</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9984</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10352</v>
      </c>
      <c r="D1215" s="3536" t="s">
        <v>9990</v>
      </c>
      <c r="E1215" s="3536" t="s">
        <v>155</v>
      </c>
      <c r="F1215" s="3527">
        <f>ROUND(SUM(F1217),3)</f>
        <v>1</v>
      </c>
      <c r="G1215" s="3542"/>
      <c r="H1215" s="3904">
        <f t="shared" ref="H1215" si="240">ROUND(F1215*G1215,2)</f>
        <v>0</v>
      </c>
      <c r="I1215" s="3925"/>
      <c r="J1215" s="3529" t="s">
        <v>60</v>
      </c>
      <c r="K1215" s="5032"/>
      <c r="L1215" s="5077"/>
      <c r="M1215" s="5031"/>
      <c r="O1215" s="5066"/>
      <c r="Q1215" s="5087"/>
      <c r="T1215" s="5087"/>
    </row>
    <row r="1216" spans="1:20" ht="13.5" customHeight="1">
      <c r="A1216" s="3683"/>
      <c r="B1216" s="3558"/>
      <c r="C1216" s="3558"/>
      <c r="D1216" s="3548" t="s">
        <v>9991</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9965</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9984</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10353</v>
      </c>
      <c r="D1219" s="3536" t="s">
        <v>9992</v>
      </c>
      <c r="E1219" s="3536" t="s">
        <v>155</v>
      </c>
      <c r="F1219" s="3527">
        <f>ROUND(SUM(F1221),3)</f>
        <v>2</v>
      </c>
      <c r="G1219" s="3542"/>
      <c r="H1219" s="3904">
        <f t="shared" ref="H1219" si="241">ROUND(F1219*G1219,2)</f>
        <v>0</v>
      </c>
      <c r="I1219" s="3925"/>
      <c r="J1219" s="3529" t="s">
        <v>60</v>
      </c>
      <c r="K1219" s="5032"/>
      <c r="L1219" s="5077"/>
      <c r="M1219" s="5031"/>
      <c r="O1219" s="5066"/>
      <c r="Q1219" s="5087"/>
      <c r="T1219" s="5087"/>
    </row>
    <row r="1220" spans="1:68" ht="13.5" customHeight="1">
      <c r="A1220" s="3683"/>
      <c r="B1220" s="3558"/>
      <c r="C1220" s="3558"/>
      <c r="D1220" s="3548" t="s">
        <v>9993</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9977</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9984</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10008</v>
      </c>
      <c r="D1223" s="3536" t="s">
        <v>9994</v>
      </c>
      <c r="E1223" s="3536" t="s">
        <v>155</v>
      </c>
      <c r="F1223" s="3527">
        <f>ROUND(SUM(F1225),3)</f>
        <v>1</v>
      </c>
      <c r="G1223" s="3542"/>
      <c r="H1223" s="3904">
        <f t="shared" ref="H1223" si="242">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9995</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9934</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9942</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10354</v>
      </c>
      <c r="D1227" s="3536" t="s">
        <v>9996</v>
      </c>
      <c r="E1227" s="3536" t="s">
        <v>155</v>
      </c>
      <c r="F1227" s="3527">
        <f>ROUND(SUM(F1229),3)</f>
        <v>1</v>
      </c>
      <c r="G1227" s="3542"/>
      <c r="H1227" s="3904">
        <f t="shared" ref="H1227" si="243">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9997</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9979</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9942</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10355</v>
      </c>
      <c r="D1231" s="3536" t="s">
        <v>9998</v>
      </c>
      <c r="E1231" s="3536" t="s">
        <v>155</v>
      </c>
      <c r="F1231" s="3527">
        <f>ROUND(SUM(F1233),3)</f>
        <v>1</v>
      </c>
      <c r="G1231" s="3542"/>
      <c r="H1231" s="3904">
        <f t="shared" ref="H1231" si="244">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9999</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9934</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9942</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10065</v>
      </c>
      <c r="D1235" s="3536" t="s">
        <v>10000</v>
      </c>
      <c r="E1235" s="3536" t="s">
        <v>155</v>
      </c>
      <c r="F1235" s="3527">
        <f>ROUND(SUM(F1237),3)</f>
        <v>1</v>
      </c>
      <c r="G1235" s="3542"/>
      <c r="H1235" s="3904">
        <f t="shared" ref="H1235" si="245">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10001</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9934</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9942</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10356</v>
      </c>
      <c r="D1239" s="3536" t="s">
        <v>10002</v>
      </c>
      <c r="E1239" s="3536" t="s">
        <v>155</v>
      </c>
      <c r="F1239" s="3527">
        <f>ROUND(SUM(F1241),3)</f>
        <v>1</v>
      </c>
      <c r="G1239" s="3542"/>
      <c r="H1239" s="3904">
        <f t="shared" ref="H1239" si="246">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10003</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9934</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9942</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10357</v>
      </c>
      <c r="D1243" s="3536" t="s">
        <v>10004</v>
      </c>
      <c r="E1243" s="3536" t="s">
        <v>155</v>
      </c>
      <c r="F1243" s="3527">
        <f>ROUND(SUM(F1245),3)</f>
        <v>2</v>
      </c>
      <c r="G1243" s="3542"/>
      <c r="H1243" s="3904">
        <f t="shared" ref="H1243" si="247">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10005</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9979</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9942</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10358</v>
      </c>
      <c r="D1247" s="3536" t="s">
        <v>10006</v>
      </c>
      <c r="E1247" s="3536" t="s">
        <v>155</v>
      </c>
      <c r="F1247" s="3527">
        <f>ROUND(SUM(F1249),3)</f>
        <v>1</v>
      </c>
      <c r="G1247" s="3542"/>
      <c r="H1247" s="3904">
        <f t="shared" ref="H1247" si="248">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10007</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9934</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9942</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10359</v>
      </c>
      <c r="D1251" s="3536" t="s">
        <v>10009</v>
      </c>
      <c r="E1251" s="3536" t="s">
        <v>155</v>
      </c>
      <c r="F1251" s="3527">
        <f>ROUND(SUM(F1253:F1255),3)</f>
        <v>11</v>
      </c>
      <c r="G1251" s="3542"/>
      <c r="H1251" s="3904">
        <f t="shared" ref="H1251" si="249">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10010</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9968</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10011</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9966</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9942</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10360</v>
      </c>
      <c r="D1257" s="3536" t="s">
        <v>10012</v>
      </c>
      <c r="E1257" s="3536" t="s">
        <v>155</v>
      </c>
      <c r="F1257" s="3527">
        <f>ROUND(SUM(F1259:F1261),3)</f>
        <v>23</v>
      </c>
      <c r="G1257" s="3542"/>
      <c r="H1257" s="3904">
        <f t="shared" ref="H1257" si="250">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10013</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9963</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10014</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10015</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9942</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10361</v>
      </c>
      <c r="D1263" s="3536" t="s">
        <v>10016</v>
      </c>
      <c r="E1263" s="3536" t="s">
        <v>155</v>
      </c>
      <c r="F1263" s="3527">
        <f>ROUND(SUM(F1265:F1267),3)</f>
        <v>33</v>
      </c>
      <c r="G1263" s="3542"/>
      <c r="H1263" s="3904">
        <f t="shared" ref="H1263" si="251">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10017</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9963</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10018</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10019</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9942</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10362</v>
      </c>
      <c r="D1269" s="3536" t="s">
        <v>10020</v>
      </c>
      <c r="E1269" s="3536" t="s">
        <v>155</v>
      </c>
      <c r="F1269" s="3527">
        <f>ROUND(SUM(F1271:F1273),3)</f>
        <v>18</v>
      </c>
      <c r="G1269" s="3542"/>
      <c r="H1269" s="3904">
        <f t="shared" ref="H1269" si="252">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10021</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10022</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10023</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10015</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9942</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10363</v>
      </c>
      <c r="D1275" s="3536" t="s">
        <v>10024</v>
      </c>
      <c r="E1275" s="3536" t="s">
        <v>155</v>
      </c>
      <c r="F1275" s="3527">
        <f>ROUND(SUM(F1277:F1278),3)</f>
        <v>8</v>
      </c>
      <c r="G1275" s="3542"/>
      <c r="H1275" s="3904">
        <f t="shared" ref="H1275" si="253">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10025</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9965</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10011</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9942</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10364</v>
      </c>
      <c r="D1280" s="3536" t="s">
        <v>10026</v>
      </c>
      <c r="E1280" s="3536" t="s">
        <v>155</v>
      </c>
      <c r="F1280" s="3527">
        <f>ROUND(SUM(F1282),3)</f>
        <v>2</v>
      </c>
      <c r="G1280" s="3542"/>
      <c r="H1280" s="3904">
        <f t="shared" ref="H1280" si="254">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10027</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9979</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9942</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10365</v>
      </c>
      <c r="D1284" s="3536" t="s">
        <v>10028</v>
      </c>
      <c r="E1284" s="3536" t="s">
        <v>155</v>
      </c>
      <c r="F1284" s="3527">
        <f>ROUND(SUM(F1286),3)</f>
        <v>1</v>
      </c>
      <c r="G1284" s="3542"/>
      <c r="H1284" s="3904">
        <f t="shared" ref="H1284" si="255">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10029</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9965</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9942</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10366</v>
      </c>
      <c r="D1288" s="3536" t="s">
        <v>10030</v>
      </c>
      <c r="E1288" s="3536" t="s">
        <v>155</v>
      </c>
      <c r="F1288" s="3527">
        <f>ROUND(SUM(F1290),3)</f>
        <v>3</v>
      </c>
      <c r="G1288" s="3542"/>
      <c r="H1288" s="3904">
        <f t="shared" ref="H1288" si="256">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10029</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9930</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9942</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10367</v>
      </c>
      <c r="D1292" s="3569" t="s">
        <v>10031</v>
      </c>
      <c r="E1292" s="3536" t="s">
        <v>155</v>
      </c>
      <c r="F1292" s="3527">
        <f>ROUND(SUM(F1294),3)</f>
        <v>4</v>
      </c>
      <c r="G1292" s="3542"/>
      <c r="H1292" s="3904">
        <f t="shared" ref="H1292" si="257">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10032</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9983</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10033</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10368</v>
      </c>
      <c r="D1296" s="3569" t="s">
        <v>10034</v>
      </c>
      <c r="E1296" s="3536" t="s">
        <v>155</v>
      </c>
      <c r="F1296" s="3527">
        <f>ROUND(SUM(F1298:F1300),3)</f>
        <v>7</v>
      </c>
      <c r="G1296" s="3542"/>
      <c r="H1296" s="3904">
        <f t="shared" ref="H1296" si="258">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10035</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9961</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9924</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9925</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10033</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10369</v>
      </c>
      <c r="D1302" s="3569" t="s">
        <v>10036</v>
      </c>
      <c r="E1302" s="3536" t="s">
        <v>155</v>
      </c>
      <c r="F1302" s="3527">
        <f>ROUND(SUM(F1304:F1307),3)</f>
        <v>7</v>
      </c>
      <c r="G1302" s="3542"/>
      <c r="H1302" s="3904">
        <f t="shared" ref="H1302" si="259">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10037</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9965</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9979</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9924</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9925</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10033</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10370</v>
      </c>
      <c r="D1309" s="3569" t="s">
        <v>10038</v>
      </c>
      <c r="E1309" s="3536" t="s">
        <v>155</v>
      </c>
      <c r="F1309" s="3527">
        <f>ROUND(SUM(F1311:F1313),3)</f>
        <v>7</v>
      </c>
      <c r="G1309" s="3542"/>
      <c r="H1309" s="3904">
        <f t="shared" ref="H1309" si="260">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10039</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9961</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9924</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9924</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10033</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10371</v>
      </c>
      <c r="D1315" s="3569" t="s">
        <v>10040</v>
      </c>
      <c r="E1315" s="3536" t="s">
        <v>155</v>
      </c>
      <c r="F1315" s="3527">
        <f>ROUND(SUM(F1317:F1318),3)</f>
        <v>2</v>
      </c>
      <c r="G1315" s="3542"/>
      <c r="H1315" s="3904">
        <f t="shared" ref="H1315" si="261">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10041</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9966</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9972</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10033</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10372</v>
      </c>
      <c r="D1320" s="3569" t="s">
        <v>10042</v>
      </c>
      <c r="E1320" s="3536" t="s">
        <v>155</v>
      </c>
      <c r="F1320" s="3527">
        <f>ROUND(SUM(F1322:F1323),3)</f>
        <v>2</v>
      </c>
      <c r="G1320" s="3542"/>
      <c r="H1320" s="3904">
        <f t="shared" ref="H1320" si="262">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10043</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9966</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9972</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10033</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10373</v>
      </c>
      <c r="D1325" s="3569" t="s">
        <v>10044</v>
      </c>
      <c r="E1325" s="3536" t="s">
        <v>155</v>
      </c>
      <c r="F1325" s="3527">
        <f>ROUND(SUM(F1327),3)</f>
        <v>1</v>
      </c>
      <c r="G1325" s="3542"/>
      <c r="H1325" s="3904">
        <f t="shared" ref="H1325" si="263">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10045</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9966</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10033</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10374</v>
      </c>
      <c r="D1329" s="3569" t="s">
        <v>10046</v>
      </c>
      <c r="E1329" s="3536" t="s">
        <v>155</v>
      </c>
      <c r="F1329" s="3527">
        <f>ROUND(SUM(F1331),3)</f>
        <v>1</v>
      </c>
      <c r="G1329" s="3542"/>
      <c r="H1329" s="3904">
        <f t="shared" ref="H1329" si="264">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10047</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9966</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9972</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10033</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10375</v>
      </c>
      <c r="D1334" s="3569" t="s">
        <v>10048</v>
      </c>
      <c r="E1334" s="3536" t="s">
        <v>155</v>
      </c>
      <c r="F1334" s="3527">
        <f>ROUND(SUM(F1336:F1338),3)</f>
        <v>8</v>
      </c>
      <c r="G1334" s="3542"/>
      <c r="H1334" s="3904">
        <f t="shared" ref="H1334" si="265">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10049</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9934</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9930</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9958</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10033</v>
      </c>
      <c r="E1339" s="3558"/>
      <c r="F1339" s="3530"/>
      <c r="G1339" s="3559"/>
      <c r="H1339" s="3905"/>
      <c r="I1339" s="3926"/>
      <c r="J1339" s="4513"/>
      <c r="K1339" s="1341"/>
      <c r="L1339" s="3662"/>
      <c r="M1339" s="52"/>
      <c r="T1339" s="5087"/>
    </row>
    <row r="1340" spans="1:68" ht="27" customHeight="1">
      <c r="A1340" s="3637">
        <v>171</v>
      </c>
      <c r="B1340" s="3536">
        <v>751</v>
      </c>
      <c r="C1340" s="3536" t="s">
        <v>10376</v>
      </c>
      <c r="D1340" s="3569" t="s">
        <v>10050</v>
      </c>
      <c r="E1340" s="3536" t="s">
        <v>155</v>
      </c>
      <c r="F1340" s="3527">
        <f>ROUND(SUM(F1342),3)</f>
        <v>1</v>
      </c>
      <c r="G1340" s="3542"/>
      <c r="H1340" s="3904">
        <f t="shared" ref="H1340" si="266">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10051</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9972</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10033</v>
      </c>
      <c r="E1343" s="3558"/>
      <c r="F1343" s="3530"/>
      <c r="G1343" s="3559"/>
      <c r="H1343" s="3905"/>
      <c r="I1343" s="3926"/>
      <c r="J1343" s="4513"/>
      <c r="K1343" s="5089"/>
      <c r="L1343" s="1341"/>
      <c r="M1343" s="3662"/>
      <c r="T1343" s="5087"/>
    </row>
    <row r="1344" spans="1:68" ht="27" customHeight="1">
      <c r="A1344" s="3637">
        <v>172</v>
      </c>
      <c r="B1344" s="3536">
        <v>751</v>
      </c>
      <c r="C1344" s="3536" t="s">
        <v>10377</v>
      </c>
      <c r="D1344" s="3569" t="s">
        <v>10052</v>
      </c>
      <c r="E1344" s="3536" t="s">
        <v>155</v>
      </c>
      <c r="F1344" s="3527">
        <f>ROUND(SUM(F1346),3)</f>
        <v>1</v>
      </c>
      <c r="G1344" s="3542"/>
      <c r="H1344" s="3904">
        <f t="shared" ref="H1344" si="267">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10053</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10054</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10033</v>
      </c>
      <c r="E1347" s="3558"/>
      <c r="F1347" s="3530"/>
      <c r="G1347" s="3559"/>
      <c r="H1347" s="3905"/>
      <c r="I1347" s="3926"/>
      <c r="J1347" s="4513"/>
      <c r="K1347" s="5089"/>
      <c r="L1347" s="3662"/>
      <c r="M1347" s="52"/>
      <c r="T1347" s="5087"/>
    </row>
    <row r="1348" spans="1:68" ht="27" customHeight="1">
      <c r="A1348" s="3637">
        <v>173</v>
      </c>
      <c r="B1348" s="3536">
        <v>751</v>
      </c>
      <c r="C1348" s="3536" t="s">
        <v>10378</v>
      </c>
      <c r="D1348" s="3569" t="s">
        <v>10055</v>
      </c>
      <c r="E1348" s="3536" t="s">
        <v>155</v>
      </c>
      <c r="F1348" s="3527">
        <f>ROUND(SUM(F1350:F1352),3)</f>
        <v>4</v>
      </c>
      <c r="G1348" s="3542"/>
      <c r="H1348" s="3904">
        <f t="shared" ref="H1348" si="268">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10056</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9979</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9966</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9972</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10033</v>
      </c>
      <c r="E1353" s="3558"/>
      <c r="F1353" s="3530"/>
      <c r="G1353" s="3559"/>
      <c r="H1353" s="3905"/>
      <c r="I1353" s="3926"/>
      <c r="J1353" s="3343"/>
      <c r="K1353" s="1341"/>
      <c r="L1353" s="3662"/>
      <c r="M1353" s="52"/>
    </row>
    <row r="1354" spans="1:68" ht="27" customHeight="1">
      <c r="A1354" s="3637">
        <v>174</v>
      </c>
      <c r="B1354" s="3536">
        <v>751</v>
      </c>
      <c r="C1354" s="3536" t="s">
        <v>10379</v>
      </c>
      <c r="D1354" s="3569" t="s">
        <v>10057</v>
      </c>
      <c r="E1354" s="3536" t="s">
        <v>155</v>
      </c>
      <c r="F1354" s="3527">
        <f>ROUND(SUM(F1356),3)</f>
        <v>2</v>
      </c>
      <c r="G1354" s="3542"/>
      <c r="H1354" s="3904">
        <f t="shared" ref="H1354" si="269">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10058</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9934</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10033</v>
      </c>
      <c r="E1357" s="3558"/>
      <c r="F1357" s="3530"/>
      <c r="G1357" s="3559"/>
      <c r="H1357" s="3905"/>
      <c r="I1357" s="3926"/>
      <c r="J1357" s="4513"/>
      <c r="K1357" s="5089"/>
      <c r="L1357" s="3662"/>
      <c r="M1357" s="52"/>
    </row>
    <row r="1358" spans="1:68" ht="27" customHeight="1">
      <c r="A1358" s="3637">
        <v>175</v>
      </c>
      <c r="B1358" s="3536">
        <v>751</v>
      </c>
      <c r="C1358" s="3536" t="s">
        <v>10380</v>
      </c>
      <c r="D1358" s="3569" t="s">
        <v>10059</v>
      </c>
      <c r="E1358" s="3536" t="s">
        <v>155</v>
      </c>
      <c r="F1358" s="3527">
        <f>ROUND(SUM(F1360:F1361),3)</f>
        <v>2</v>
      </c>
      <c r="G1358" s="3542"/>
      <c r="H1358" s="3904">
        <f t="shared" ref="H1358" si="270">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10060</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9966</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9972</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10033</v>
      </c>
      <c r="E1362" s="3558"/>
      <c r="F1362" s="3530"/>
      <c r="G1362" s="3559"/>
      <c r="H1362" s="3905"/>
      <c r="I1362" s="3926"/>
      <c r="J1362" s="4513"/>
      <c r="K1362" s="1341"/>
      <c r="L1362" s="3662"/>
      <c r="M1362" s="52"/>
    </row>
    <row r="1363" spans="1:68" ht="27" customHeight="1">
      <c r="A1363" s="3637">
        <v>176</v>
      </c>
      <c r="B1363" s="3536">
        <v>751</v>
      </c>
      <c r="C1363" s="3536" t="s">
        <v>10381</v>
      </c>
      <c r="D1363" s="3569" t="s">
        <v>10061</v>
      </c>
      <c r="E1363" s="3536" t="s">
        <v>155</v>
      </c>
      <c r="F1363" s="3527">
        <f>ROUND(SUM(F1365:F1366),3)</f>
        <v>2</v>
      </c>
      <c r="G1363" s="3542"/>
      <c r="H1363" s="3904">
        <f t="shared" ref="H1363" si="271">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10062</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9966</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9972</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10033</v>
      </c>
      <c r="E1367" s="3558"/>
      <c r="F1367" s="3530"/>
      <c r="G1367" s="3559"/>
      <c r="H1367" s="3905"/>
      <c r="I1367" s="3926"/>
      <c r="J1367" s="4513"/>
      <c r="K1367" s="1341"/>
      <c r="L1367" s="3662"/>
      <c r="M1367" s="52"/>
    </row>
    <row r="1368" spans="1:68" ht="27" customHeight="1">
      <c r="A1368" s="3637">
        <v>177</v>
      </c>
      <c r="B1368" s="3536">
        <v>751</v>
      </c>
      <c r="C1368" s="3536" t="s">
        <v>10382</v>
      </c>
      <c r="D1368" s="3569" t="s">
        <v>10063</v>
      </c>
      <c r="E1368" s="3536" t="s">
        <v>155</v>
      </c>
      <c r="F1368" s="3527">
        <f>ROUND(SUM(F1370),3)</f>
        <v>1</v>
      </c>
      <c r="G1368" s="3542"/>
      <c r="H1368" s="3904">
        <f t="shared" ref="H1368" si="272">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10064</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9934</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10033</v>
      </c>
      <c r="E1371" s="3558"/>
      <c r="F1371" s="3530"/>
      <c r="G1371" s="3559"/>
      <c r="H1371" s="3905"/>
      <c r="I1371" s="3926"/>
      <c r="J1371" s="4513"/>
      <c r="K1371" s="5089"/>
      <c r="L1371" s="3662"/>
      <c r="M1371" s="52"/>
    </row>
    <row r="1372" spans="1:68" ht="13.5" customHeight="1">
      <c r="A1372" s="3637">
        <v>178</v>
      </c>
      <c r="B1372" s="3536">
        <v>751</v>
      </c>
      <c r="C1372" s="3536" t="s">
        <v>10383</v>
      </c>
      <c r="D1372" s="3569" t="s">
        <v>10066</v>
      </c>
      <c r="E1372" s="3536" t="s">
        <v>155</v>
      </c>
      <c r="F1372" s="3527">
        <f>ROUND(SUM(F1374),3)</f>
        <v>2</v>
      </c>
      <c r="G1372" s="3528"/>
      <c r="H1372" s="3904">
        <f t="shared" ref="H1372" si="273">ROUND(F1372*G1372,2)</f>
        <v>0</v>
      </c>
      <c r="I1372" s="3925"/>
      <c r="J1372" s="3529" t="s">
        <v>60</v>
      </c>
      <c r="K1372" s="5032"/>
      <c r="L1372" s="5077"/>
      <c r="M1372" s="5031"/>
      <c r="N1372" s="1470"/>
      <c r="O1372" s="1470"/>
      <c r="P1372" s="5108"/>
      <c r="Q1372" s="5031"/>
    </row>
    <row r="1373" spans="1:68" ht="13.5" customHeight="1">
      <c r="A1373" s="3637"/>
      <c r="B1373" s="3536"/>
      <c r="C1373" s="3536"/>
      <c r="D1373" s="3548" t="s">
        <v>10067</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9977</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9942</v>
      </c>
      <c r="E1375" s="3536"/>
      <c r="F1375" s="3530"/>
      <c r="G1375" s="3542"/>
      <c r="H1375" s="3916"/>
      <c r="I1375" s="3937"/>
      <c r="J1375" s="3529"/>
      <c r="K1375" s="5089"/>
      <c r="L1375" s="3662"/>
      <c r="P1375" s="5108"/>
    </row>
    <row r="1376" spans="1:68" s="1061" customFormat="1" ht="27" customHeight="1">
      <c r="A1376" s="3637">
        <v>179</v>
      </c>
      <c r="B1376" s="3536">
        <v>751</v>
      </c>
      <c r="C1376" s="3536" t="s">
        <v>10068</v>
      </c>
      <c r="D1376" s="3536" t="s">
        <v>10069</v>
      </c>
      <c r="E1376" s="3536" t="s">
        <v>155</v>
      </c>
      <c r="F1376" s="3527">
        <f>ROUND(SUM(F1378),3)</f>
        <v>1</v>
      </c>
      <c r="G1376" s="3528"/>
      <c r="H1376" s="3904">
        <f t="shared" ref="H1376" si="274">ROUND(F1376*G1376,2)</f>
        <v>0</v>
      </c>
      <c r="I1376" s="3925"/>
      <c r="J1376" s="3529" t="s">
        <v>60</v>
      </c>
      <c r="K1376" s="5114"/>
      <c r="L1376" s="5077"/>
      <c r="M1376" s="5090"/>
      <c r="P1376" s="5115"/>
      <c r="S1376" s="52"/>
    </row>
    <row r="1377" spans="1:19" s="1061" customFormat="1" ht="13.5" customHeight="1">
      <c r="A1377" s="3525"/>
      <c r="B1377" s="3536"/>
      <c r="C1377" s="3536"/>
      <c r="D1377" s="3548" t="s">
        <v>10070</v>
      </c>
      <c r="E1377" s="3536"/>
      <c r="F1377" s="3541"/>
      <c r="G1377" s="3528"/>
      <c r="H1377" s="3905"/>
      <c r="I1377" s="3926"/>
      <c r="J1377" s="3529"/>
      <c r="K1377" s="5114"/>
      <c r="L1377" s="5116"/>
      <c r="M1377" s="5117"/>
    </row>
    <row r="1378" spans="1:19" s="1061" customFormat="1" ht="13.5" customHeight="1">
      <c r="A1378" s="3525"/>
      <c r="B1378" s="3536"/>
      <c r="C1378" s="3536"/>
      <c r="D1378" s="3343" t="s">
        <v>9934</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10071</v>
      </c>
      <c r="E1379" s="3536"/>
      <c r="F1379" s="3530"/>
      <c r="G1379" s="3680"/>
      <c r="H1379" s="3903"/>
      <c r="I1379" s="3924"/>
      <c r="J1379" s="4515"/>
      <c r="K1379" s="1392"/>
      <c r="M1379" s="5014"/>
      <c r="P1379" s="5108"/>
    </row>
    <row r="1380" spans="1:19" s="1061" customFormat="1" ht="27" customHeight="1">
      <c r="A1380" s="3637">
        <v>180</v>
      </c>
      <c r="B1380" s="3536">
        <v>751</v>
      </c>
      <c r="C1380" s="3536" t="s">
        <v>10076</v>
      </c>
      <c r="D1380" s="3536" t="s">
        <v>10072</v>
      </c>
      <c r="E1380" s="3536" t="s">
        <v>155</v>
      </c>
      <c r="F1380" s="3527">
        <f>ROUND(SUM(F1382:F1383),3)</f>
        <v>2</v>
      </c>
      <c r="G1380" s="3528"/>
      <c r="H1380" s="3904">
        <f t="shared" ref="H1380" si="275">ROUND(F1380*G1380,2)</f>
        <v>0</v>
      </c>
      <c r="I1380" s="3925"/>
      <c r="J1380" s="3529" t="s">
        <v>60</v>
      </c>
      <c r="K1380" s="5114"/>
      <c r="L1380" s="5077"/>
      <c r="M1380" s="5090"/>
      <c r="P1380" s="5115"/>
      <c r="S1380" s="52"/>
    </row>
    <row r="1381" spans="1:19" s="1061" customFormat="1" ht="13.5" customHeight="1">
      <c r="A1381" s="3525"/>
      <c r="B1381" s="3536"/>
      <c r="C1381" s="3536"/>
      <c r="D1381" s="3548" t="s">
        <v>10070</v>
      </c>
      <c r="E1381" s="3536"/>
      <c r="F1381" s="3541"/>
      <c r="G1381" s="3528"/>
      <c r="H1381" s="3905"/>
      <c r="I1381" s="3926"/>
      <c r="J1381" s="3529"/>
      <c r="K1381" s="5114"/>
      <c r="L1381" s="5116"/>
      <c r="M1381" s="5117"/>
    </row>
    <row r="1382" spans="1:19" s="1061" customFormat="1" ht="13.5" customHeight="1">
      <c r="A1382" s="3525"/>
      <c r="B1382" s="3536"/>
      <c r="C1382" s="3536"/>
      <c r="D1382" s="3343" t="s">
        <v>9966</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9972</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10071</v>
      </c>
      <c r="E1384" s="3536"/>
      <c r="F1384" s="3530"/>
      <c r="G1384" s="3680"/>
      <c r="H1384" s="3903"/>
      <c r="I1384" s="3924"/>
      <c r="J1384" s="4515"/>
      <c r="K1384" s="3568"/>
      <c r="M1384" s="5014"/>
      <c r="P1384" s="5108"/>
    </row>
    <row r="1385" spans="1:19" s="1061" customFormat="1" ht="27" customHeight="1">
      <c r="A1385" s="3637">
        <v>181</v>
      </c>
      <c r="B1385" s="3536">
        <v>751</v>
      </c>
      <c r="C1385" s="3536" t="s">
        <v>10384</v>
      </c>
      <c r="D1385" s="3536" t="s">
        <v>10073</v>
      </c>
      <c r="E1385" s="3536" t="s">
        <v>155</v>
      </c>
      <c r="F1385" s="3527">
        <f>ROUND(SUM(F1387),3)</f>
        <v>1</v>
      </c>
      <c r="G1385" s="3528"/>
      <c r="H1385" s="3904">
        <f t="shared" ref="H1385" si="276">ROUND(F1385*G1385,2)</f>
        <v>0</v>
      </c>
      <c r="I1385" s="3925"/>
      <c r="J1385" s="3529" t="s">
        <v>60</v>
      </c>
      <c r="K1385" s="5114"/>
      <c r="L1385" s="5077"/>
      <c r="M1385" s="5090"/>
      <c r="P1385" s="5115"/>
      <c r="S1385" s="52"/>
    </row>
    <row r="1386" spans="1:19" s="1061" customFormat="1" ht="13.5" customHeight="1">
      <c r="A1386" s="3525"/>
      <c r="B1386" s="3536"/>
      <c r="C1386" s="3536"/>
      <c r="D1386" s="3548" t="s">
        <v>10070</v>
      </c>
      <c r="E1386" s="3536"/>
      <c r="F1386" s="3541"/>
      <c r="G1386" s="3528"/>
      <c r="H1386" s="3905"/>
      <c r="I1386" s="3926"/>
      <c r="J1386" s="3529"/>
      <c r="K1386" s="5114"/>
      <c r="L1386" s="5116"/>
      <c r="M1386" s="5117"/>
    </row>
    <row r="1387" spans="1:19" s="1061" customFormat="1" ht="13.5" customHeight="1">
      <c r="A1387" s="3525"/>
      <c r="B1387" s="3536"/>
      <c r="C1387" s="3536"/>
      <c r="D1387" s="3343" t="s">
        <v>9965</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10071</v>
      </c>
      <c r="E1388" s="3536"/>
      <c r="F1388" s="3530"/>
      <c r="G1388" s="3680"/>
      <c r="H1388" s="3903"/>
      <c r="I1388" s="3924"/>
      <c r="J1388" s="4515"/>
      <c r="K1388" s="1392"/>
      <c r="M1388" s="5014"/>
      <c r="P1388" s="5108"/>
    </row>
    <row r="1389" spans="1:19" s="1061" customFormat="1" ht="27" customHeight="1">
      <c r="A1389" s="3637">
        <v>182</v>
      </c>
      <c r="B1389" s="3536">
        <v>751</v>
      </c>
      <c r="C1389" s="3536" t="s">
        <v>10385</v>
      </c>
      <c r="D1389" s="3536" t="s">
        <v>10074</v>
      </c>
      <c r="E1389" s="3536" t="s">
        <v>155</v>
      </c>
      <c r="F1389" s="3527">
        <f>ROUND(SUM(F1391),3)</f>
        <v>2</v>
      </c>
      <c r="G1389" s="3528"/>
      <c r="H1389" s="3904">
        <f t="shared" ref="H1389" si="277">ROUND(F1389*G1389,2)</f>
        <v>0</v>
      </c>
      <c r="I1389" s="3925"/>
      <c r="J1389" s="3529" t="s">
        <v>60</v>
      </c>
      <c r="K1389" s="5114"/>
      <c r="L1389" s="5077"/>
      <c r="M1389" s="5090"/>
      <c r="P1389" s="5115"/>
      <c r="S1389" s="52"/>
    </row>
    <row r="1390" spans="1:19" s="1061" customFormat="1" ht="13.5" customHeight="1">
      <c r="A1390" s="3525"/>
      <c r="B1390" s="3536"/>
      <c r="C1390" s="3536"/>
      <c r="D1390" s="3548" t="s">
        <v>10070</v>
      </c>
      <c r="E1390" s="3536"/>
      <c r="F1390" s="3541"/>
      <c r="G1390" s="3528"/>
      <c r="H1390" s="3905"/>
      <c r="I1390" s="3926"/>
      <c r="J1390" s="3529"/>
      <c r="K1390" s="5114"/>
      <c r="L1390" s="5116"/>
      <c r="M1390" s="5117"/>
    </row>
    <row r="1391" spans="1:19" s="1061" customFormat="1" ht="13.5" customHeight="1">
      <c r="A1391" s="3525"/>
      <c r="B1391" s="3536"/>
      <c r="C1391" s="3536"/>
      <c r="D1391" s="3343" t="s">
        <v>10075</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10071</v>
      </c>
      <c r="E1392" s="3536"/>
      <c r="F1392" s="3530"/>
      <c r="G1392" s="3680"/>
      <c r="H1392" s="3903"/>
      <c r="I1392" s="3924"/>
      <c r="J1392" s="4515"/>
      <c r="K1392" s="1392"/>
      <c r="M1392" s="5014"/>
      <c r="P1392" s="5108"/>
    </row>
    <row r="1393" spans="1:19" s="1061" customFormat="1" ht="27" customHeight="1">
      <c r="A1393" s="3637">
        <v>183</v>
      </c>
      <c r="B1393" s="3536">
        <v>751</v>
      </c>
      <c r="C1393" s="3536" t="s">
        <v>10386</v>
      </c>
      <c r="D1393" s="3536" t="s">
        <v>10077</v>
      </c>
      <c r="E1393" s="3536" t="s">
        <v>155</v>
      </c>
      <c r="F1393" s="3527">
        <f>ROUND(SUM(F1395),3)</f>
        <v>2</v>
      </c>
      <c r="G1393" s="3528"/>
      <c r="H1393" s="3904">
        <f t="shared" ref="H1393" si="278">ROUND(F1393*G1393,2)</f>
        <v>0</v>
      </c>
      <c r="I1393" s="3925"/>
      <c r="J1393" s="3529" t="s">
        <v>60</v>
      </c>
      <c r="K1393" s="5114"/>
      <c r="L1393" s="5120"/>
      <c r="M1393" s="5090"/>
      <c r="P1393" s="5115"/>
      <c r="S1393" s="52"/>
    </row>
    <row r="1394" spans="1:19" s="1061" customFormat="1" ht="13.5" customHeight="1">
      <c r="A1394" s="3525"/>
      <c r="B1394" s="3536"/>
      <c r="C1394" s="3536"/>
      <c r="D1394" s="3548" t="s">
        <v>10070</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9977</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10071</v>
      </c>
      <c r="E1396" s="3536"/>
      <c r="F1396" s="3530"/>
      <c r="G1396" s="3528"/>
      <c r="H1396" s="3905"/>
      <c r="I1396" s="3926"/>
      <c r="J1396" s="3529"/>
      <c r="K1396" s="1392"/>
      <c r="M1396" s="5014"/>
      <c r="P1396" s="5108"/>
    </row>
    <row r="1397" spans="1:19" s="1061" customFormat="1" ht="27" customHeight="1">
      <c r="A1397" s="3637">
        <v>184</v>
      </c>
      <c r="B1397" s="3536">
        <v>751</v>
      </c>
      <c r="C1397" s="3536" t="s">
        <v>10387</v>
      </c>
      <c r="D1397" s="3536" t="s">
        <v>10078</v>
      </c>
      <c r="E1397" s="3536" t="s">
        <v>155</v>
      </c>
      <c r="F1397" s="3527">
        <f>ROUND(SUM(F1399),3)</f>
        <v>1</v>
      </c>
      <c r="G1397" s="3528"/>
      <c r="H1397" s="3904">
        <f t="shared" ref="H1397" si="279">ROUND(F1397*G1397,2)</f>
        <v>0</v>
      </c>
      <c r="I1397" s="3925"/>
      <c r="J1397" s="3529" t="s">
        <v>60</v>
      </c>
      <c r="K1397" s="5114"/>
      <c r="L1397" s="5120"/>
      <c r="M1397" s="5090"/>
      <c r="P1397" s="5115"/>
      <c r="S1397" s="52"/>
    </row>
    <row r="1398" spans="1:19" s="1061" customFormat="1" ht="13.5" customHeight="1">
      <c r="A1398" s="3525"/>
      <c r="B1398" s="3536"/>
      <c r="C1398" s="3536"/>
      <c r="D1398" s="3548" t="s">
        <v>10070</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9965</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10071</v>
      </c>
      <c r="E1400" s="3536"/>
      <c r="F1400" s="3530"/>
      <c r="G1400" s="3528"/>
      <c r="H1400" s="3905"/>
      <c r="I1400" s="3926"/>
      <c r="J1400" s="3529"/>
      <c r="K1400" s="1392"/>
      <c r="M1400" s="5014"/>
      <c r="P1400" s="5108"/>
    </row>
    <row r="1401" spans="1:19" s="1061" customFormat="1" ht="27" customHeight="1">
      <c r="A1401" s="3637">
        <v>185</v>
      </c>
      <c r="B1401" s="3536">
        <v>751</v>
      </c>
      <c r="C1401" s="3536" t="s">
        <v>10388</v>
      </c>
      <c r="D1401" s="3536" t="s">
        <v>10079</v>
      </c>
      <c r="E1401" s="3536" t="s">
        <v>155</v>
      </c>
      <c r="F1401" s="3527">
        <f>ROUND(SUM(F1403),3)</f>
        <v>1</v>
      </c>
      <c r="G1401" s="3528"/>
      <c r="H1401" s="3904">
        <f t="shared" ref="H1401" si="280">ROUND(F1401*G1401,2)</f>
        <v>0</v>
      </c>
      <c r="I1401" s="3925"/>
      <c r="J1401" s="3529" t="s">
        <v>60</v>
      </c>
      <c r="K1401" s="5114"/>
      <c r="L1401" s="5120"/>
      <c r="M1401" s="5090"/>
      <c r="P1401" s="5115"/>
      <c r="S1401" s="52"/>
    </row>
    <row r="1402" spans="1:19" s="1061" customFormat="1" ht="13.5" customHeight="1">
      <c r="A1402" s="3525"/>
      <c r="B1402" s="3536"/>
      <c r="C1402" s="3536"/>
      <c r="D1402" s="3548" t="s">
        <v>10070</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9965</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10071</v>
      </c>
      <c r="E1404" s="3536"/>
      <c r="F1404" s="3530"/>
      <c r="G1404" s="3528"/>
      <c r="H1404" s="3905"/>
      <c r="I1404" s="3926"/>
      <c r="J1404" s="3529"/>
      <c r="K1404" s="1392"/>
      <c r="M1404" s="5014"/>
      <c r="P1404" s="5108"/>
    </row>
    <row r="1405" spans="1:19" s="1061" customFormat="1" ht="27" customHeight="1">
      <c r="A1405" s="3637">
        <v>186</v>
      </c>
      <c r="B1405" s="3536">
        <v>751</v>
      </c>
      <c r="C1405" s="3536" t="s">
        <v>10389</v>
      </c>
      <c r="D1405" s="3536" t="s">
        <v>10080</v>
      </c>
      <c r="E1405" s="3536" t="s">
        <v>155</v>
      </c>
      <c r="F1405" s="3527">
        <f>ROUND(SUM(F1407),3)</f>
        <v>2</v>
      </c>
      <c r="G1405" s="3528"/>
      <c r="H1405" s="3904">
        <f t="shared" ref="H1405" si="281">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10070</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9977</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10071</v>
      </c>
      <c r="E1408" s="3536"/>
      <c r="F1408" s="3530"/>
      <c r="G1408" s="3528"/>
      <c r="H1408" s="3905"/>
      <c r="I1408" s="3926"/>
      <c r="J1408" s="4516"/>
      <c r="K1408" s="1392"/>
      <c r="M1408" s="5014"/>
      <c r="P1408" s="5108"/>
    </row>
    <row r="1409" spans="1:19" s="1061" customFormat="1" ht="27" customHeight="1">
      <c r="A1409" s="3637">
        <v>187</v>
      </c>
      <c r="B1409" s="3536">
        <v>751</v>
      </c>
      <c r="C1409" s="3536" t="s">
        <v>10390</v>
      </c>
      <c r="D1409" s="3536" t="s">
        <v>10081</v>
      </c>
      <c r="E1409" s="3536" t="s">
        <v>155</v>
      </c>
      <c r="F1409" s="3527">
        <f>ROUND(SUM(F1411),3)</f>
        <v>1</v>
      </c>
      <c r="G1409" s="3528"/>
      <c r="H1409" s="3904">
        <f t="shared" ref="H1409" si="282">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10070</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9965</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10071</v>
      </c>
      <c r="E1412" s="3536"/>
      <c r="F1412" s="3530"/>
      <c r="G1412" s="3528"/>
      <c r="H1412" s="3905"/>
      <c r="I1412" s="3926"/>
      <c r="J1412" s="4516"/>
      <c r="K1412" s="1392"/>
      <c r="M1412" s="5014"/>
      <c r="P1412" s="5108"/>
    </row>
    <row r="1413" spans="1:19" s="1061" customFormat="1" ht="27" customHeight="1">
      <c r="A1413" s="3637">
        <v>188</v>
      </c>
      <c r="B1413" s="3536">
        <v>751</v>
      </c>
      <c r="C1413" s="3536" t="s">
        <v>10391</v>
      </c>
      <c r="D1413" s="3536" t="s">
        <v>10082</v>
      </c>
      <c r="E1413" s="3536" t="s">
        <v>155</v>
      </c>
      <c r="F1413" s="3527">
        <f>ROUND(SUM(F1415),3)</f>
        <v>1</v>
      </c>
      <c r="G1413" s="3528"/>
      <c r="H1413" s="3904">
        <f t="shared" ref="H1413" si="283">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10070</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9965</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10071</v>
      </c>
      <c r="E1416" s="3536"/>
      <c r="F1416" s="3530"/>
      <c r="G1416" s="3528"/>
      <c r="H1416" s="3905"/>
      <c r="I1416" s="3926"/>
      <c r="J1416" s="4516"/>
      <c r="K1416" s="1392"/>
      <c r="M1416" s="5014"/>
      <c r="P1416" s="5108"/>
    </row>
    <row r="1417" spans="1:19" s="1061" customFormat="1" ht="27" customHeight="1">
      <c r="A1417" s="3637">
        <v>189</v>
      </c>
      <c r="B1417" s="3536">
        <v>751</v>
      </c>
      <c r="C1417" s="3536" t="s">
        <v>10392</v>
      </c>
      <c r="D1417" s="3536" t="s">
        <v>10083</v>
      </c>
      <c r="E1417" s="3536" t="s">
        <v>155</v>
      </c>
      <c r="F1417" s="3527">
        <f>ROUND(SUM(F1419),3)</f>
        <v>1</v>
      </c>
      <c r="G1417" s="3528"/>
      <c r="H1417" s="3904">
        <f t="shared" ref="H1417" si="284">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10070</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9965</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10071</v>
      </c>
      <c r="E1420" s="3536"/>
      <c r="F1420" s="3530"/>
      <c r="G1420" s="3528"/>
      <c r="H1420" s="3905"/>
      <c r="I1420" s="3926"/>
      <c r="J1420" s="4516"/>
      <c r="K1420" s="1392"/>
      <c r="M1420" s="5014"/>
      <c r="P1420" s="5108"/>
    </row>
    <row r="1421" spans="1:19" s="1061" customFormat="1" ht="27" customHeight="1">
      <c r="A1421" s="3637">
        <v>190</v>
      </c>
      <c r="B1421" s="3536">
        <v>751</v>
      </c>
      <c r="C1421" s="3536" t="s">
        <v>10393</v>
      </c>
      <c r="D1421" s="3536" t="s">
        <v>10084</v>
      </c>
      <c r="E1421" s="3536" t="s">
        <v>155</v>
      </c>
      <c r="F1421" s="3527">
        <f>ROUND(SUM(F1423),3)</f>
        <v>2</v>
      </c>
      <c r="G1421" s="3528"/>
      <c r="H1421" s="3904">
        <f t="shared" ref="H1421" si="285">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10070</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9977</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10071</v>
      </c>
      <c r="E1424" s="3536"/>
      <c r="F1424" s="3530"/>
      <c r="G1424" s="3528"/>
      <c r="H1424" s="3905"/>
      <c r="I1424" s="3926"/>
      <c r="J1424" s="4516"/>
      <c r="K1424" s="1392"/>
      <c r="M1424" s="5014"/>
      <c r="P1424" s="5108"/>
    </row>
    <row r="1425" spans="1:19" s="1061" customFormat="1" ht="27" customHeight="1">
      <c r="A1425" s="3637">
        <v>191</v>
      </c>
      <c r="B1425" s="3536">
        <v>751</v>
      </c>
      <c r="C1425" s="3536" t="s">
        <v>10394</v>
      </c>
      <c r="D1425" s="3536" t="s">
        <v>10085</v>
      </c>
      <c r="E1425" s="3536" t="s">
        <v>155</v>
      </c>
      <c r="F1425" s="3527">
        <f>ROUND(SUM(F1427),3)</f>
        <v>1</v>
      </c>
      <c r="G1425" s="3528"/>
      <c r="H1425" s="3904">
        <f t="shared" ref="H1425" si="286">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10070</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9965</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10071</v>
      </c>
      <c r="E1428" s="3536"/>
      <c r="F1428" s="3530"/>
      <c r="G1428" s="3528"/>
      <c r="H1428" s="3905"/>
      <c r="I1428" s="3926"/>
      <c r="J1428" s="4516"/>
      <c r="K1428" s="1392"/>
      <c r="M1428" s="5014"/>
      <c r="P1428" s="5108"/>
    </row>
    <row r="1429" spans="1:19" s="1061" customFormat="1" ht="27" customHeight="1">
      <c r="A1429" s="3637">
        <v>192</v>
      </c>
      <c r="B1429" s="3536">
        <v>751</v>
      </c>
      <c r="C1429" s="3536" t="s">
        <v>10395</v>
      </c>
      <c r="D1429" s="3536" t="s">
        <v>10086</v>
      </c>
      <c r="E1429" s="3536" t="s">
        <v>155</v>
      </c>
      <c r="F1429" s="3527">
        <f>ROUND(SUM(F1431),3)</f>
        <v>4</v>
      </c>
      <c r="G1429" s="3528"/>
      <c r="H1429" s="3904">
        <f t="shared" ref="H1429" si="287">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10070</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9983</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10071</v>
      </c>
      <c r="E1432" s="3536"/>
      <c r="F1432" s="3530"/>
      <c r="G1432" s="3528"/>
      <c r="H1432" s="3905"/>
      <c r="I1432" s="3926"/>
      <c r="J1432" s="4516"/>
      <c r="K1432" s="1392"/>
      <c r="M1432" s="5014"/>
      <c r="P1432" s="5108"/>
    </row>
    <row r="1433" spans="1:19" s="1061" customFormat="1" ht="27" customHeight="1">
      <c r="A1433" s="3637">
        <v>193</v>
      </c>
      <c r="B1433" s="3536">
        <v>751</v>
      </c>
      <c r="C1433" s="3536" t="s">
        <v>10396</v>
      </c>
      <c r="D1433" s="3536" t="s">
        <v>10087</v>
      </c>
      <c r="E1433" s="3536" t="s">
        <v>155</v>
      </c>
      <c r="F1433" s="3527">
        <f>ROUND(SUM(F1435),3)</f>
        <v>1</v>
      </c>
      <c r="G1433" s="3528"/>
      <c r="H1433" s="3904">
        <f t="shared" ref="H1433" si="288">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10070</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9965</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10071</v>
      </c>
      <c r="E1436" s="3536"/>
      <c r="F1436" s="3530"/>
      <c r="G1436" s="3528"/>
      <c r="H1436" s="3905"/>
      <c r="I1436" s="3926"/>
      <c r="J1436" s="4516"/>
      <c r="K1436" s="1392"/>
      <c r="M1436" s="5014"/>
      <c r="P1436" s="5108"/>
    </row>
    <row r="1437" spans="1:19" s="1061" customFormat="1" ht="27" customHeight="1">
      <c r="A1437" s="3637">
        <v>194</v>
      </c>
      <c r="B1437" s="3536">
        <v>751</v>
      </c>
      <c r="C1437" s="3536" t="s">
        <v>10397</v>
      </c>
      <c r="D1437" s="3536" t="s">
        <v>10088</v>
      </c>
      <c r="E1437" s="3536" t="s">
        <v>155</v>
      </c>
      <c r="F1437" s="3527">
        <f>ROUND(SUM(F1439:F1440),3)</f>
        <v>4</v>
      </c>
      <c r="G1437" s="3528"/>
      <c r="H1437" s="3904">
        <f t="shared" ref="H1437" si="289">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10070</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9977</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9979</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10071</v>
      </c>
      <c r="E1441" s="3536"/>
      <c r="F1441" s="3530"/>
      <c r="G1441" s="3528"/>
      <c r="H1441" s="3905"/>
      <c r="I1441" s="3926"/>
      <c r="J1441" s="4516"/>
      <c r="K1441" s="1392"/>
      <c r="M1441" s="5014"/>
      <c r="P1441" s="5108"/>
    </row>
    <row r="1442" spans="1:21" s="1061" customFormat="1" ht="27" customHeight="1">
      <c r="A1442" s="3637">
        <v>195</v>
      </c>
      <c r="B1442" s="3536">
        <v>751</v>
      </c>
      <c r="C1442" s="3536" t="s">
        <v>10398</v>
      </c>
      <c r="D1442" s="3536" t="s">
        <v>10089</v>
      </c>
      <c r="E1442" s="3536" t="s">
        <v>155</v>
      </c>
      <c r="F1442" s="3527">
        <f>ROUND(SUM(F1444),3)</f>
        <v>1</v>
      </c>
      <c r="G1442" s="3528"/>
      <c r="H1442" s="3904">
        <f t="shared" ref="H1442" si="290">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10070</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9965</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10071</v>
      </c>
      <c r="E1445" s="3536"/>
      <c r="F1445" s="3530"/>
      <c r="G1445" s="3528"/>
      <c r="H1445" s="3905"/>
      <c r="I1445" s="3926"/>
      <c r="J1445" s="4516"/>
      <c r="K1445" s="1392"/>
      <c r="M1445" s="5014"/>
      <c r="P1445" s="5108"/>
    </row>
    <row r="1446" spans="1:21" s="1061" customFormat="1" ht="27" customHeight="1">
      <c r="A1446" s="3637">
        <v>196</v>
      </c>
      <c r="B1446" s="3536">
        <v>751</v>
      </c>
      <c r="C1446" s="3536" t="s">
        <v>10399</v>
      </c>
      <c r="D1446" s="3536" t="s">
        <v>10090</v>
      </c>
      <c r="E1446" s="3536" t="s">
        <v>155</v>
      </c>
      <c r="F1446" s="3527">
        <f>ROUND(SUM(F1448),3)</f>
        <v>1</v>
      </c>
      <c r="G1446" s="3528"/>
      <c r="H1446" s="3904">
        <f t="shared" ref="H1446" si="291">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10070</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9965</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10071</v>
      </c>
      <c r="E1449" s="3536"/>
      <c r="F1449" s="3530"/>
      <c r="G1449" s="3528"/>
      <c r="H1449" s="3905"/>
      <c r="I1449" s="3926"/>
      <c r="J1449" s="4516"/>
      <c r="K1449" s="1392"/>
      <c r="M1449" s="5014"/>
      <c r="P1449" s="5108"/>
    </row>
    <row r="1450" spans="1:21" s="1061" customFormat="1" ht="27" customHeight="1">
      <c r="A1450" s="3637">
        <v>197</v>
      </c>
      <c r="B1450" s="3536">
        <v>751</v>
      </c>
      <c r="C1450" s="3536" t="s">
        <v>10400</v>
      </c>
      <c r="D1450" s="3536" t="s">
        <v>10091</v>
      </c>
      <c r="E1450" s="3536" t="s">
        <v>155</v>
      </c>
      <c r="F1450" s="3527">
        <f>ROUND(SUM(F1452:F1454),3)</f>
        <v>23</v>
      </c>
      <c r="G1450" s="3528"/>
      <c r="H1450" s="3904">
        <f t="shared" ref="H1450" si="292">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10092</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9923</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10093</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9936</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9948</v>
      </c>
      <c r="E1455" s="3536"/>
      <c r="F1455" s="3530"/>
      <c r="G1455" s="3528"/>
      <c r="H1455" s="3905"/>
      <c r="I1455" s="3926"/>
      <c r="J1455" s="3529"/>
      <c r="K1455" s="3568"/>
      <c r="M1455" s="5014"/>
      <c r="P1455" s="5108"/>
    </row>
    <row r="1456" spans="1:21" ht="13.5" customHeight="1">
      <c r="A1456" s="3637">
        <v>198</v>
      </c>
      <c r="B1456" s="3536" t="s">
        <v>7943</v>
      </c>
      <c r="C1456" s="3536">
        <v>998751202</v>
      </c>
      <c r="D1456" s="3536" t="s">
        <v>7944</v>
      </c>
      <c r="E1456" s="3536" t="s">
        <v>8</v>
      </c>
      <c r="F1456" s="3541">
        <v>0.55000000000000004</v>
      </c>
      <c r="G1456" s="3542"/>
      <c r="H1456" s="3904">
        <f t="shared" ref="H1456:H1457" si="293">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7945</v>
      </c>
      <c r="D1457" s="3536" t="s">
        <v>7946</v>
      </c>
      <c r="E1457" s="3536" t="s">
        <v>191</v>
      </c>
      <c r="F1457" s="3527">
        <f>ROUND(SUM(F1458),3)</f>
        <v>15</v>
      </c>
      <c r="G1457" s="3528"/>
      <c r="H1457" s="3904">
        <f t="shared" si="293"/>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7947</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7948</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8115</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7943</v>
      </c>
      <c r="C1461" s="3536" t="s">
        <v>8165</v>
      </c>
      <c r="D1461" s="3536" t="s">
        <v>10095</v>
      </c>
      <c r="E1461" s="3536" t="s">
        <v>23</v>
      </c>
      <c r="F1461" s="3527">
        <f>ROUND(SUM(F1462),3)</f>
        <v>1</v>
      </c>
      <c r="G1461" s="3542"/>
      <c r="H1461" s="3904">
        <f t="shared" ref="H1461" si="294">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6926</v>
      </c>
      <c r="E1462" s="3343"/>
      <c r="F1462" s="3202">
        <v>1</v>
      </c>
      <c r="G1462" s="3528"/>
      <c r="H1462" s="3905"/>
      <c r="I1462" s="3926"/>
      <c r="J1462" s="3529"/>
      <c r="K1462" s="5063"/>
      <c r="L1462" s="5081"/>
      <c r="M1462" s="5117"/>
      <c r="S1462" s="1534"/>
    </row>
    <row r="1463" spans="1:99" ht="13.5" customHeight="1">
      <c r="A1463" s="3637">
        <v>201</v>
      </c>
      <c r="B1463" s="3536" t="s">
        <v>7943</v>
      </c>
      <c r="C1463" s="3536" t="s">
        <v>10401</v>
      </c>
      <c r="D1463" s="3536" t="s">
        <v>10096</v>
      </c>
      <c r="E1463" s="3536" t="s">
        <v>23</v>
      </c>
      <c r="F1463" s="3527">
        <f>ROUND(SUM(F1464),3)</f>
        <v>1</v>
      </c>
      <c r="G1463" s="3542"/>
      <c r="H1463" s="3904">
        <f t="shared" ref="H1463" si="295">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10097</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10098</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10099</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10100</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10101</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7943</v>
      </c>
      <c r="C1469" s="3536" t="s">
        <v>10407</v>
      </c>
      <c r="D1469" s="3536" t="s">
        <v>10408</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10409</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10417</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7943</v>
      </c>
      <c r="C1472" s="3536" t="s">
        <v>11616</v>
      </c>
      <c r="D1472" s="3536" t="s">
        <v>11630</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11631</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11632</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11618</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11617</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7943</v>
      </c>
      <c r="C1477" s="3536" t="s">
        <v>11619</v>
      </c>
      <c r="D1477" s="3536" t="s">
        <v>11629</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11621</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11632</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11618</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11622</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7943</v>
      </c>
      <c r="C1482" s="3536" t="s">
        <v>11624</v>
      </c>
      <c r="D1482" s="3536" t="s">
        <v>11634</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11635</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11633</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11636</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7943</v>
      </c>
      <c r="C1486" s="3536" t="s">
        <v>10402</v>
      </c>
      <c r="D1486" s="3536" t="s">
        <v>10405</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10406</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11615</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7943</v>
      </c>
      <c r="C1489" s="3536" t="s">
        <v>10403</v>
      </c>
      <c r="D1489" s="3569" t="s">
        <v>8093</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10103</v>
      </c>
      <c r="E1490" s="3569"/>
      <c r="F1490" s="3570"/>
      <c r="G1490" s="4521"/>
      <c r="H1490" s="3914"/>
      <c r="I1490" s="3935"/>
      <c r="J1490" s="3529"/>
      <c r="K1490" s="5123"/>
      <c r="N1490" s="5125"/>
    </row>
    <row r="1491" spans="1:122" s="1061" customFormat="1" ht="13.5" customHeight="1">
      <c r="A1491" s="4522"/>
      <c r="B1491" s="3558"/>
      <c r="C1491" s="3558"/>
      <c r="D1491" s="3548" t="s">
        <v>10104</v>
      </c>
      <c r="E1491" s="3558"/>
      <c r="F1491" s="3530">
        <f>(2.5+4.5)</f>
        <v>7</v>
      </c>
      <c r="G1491" s="3559"/>
      <c r="H1491" s="3905"/>
      <c r="I1491" s="3926"/>
      <c r="J1491" s="4432"/>
    </row>
    <row r="1492" spans="1:122" s="2613" customFormat="1" ht="27.75" customHeight="1">
      <c r="A1492" s="3572"/>
      <c r="B1492" s="3573"/>
      <c r="C1492" s="3573"/>
      <c r="D1492" s="3571" t="s">
        <v>8096</v>
      </c>
      <c r="E1492" s="3573"/>
      <c r="F1492" s="3686"/>
      <c r="G1492" s="3574"/>
      <c r="H1492" s="3921"/>
      <c r="I1492" s="3944"/>
      <c r="J1492" s="4452"/>
      <c r="K1492" s="5126"/>
    </row>
    <row r="1493" spans="1:122" customFormat="1" ht="13.5" customHeight="1">
      <c r="A1493" s="3525">
        <v>208</v>
      </c>
      <c r="B1493" s="3575" t="s">
        <v>1007</v>
      </c>
      <c r="C1493" s="3536" t="s">
        <v>10102</v>
      </c>
      <c r="D1493" s="3536" t="s">
        <v>10105</v>
      </c>
      <c r="E1493" s="3536" t="s">
        <v>155</v>
      </c>
      <c r="F1493" s="3527">
        <f>ROUND(SUM(F1499:F1501),3)</f>
        <v>16</v>
      </c>
      <c r="G1493" s="3542">
        <f>ROUND(SUM(H1495:H1498)/F1493,2)</f>
        <v>0</v>
      </c>
      <c r="H1493" s="3904">
        <f t="shared" ref="H1493" si="296">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10106</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11625</v>
      </c>
      <c r="B1495" s="3558"/>
      <c r="C1495" s="3547">
        <v>763131912</v>
      </c>
      <c r="D1495" s="3548" t="s">
        <v>10107</v>
      </c>
      <c r="E1495" s="3547" t="s">
        <v>155</v>
      </c>
      <c r="F1495" s="3530">
        <f>F1493</f>
        <v>16</v>
      </c>
      <c r="G1495" s="3549"/>
      <c r="H1495" s="3909">
        <f t="shared" ref="H1495:H1498" si="297">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11626</v>
      </c>
      <c r="B1496" s="3558"/>
      <c r="C1496" s="3547" t="s">
        <v>10108</v>
      </c>
      <c r="D1496" s="3548" t="s">
        <v>10109</v>
      </c>
      <c r="E1496" s="3547" t="s">
        <v>155</v>
      </c>
      <c r="F1496" s="3530">
        <f>F1493</f>
        <v>16</v>
      </c>
      <c r="G1496" s="3549"/>
      <c r="H1496" s="3909">
        <f t="shared" si="297"/>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11627</v>
      </c>
      <c r="B1497" s="3555"/>
      <c r="C1497" s="3551" t="s">
        <v>6457</v>
      </c>
      <c r="D1497" s="3552" t="s">
        <v>10110</v>
      </c>
      <c r="E1497" s="3551" t="s">
        <v>155</v>
      </c>
      <c r="F1497" s="3553">
        <f>F1493</f>
        <v>16</v>
      </c>
      <c r="G1497" s="3554"/>
      <c r="H1497" s="3910">
        <f t="shared" si="297"/>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11628</v>
      </c>
      <c r="B1498" s="3558"/>
      <c r="C1498" s="3547" t="s">
        <v>6432</v>
      </c>
      <c r="D1498" s="3548" t="s">
        <v>11620</v>
      </c>
      <c r="E1498" s="3547" t="s">
        <v>23</v>
      </c>
      <c r="F1498" s="3530">
        <f>F1493</f>
        <v>16</v>
      </c>
      <c r="G1498" s="3549"/>
      <c r="H1498" s="3909">
        <f t="shared" si="297"/>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10111</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10112</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10113</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6435</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10404</v>
      </c>
      <c r="D1503" s="3536" t="s">
        <v>10114</v>
      </c>
      <c r="E1503" s="3536" t="s">
        <v>155</v>
      </c>
      <c r="F1503" s="3527">
        <f>ROUND(SUM(F1505),3)</f>
        <v>3</v>
      </c>
      <c r="G1503" s="3528"/>
      <c r="H1503" s="3904">
        <f t="shared" ref="H1503" si="298">ROUND(F1503*G1503,2)</f>
        <v>0</v>
      </c>
      <c r="I1503" s="3925"/>
      <c r="J1503" s="3529" t="s">
        <v>60</v>
      </c>
    </row>
    <row r="1504" spans="1:122" s="2595" customFormat="1" ht="13.5" customHeight="1">
      <c r="A1504" s="3567"/>
      <c r="B1504" s="3558"/>
      <c r="C1504" s="3558"/>
      <c r="D1504" s="3548" t="s">
        <v>10115</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10116</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10117</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7943</v>
      </c>
      <c r="C1507" s="3431">
        <v>998751202</v>
      </c>
      <c r="D1507" s="3431" t="s">
        <v>7944</v>
      </c>
      <c r="E1507" s="3431" t="s">
        <v>8</v>
      </c>
      <c r="F1507" s="3578">
        <v>0.55000000000000004</v>
      </c>
      <c r="G1507" s="3528"/>
      <c r="H1507" s="3904">
        <f t="shared" ref="H1507:H1508" si="299">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7945</v>
      </c>
      <c r="D1508" s="3431" t="s">
        <v>7946</v>
      </c>
      <c r="E1508" s="3431" t="s">
        <v>191</v>
      </c>
      <c r="F1508" s="3527">
        <f>ROUND(SUM(F1509),3)</f>
        <v>35</v>
      </c>
      <c r="G1508" s="3528"/>
      <c r="H1508" s="3904">
        <f t="shared" si="299"/>
        <v>0</v>
      </c>
      <c r="I1508" s="3925"/>
      <c r="J1508" s="4517" t="s">
        <v>142</v>
      </c>
      <c r="K1508" s="5134"/>
      <c r="M1508" s="5135"/>
    </row>
    <row r="1509" spans="1:124" s="2677" customFormat="1" ht="13.5" customHeight="1">
      <c r="A1509" s="3579"/>
      <c r="B1509" s="3580"/>
      <c r="C1509" s="3580"/>
      <c r="D1509" s="3439" t="s">
        <v>7947</v>
      </c>
      <c r="E1509" s="3580"/>
      <c r="F1509" s="3445">
        <v>35</v>
      </c>
      <c r="G1509" s="3581"/>
      <c r="H1509" s="3922"/>
      <c r="I1509" s="3945"/>
      <c r="J1509" s="4518"/>
      <c r="M1509" s="5136"/>
    </row>
    <row r="1510" spans="1:124" s="2677" customFormat="1" ht="27" customHeight="1">
      <c r="A1510" s="3579"/>
      <c r="B1510" s="3580"/>
      <c r="C1510" s="3580"/>
      <c r="D1510" s="3439" t="s">
        <v>6552</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727" t="s">
        <v>99</v>
      </c>
      <c r="B1513" s="5728"/>
      <c r="C1513" s="5729"/>
      <c r="D1513" s="2642" t="s">
        <v>10511</v>
      </c>
      <c r="E1513" s="2643"/>
      <c r="F1513" s="3059"/>
      <c r="G1513" s="2645"/>
      <c r="H1513" s="3852">
        <f>H1511</f>
        <v>0</v>
      </c>
      <c r="I1513" s="3853"/>
      <c r="J1513" s="2646"/>
    </row>
    <row r="1514" spans="1:124" ht="13.5" customHeight="1">
      <c r="A1514" s="5727" t="s">
        <v>99</v>
      </c>
      <c r="B1514" s="5728"/>
      <c r="C1514" s="5729"/>
      <c r="D1514" s="2642" t="s">
        <v>10512</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650" t="s">
        <v>8179</v>
      </c>
      <c r="B1517" s="5650"/>
      <c r="C1517" s="5650"/>
      <c r="D1517" s="5650"/>
      <c r="E1517" s="5650"/>
      <c r="F1517" s="5650"/>
      <c r="G1517" s="5650"/>
      <c r="H1517" s="48"/>
      <c r="I1517" s="48"/>
      <c r="J1517" s="53"/>
    </row>
    <row r="1518" spans="1:124" ht="93.75" customHeight="1">
      <c r="A1518" s="5650" t="s">
        <v>26</v>
      </c>
      <c r="B1518" s="5650"/>
      <c r="C1518" s="5650"/>
      <c r="D1518" s="5650"/>
      <c r="E1518" s="5650"/>
      <c r="F1518" s="5650"/>
      <c r="G1518" s="5650"/>
      <c r="H1518" s="48"/>
      <c r="I1518" s="48"/>
      <c r="J1518" s="48"/>
    </row>
    <row r="1519" spans="1:124" ht="13.5" customHeight="1">
      <c r="A1519" s="5650" t="s">
        <v>27</v>
      </c>
      <c r="B1519" s="5650"/>
      <c r="C1519" s="5650"/>
      <c r="D1519" s="5650"/>
      <c r="E1519" s="5650"/>
      <c r="F1519" s="5650"/>
      <c r="G1519" s="5650"/>
      <c r="H1519" s="318"/>
      <c r="I1519" s="318"/>
      <c r="J1519" s="318"/>
    </row>
    <row r="1520" spans="1:124" ht="13.5" customHeight="1">
      <c r="A1520" s="5650" t="s">
        <v>28</v>
      </c>
      <c r="B1520" s="5650"/>
      <c r="C1520" s="5650"/>
      <c r="D1520" s="5650"/>
      <c r="E1520" s="5650"/>
      <c r="F1520" s="5650"/>
      <c r="G1520" s="5650"/>
      <c r="H1520" s="318"/>
      <c r="I1520" s="318"/>
      <c r="J1520" s="318"/>
    </row>
    <row r="1521" spans="1:10" ht="13.5" customHeight="1">
      <c r="A1521" s="5652" t="s">
        <v>10118</v>
      </c>
      <c r="B1521" s="5652"/>
      <c r="C1521" s="5652"/>
      <c r="D1521" s="5652"/>
      <c r="E1521" s="5652"/>
      <c r="F1521" s="5652"/>
      <c r="G1521" s="5652"/>
      <c r="H1521" s="318"/>
      <c r="I1521" s="318"/>
      <c r="J1521" s="318"/>
    </row>
    <row r="1522" spans="1:10" ht="40.5" customHeight="1">
      <c r="A1522" s="5652" t="s">
        <v>61</v>
      </c>
      <c r="B1522" s="5652"/>
      <c r="C1522" s="5652"/>
      <c r="D1522" s="5652"/>
      <c r="E1522" s="5652"/>
      <c r="F1522" s="5652"/>
      <c r="G1522" s="5652"/>
      <c r="J1522" s="53"/>
    </row>
    <row r="1523" spans="1:10">
      <c r="A1523" s="5650"/>
      <c r="B1523" s="5732"/>
      <c r="C1523" s="5732"/>
      <c r="D1523" s="5732"/>
      <c r="E1523" s="5732"/>
      <c r="F1523" s="5732"/>
      <c r="G1523" s="5732"/>
      <c r="H1523" s="318"/>
      <c r="I1523" s="318"/>
      <c r="J1523" s="318"/>
    </row>
    <row r="1524" spans="1:10">
      <c r="A1524" s="54"/>
      <c r="B1524" s="2654"/>
      <c r="C1524" s="2654"/>
      <c r="D1524" s="2654"/>
      <c r="E1524" s="2654"/>
      <c r="F1524" s="3061"/>
      <c r="G1524" s="2654"/>
      <c r="H1524" s="318"/>
      <c r="I1524" s="318"/>
      <c r="J1524" s="318"/>
    </row>
    <row r="1538" spans="257:257">
      <c r="IW1538" s="52" t="s">
        <v>10119</v>
      </c>
    </row>
  </sheetData>
  <mergeCells count="14">
    <mergeCell ref="A1514:C1514"/>
    <mergeCell ref="A1523:G1523"/>
    <mergeCell ref="A1517:G1517"/>
    <mergeCell ref="A1518:G1518"/>
    <mergeCell ref="A1519:G1519"/>
    <mergeCell ref="A1520:G1520"/>
    <mergeCell ref="A1521:G1521"/>
    <mergeCell ref="A1522:G1522"/>
    <mergeCell ref="A1513:C1513"/>
    <mergeCell ref="A2:J2"/>
    <mergeCell ref="L12:M12"/>
    <mergeCell ref="L19:M19"/>
    <mergeCell ref="L26:M26"/>
    <mergeCell ref="L33:M3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718" t="s">
        <v>7081</v>
      </c>
      <c r="B2" s="5723"/>
      <c r="C2" s="5723"/>
      <c r="D2" s="5723"/>
      <c r="E2" s="5723"/>
      <c r="F2" s="5723"/>
      <c r="G2" s="5723"/>
      <c r="H2" s="5723"/>
      <c r="I2" s="5723"/>
      <c r="J2" s="5723"/>
      <c r="K2" s="5733"/>
      <c r="L2" s="5733"/>
      <c r="M2" s="5733"/>
      <c r="N2" s="5733"/>
      <c r="O2" s="5733"/>
      <c r="P2" s="5733"/>
    </row>
    <row r="3" spans="1:30" ht="13.5" customHeight="1">
      <c r="A3" s="2353" t="s">
        <v>8446</v>
      </c>
      <c r="B3" s="2354"/>
      <c r="C3" s="2354"/>
      <c r="D3" s="2354"/>
      <c r="E3" s="2354"/>
      <c r="F3" s="2682"/>
      <c r="G3" s="2355"/>
      <c r="H3" s="2356"/>
      <c r="I3" s="2356"/>
      <c r="J3" s="2356"/>
      <c r="K3" s="5733"/>
      <c r="L3" s="5733"/>
      <c r="M3" s="5733"/>
      <c r="N3" s="5733"/>
      <c r="O3" s="5733"/>
      <c r="P3" s="5733"/>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10501</v>
      </c>
      <c r="I5" s="3786" t="s">
        <v>10502</v>
      </c>
      <c r="J5" s="2361" t="s">
        <v>22</v>
      </c>
      <c r="K5" s="2684"/>
    </row>
    <row r="6" spans="1:30">
      <c r="A6" s="2360" t="s">
        <v>133</v>
      </c>
      <c r="B6" s="2360" t="s">
        <v>134</v>
      </c>
      <c r="C6" s="2360">
        <v>3</v>
      </c>
      <c r="D6" s="2360">
        <v>4</v>
      </c>
      <c r="E6" s="2360">
        <v>5</v>
      </c>
      <c r="F6" s="2683">
        <v>6</v>
      </c>
      <c r="G6" s="2360">
        <v>7</v>
      </c>
      <c r="H6" s="3785" t="s">
        <v>10499</v>
      </c>
      <c r="I6" s="3786" t="s">
        <v>10500</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8447</v>
      </c>
      <c r="E8" s="2383"/>
      <c r="F8" s="2384"/>
      <c r="G8" s="2371"/>
      <c r="H8" s="3860">
        <f>SUM(H9:H154)</f>
        <v>0</v>
      </c>
      <c r="I8" s="3999">
        <f>SUM(I9:I154)</f>
        <v>0</v>
      </c>
      <c r="J8" s="2372"/>
    </row>
    <row r="9" spans="1:30" s="2356" customFormat="1" ht="13.5" customHeight="1">
      <c r="A9" s="2382">
        <v>1</v>
      </c>
      <c r="B9" s="2376" t="s">
        <v>8448</v>
      </c>
      <c r="C9" s="2374" t="s">
        <v>8449</v>
      </c>
      <c r="D9" s="2374" t="s">
        <v>8450</v>
      </c>
      <c r="E9" s="2374" t="s">
        <v>155</v>
      </c>
      <c r="F9" s="2375">
        <f>ROUND(SUM(F10),3)</f>
        <v>2</v>
      </c>
      <c r="G9" s="2379"/>
      <c r="H9" s="3947">
        <f t="shared" ref="H9" si="0">ROUND(F9*G9,2)</f>
        <v>0</v>
      </c>
      <c r="I9" s="4000"/>
      <c r="J9" s="122" t="s">
        <v>60</v>
      </c>
      <c r="K9" s="5139"/>
      <c r="R9" s="4984"/>
      <c r="S9" s="4984"/>
    </row>
    <row r="10" spans="1:30" s="2356" customFormat="1" ht="13.5" customHeight="1">
      <c r="A10" s="2382"/>
      <c r="B10" s="2376"/>
      <c r="C10" s="2374"/>
      <c r="D10" s="2377" t="s">
        <v>8451</v>
      </c>
      <c r="E10" s="2374"/>
      <c r="F10" s="2378">
        <v>2</v>
      </c>
      <c r="G10" s="2379"/>
      <c r="H10" s="3948"/>
      <c r="I10" s="4001"/>
      <c r="J10" s="2380"/>
      <c r="K10" s="5139"/>
      <c r="N10" s="2686"/>
    </row>
    <row r="11" spans="1:30" s="2356" customFormat="1" ht="40.5" customHeight="1">
      <c r="A11" s="2382"/>
      <c r="B11" s="2376"/>
      <c r="C11" s="2374"/>
      <c r="D11" s="2377" t="s">
        <v>8452</v>
      </c>
      <c r="E11" s="2374"/>
      <c r="F11" s="2375"/>
      <c r="G11" s="2379"/>
      <c r="H11" s="3948"/>
      <c r="I11" s="4001"/>
      <c r="J11" s="2380"/>
      <c r="K11" s="2687"/>
      <c r="T11" s="5140"/>
      <c r="AB11" s="5141"/>
      <c r="AD11" s="5142"/>
    </row>
    <row r="12" spans="1:30" s="2356" customFormat="1" ht="13.5" customHeight="1">
      <c r="A12" s="2382"/>
      <c r="B12" s="2376"/>
      <c r="C12" s="2374"/>
      <c r="D12" s="2377" t="s">
        <v>8453</v>
      </c>
      <c r="E12" s="2374"/>
      <c r="F12" s="2378"/>
      <c r="G12" s="2379"/>
      <c r="H12" s="3948"/>
      <c r="I12" s="4001"/>
      <c r="J12" s="2379"/>
      <c r="K12" s="2397"/>
    </row>
    <row r="13" spans="1:30" s="2356" customFormat="1" ht="13.5" customHeight="1">
      <c r="A13" s="2382">
        <v>2</v>
      </c>
      <c r="B13" s="2376" t="s">
        <v>8448</v>
      </c>
      <c r="C13" s="2374" t="s">
        <v>8454</v>
      </c>
      <c r="D13" s="2374" t="s">
        <v>8450</v>
      </c>
      <c r="E13" s="2374" t="s">
        <v>155</v>
      </c>
      <c r="F13" s="2375">
        <f>ROUND(SUM(F14),3)</f>
        <v>5</v>
      </c>
      <c r="G13" s="2379"/>
      <c r="H13" s="3947">
        <f t="shared" ref="H13" si="1">ROUND(F13*G13,2)</f>
        <v>0</v>
      </c>
      <c r="I13" s="4000"/>
      <c r="J13" s="122" t="s">
        <v>60</v>
      </c>
      <c r="K13" s="5139"/>
      <c r="R13" s="4984"/>
      <c r="S13" s="4984"/>
    </row>
    <row r="14" spans="1:30" s="2356" customFormat="1" ht="13.5" customHeight="1">
      <c r="A14" s="2382"/>
      <c r="B14" s="2376"/>
      <c r="C14" s="2374"/>
      <c r="D14" s="2377" t="s">
        <v>8455</v>
      </c>
      <c r="E14" s="2374"/>
      <c r="F14" s="2378">
        <v>5</v>
      </c>
      <c r="G14" s="2379"/>
      <c r="H14" s="3948"/>
      <c r="I14" s="4001"/>
      <c r="J14" s="2380"/>
      <c r="K14" s="5139"/>
      <c r="N14" s="2686"/>
    </row>
    <row r="15" spans="1:30" s="2356" customFormat="1" ht="40.5" customHeight="1">
      <c r="A15" s="2382"/>
      <c r="B15" s="2376"/>
      <c r="C15" s="2374"/>
      <c r="D15" s="2377" t="s">
        <v>8452</v>
      </c>
      <c r="E15" s="2374"/>
      <c r="F15" s="2375"/>
      <c r="G15" s="2379"/>
      <c r="H15" s="3948"/>
      <c r="I15" s="4001"/>
      <c r="J15" s="2380"/>
      <c r="K15" s="2687"/>
      <c r="T15" s="5140"/>
      <c r="AB15" s="5141"/>
      <c r="AD15" s="5142"/>
    </row>
    <row r="16" spans="1:30" s="2356" customFormat="1" ht="13.5" customHeight="1">
      <c r="A16" s="2382"/>
      <c r="B16" s="2376"/>
      <c r="C16" s="2374"/>
      <c r="D16" s="2377" t="s">
        <v>8453</v>
      </c>
      <c r="E16" s="2374"/>
      <c r="F16" s="2378"/>
      <c r="G16" s="2379"/>
      <c r="H16" s="3948"/>
      <c r="I16" s="4001"/>
      <c r="J16" s="2379"/>
      <c r="K16" s="2397"/>
    </row>
    <row r="17" spans="1:30" s="2356" customFormat="1" ht="13.5" customHeight="1">
      <c r="A17" s="2382">
        <v>3</v>
      </c>
      <c r="B17" s="2376" t="s">
        <v>8448</v>
      </c>
      <c r="C17" s="2374" t="s">
        <v>8456</v>
      </c>
      <c r="D17" s="2374" t="s">
        <v>8450</v>
      </c>
      <c r="E17" s="2374" t="s">
        <v>155</v>
      </c>
      <c r="F17" s="2375">
        <f>ROUND(SUM(F18),3)</f>
        <v>4</v>
      </c>
      <c r="G17" s="2379"/>
      <c r="H17" s="3947">
        <f t="shared" ref="H17" si="2">ROUND(F17*G17,2)</f>
        <v>0</v>
      </c>
      <c r="I17" s="4000"/>
      <c r="J17" s="122" t="s">
        <v>60</v>
      </c>
      <c r="K17" s="5139"/>
      <c r="R17" s="4984"/>
      <c r="S17" s="4984"/>
    </row>
    <row r="18" spans="1:30" s="2356" customFormat="1" ht="13.5" customHeight="1">
      <c r="A18" s="2382"/>
      <c r="B18" s="2376"/>
      <c r="C18" s="2374"/>
      <c r="D18" s="2377" t="s">
        <v>8457</v>
      </c>
      <c r="E18" s="2374"/>
      <c r="F18" s="2378">
        <v>4</v>
      </c>
      <c r="G18" s="2379"/>
      <c r="H18" s="3948"/>
      <c r="I18" s="4001"/>
      <c r="J18" s="2380"/>
      <c r="K18" s="5139"/>
      <c r="N18" s="2686"/>
    </row>
    <row r="19" spans="1:30" s="2356" customFormat="1" ht="40.5" customHeight="1">
      <c r="A19" s="2382"/>
      <c r="B19" s="2376"/>
      <c r="C19" s="2374"/>
      <c r="D19" s="2377" t="s">
        <v>8452</v>
      </c>
      <c r="E19" s="2374"/>
      <c r="F19" s="2375"/>
      <c r="G19" s="2379"/>
      <c r="H19" s="3948"/>
      <c r="I19" s="4001"/>
      <c r="J19" s="2380"/>
      <c r="K19" s="2687"/>
      <c r="T19" s="5140"/>
      <c r="AB19" s="5141"/>
      <c r="AD19" s="5142"/>
    </row>
    <row r="20" spans="1:30" s="2356" customFormat="1" ht="13.5" customHeight="1">
      <c r="A20" s="2382"/>
      <c r="B20" s="2376"/>
      <c r="C20" s="2374"/>
      <c r="D20" s="2377" t="s">
        <v>8453</v>
      </c>
      <c r="E20" s="2374"/>
      <c r="F20" s="2378"/>
      <c r="G20" s="2379"/>
      <c r="H20" s="3948"/>
      <c r="I20" s="4001"/>
      <c r="J20" s="2379"/>
      <c r="K20" s="2397"/>
    </row>
    <row r="21" spans="1:30" s="2356" customFormat="1" ht="13.5" customHeight="1">
      <c r="A21" s="2382">
        <v>4</v>
      </c>
      <c r="B21" s="2376" t="s">
        <v>8448</v>
      </c>
      <c r="C21" s="2374" t="s">
        <v>8458</v>
      </c>
      <c r="D21" s="2374" t="s">
        <v>8450</v>
      </c>
      <c r="E21" s="2374" t="s">
        <v>155</v>
      </c>
      <c r="F21" s="2375">
        <f>ROUND(SUM(F22),3)</f>
        <v>3</v>
      </c>
      <c r="G21" s="2379"/>
      <c r="H21" s="3947">
        <f t="shared" ref="H21" si="3">ROUND(F21*G21,2)</f>
        <v>0</v>
      </c>
      <c r="I21" s="4000"/>
      <c r="J21" s="122" t="s">
        <v>60</v>
      </c>
      <c r="K21" s="5139"/>
      <c r="R21" s="4984"/>
      <c r="S21" s="4984"/>
    </row>
    <row r="22" spans="1:30" s="2356" customFormat="1" ht="13.5" customHeight="1">
      <c r="A22" s="2382"/>
      <c r="B22" s="2376"/>
      <c r="C22" s="2374"/>
      <c r="D22" s="2377" t="s">
        <v>8459</v>
      </c>
      <c r="E22" s="2374"/>
      <c r="F22" s="2378">
        <v>3</v>
      </c>
      <c r="G22" s="2379"/>
      <c r="H22" s="3948"/>
      <c r="I22" s="4001"/>
      <c r="J22" s="2380"/>
      <c r="K22" s="5139"/>
      <c r="N22" s="2686"/>
    </row>
    <row r="23" spans="1:30" s="2356" customFormat="1" ht="40.5" customHeight="1">
      <c r="A23" s="2382"/>
      <c r="B23" s="2376"/>
      <c r="C23" s="2374"/>
      <c r="D23" s="2377" t="s">
        <v>8452</v>
      </c>
      <c r="E23" s="2374"/>
      <c r="F23" s="2375"/>
      <c r="G23" s="2379"/>
      <c r="H23" s="3948"/>
      <c r="I23" s="4001"/>
      <c r="J23" s="2380"/>
      <c r="K23" s="2687"/>
      <c r="T23" s="5140"/>
      <c r="AB23" s="5141"/>
      <c r="AD23" s="5142"/>
    </row>
    <row r="24" spans="1:30" s="2356" customFormat="1" ht="13.5" customHeight="1">
      <c r="A24" s="2382"/>
      <c r="B24" s="2376"/>
      <c r="C24" s="2374"/>
      <c r="D24" s="2377" t="s">
        <v>8453</v>
      </c>
      <c r="E24" s="2374"/>
      <c r="F24" s="2378"/>
      <c r="G24" s="2379"/>
      <c r="H24" s="3948"/>
      <c r="I24" s="4001"/>
      <c r="J24" s="2379"/>
      <c r="K24" s="2397"/>
    </row>
    <row r="25" spans="1:30" s="2356" customFormat="1" ht="13.5" customHeight="1">
      <c r="A25" s="2382">
        <v>5</v>
      </c>
      <c r="B25" s="2376" t="s">
        <v>8448</v>
      </c>
      <c r="C25" s="2374" t="s">
        <v>8460</v>
      </c>
      <c r="D25" s="2374" t="s">
        <v>8450</v>
      </c>
      <c r="E25" s="2374" t="s">
        <v>155</v>
      </c>
      <c r="F25" s="2375">
        <f>ROUND(SUM(F26),3)</f>
        <v>1</v>
      </c>
      <c r="G25" s="2379"/>
      <c r="H25" s="3947">
        <f t="shared" ref="H25" si="4">ROUND(F25*G25,2)</f>
        <v>0</v>
      </c>
      <c r="I25" s="4000"/>
      <c r="J25" s="122" t="s">
        <v>60</v>
      </c>
      <c r="K25" s="5139"/>
      <c r="R25" s="4984"/>
      <c r="S25" s="4984"/>
    </row>
    <row r="26" spans="1:30" s="2356" customFormat="1" ht="13.5" customHeight="1">
      <c r="A26" s="2382"/>
      <c r="B26" s="2376"/>
      <c r="C26" s="2374"/>
      <c r="D26" s="2377" t="s">
        <v>8461</v>
      </c>
      <c r="E26" s="2374"/>
      <c r="F26" s="2378">
        <v>1</v>
      </c>
      <c r="G26" s="2379"/>
      <c r="H26" s="3948"/>
      <c r="I26" s="4001"/>
      <c r="J26" s="2380"/>
      <c r="K26" s="5139"/>
      <c r="N26" s="2686"/>
    </row>
    <row r="27" spans="1:30" s="2356" customFormat="1" ht="40.5" customHeight="1">
      <c r="A27" s="2382"/>
      <c r="B27" s="2376"/>
      <c r="C27" s="2374"/>
      <c r="D27" s="2377" t="s">
        <v>8452</v>
      </c>
      <c r="E27" s="2374"/>
      <c r="F27" s="2375"/>
      <c r="G27" s="2379"/>
      <c r="H27" s="3948"/>
      <c r="I27" s="4001"/>
      <c r="J27" s="2380"/>
      <c r="K27" s="2687"/>
      <c r="T27" s="5140"/>
      <c r="AB27" s="5141"/>
      <c r="AD27" s="5142"/>
    </row>
    <row r="28" spans="1:30" s="2356" customFormat="1" ht="13.5" customHeight="1">
      <c r="A28" s="2382"/>
      <c r="B28" s="2376"/>
      <c r="C28" s="2374"/>
      <c r="D28" s="2377" t="s">
        <v>8453</v>
      </c>
      <c r="E28" s="2374"/>
      <c r="F28" s="2378"/>
      <c r="G28" s="2379"/>
      <c r="H28" s="3948"/>
      <c r="I28" s="4001"/>
      <c r="J28" s="2379"/>
      <c r="K28" s="2397"/>
    </row>
    <row r="29" spans="1:30" s="2356" customFormat="1" ht="13.5" customHeight="1">
      <c r="A29" s="2382">
        <v>6</v>
      </c>
      <c r="B29" s="2376" t="s">
        <v>8448</v>
      </c>
      <c r="C29" s="2374" t="s">
        <v>8462</v>
      </c>
      <c r="D29" s="2374" t="s">
        <v>8450</v>
      </c>
      <c r="E29" s="2374" t="s">
        <v>155</v>
      </c>
      <c r="F29" s="2375">
        <f>ROUND(SUM(F30),3)</f>
        <v>1</v>
      </c>
      <c r="G29" s="2379"/>
      <c r="H29" s="3947">
        <f t="shared" ref="H29" si="5">ROUND(F29*G29,2)</f>
        <v>0</v>
      </c>
      <c r="I29" s="4000"/>
      <c r="J29" s="122" t="s">
        <v>60</v>
      </c>
      <c r="K29" s="5139"/>
      <c r="R29" s="4984"/>
      <c r="S29" s="4984"/>
    </row>
    <row r="30" spans="1:30" s="2356" customFormat="1" ht="13.5" customHeight="1">
      <c r="A30" s="2382"/>
      <c r="B30" s="2376"/>
      <c r="C30" s="2374"/>
      <c r="D30" s="2377" t="s">
        <v>8463</v>
      </c>
      <c r="E30" s="2374"/>
      <c r="F30" s="2378">
        <v>1</v>
      </c>
      <c r="G30" s="2379"/>
      <c r="H30" s="3948"/>
      <c r="I30" s="4001"/>
      <c r="J30" s="2380"/>
      <c r="K30" s="5139"/>
      <c r="N30" s="2686"/>
    </row>
    <row r="31" spans="1:30" s="2356" customFormat="1" ht="40.5" customHeight="1">
      <c r="A31" s="2382"/>
      <c r="B31" s="2376"/>
      <c r="C31" s="2374"/>
      <c r="D31" s="2377" t="s">
        <v>8452</v>
      </c>
      <c r="E31" s="2374"/>
      <c r="F31" s="2375"/>
      <c r="G31" s="2379"/>
      <c r="H31" s="3948"/>
      <c r="I31" s="4001"/>
      <c r="J31" s="2380"/>
      <c r="K31" s="2687"/>
      <c r="T31" s="5140"/>
      <c r="AB31" s="5141"/>
      <c r="AD31" s="5142"/>
    </row>
    <row r="32" spans="1:30" s="2356" customFormat="1" ht="13.5" customHeight="1">
      <c r="A32" s="2382"/>
      <c r="B32" s="2376"/>
      <c r="C32" s="2374"/>
      <c r="D32" s="2377" t="s">
        <v>8453</v>
      </c>
      <c r="E32" s="2374"/>
      <c r="F32" s="2378"/>
      <c r="G32" s="2379"/>
      <c r="H32" s="3948"/>
      <c r="I32" s="4001"/>
      <c r="J32" s="2379"/>
      <c r="K32" s="2397"/>
    </row>
    <row r="33" spans="1:30" s="2356" customFormat="1" ht="13.5" customHeight="1">
      <c r="A33" s="2382">
        <v>7</v>
      </c>
      <c r="B33" s="2376" t="s">
        <v>8448</v>
      </c>
      <c r="C33" s="2374" t="s">
        <v>8464</v>
      </c>
      <c r="D33" s="2374" t="s">
        <v>8450</v>
      </c>
      <c r="E33" s="2374" t="s">
        <v>155</v>
      </c>
      <c r="F33" s="2375">
        <f>ROUND(SUM(F34),3)</f>
        <v>2</v>
      </c>
      <c r="G33" s="2379"/>
      <c r="H33" s="3947">
        <f t="shared" ref="H33" si="6">ROUND(F33*G33,2)</f>
        <v>0</v>
      </c>
      <c r="I33" s="4000"/>
      <c r="J33" s="122" t="s">
        <v>60</v>
      </c>
      <c r="K33" s="5139"/>
      <c r="R33" s="4984"/>
      <c r="S33" s="4984"/>
    </row>
    <row r="34" spans="1:30" s="2356" customFormat="1" ht="13.5" customHeight="1">
      <c r="A34" s="2382"/>
      <c r="B34" s="2376"/>
      <c r="C34" s="2374"/>
      <c r="D34" s="2377" t="s">
        <v>8465</v>
      </c>
      <c r="E34" s="2374"/>
      <c r="F34" s="2378">
        <v>2</v>
      </c>
      <c r="G34" s="2379"/>
      <c r="H34" s="3948"/>
      <c r="I34" s="4001"/>
      <c r="J34" s="2380"/>
      <c r="K34" s="5139"/>
      <c r="N34" s="2686"/>
    </row>
    <row r="35" spans="1:30" s="2356" customFormat="1" ht="40.5" customHeight="1">
      <c r="A35" s="2382"/>
      <c r="B35" s="2376"/>
      <c r="C35" s="2374"/>
      <c r="D35" s="2377" t="s">
        <v>8452</v>
      </c>
      <c r="E35" s="2374"/>
      <c r="F35" s="2375"/>
      <c r="G35" s="2379"/>
      <c r="H35" s="3948"/>
      <c r="I35" s="4001"/>
      <c r="J35" s="2380"/>
      <c r="K35" s="2687"/>
      <c r="T35" s="5140"/>
      <c r="AB35" s="5141"/>
      <c r="AD35" s="5142"/>
    </row>
    <row r="36" spans="1:30" s="2356" customFormat="1" ht="13.5" customHeight="1">
      <c r="A36" s="2382"/>
      <c r="B36" s="2376"/>
      <c r="C36" s="2374"/>
      <c r="D36" s="2377" t="s">
        <v>8453</v>
      </c>
      <c r="E36" s="2374"/>
      <c r="F36" s="2378"/>
      <c r="G36" s="2379"/>
      <c r="H36" s="3948"/>
      <c r="I36" s="4001"/>
      <c r="J36" s="2379"/>
      <c r="K36" s="5143"/>
    </row>
    <row r="37" spans="1:30" s="2356" customFormat="1" ht="13.5" customHeight="1">
      <c r="A37" s="2382">
        <v>8</v>
      </c>
      <c r="B37" s="2376" t="s">
        <v>8448</v>
      </c>
      <c r="C37" s="2374" t="s">
        <v>8466</v>
      </c>
      <c r="D37" s="2374" t="s">
        <v>8467</v>
      </c>
      <c r="E37" s="2374" t="s">
        <v>155</v>
      </c>
      <c r="F37" s="2375">
        <f>ROUND(SUM(F39:F43),3)</f>
        <v>18</v>
      </c>
      <c r="G37" s="2379"/>
      <c r="H37" s="3947">
        <f t="shared" ref="H37" si="7">ROUND(F37*G37,2)</f>
        <v>0</v>
      </c>
      <c r="I37" s="4000"/>
      <c r="J37" s="122" t="s">
        <v>60</v>
      </c>
      <c r="K37" s="5139"/>
      <c r="R37" s="4984"/>
      <c r="S37" s="4984"/>
    </row>
    <row r="38" spans="1:30" s="2356" customFormat="1" ht="13.5" customHeight="1">
      <c r="A38" s="2382"/>
      <c r="B38" s="2376"/>
      <c r="C38" s="2374"/>
      <c r="D38" s="2377" t="s">
        <v>8468</v>
      </c>
      <c r="E38" s="2374"/>
      <c r="F38" s="2378"/>
      <c r="G38" s="2379"/>
      <c r="H38" s="3948"/>
      <c r="I38" s="4001"/>
      <c r="J38" s="2380"/>
      <c r="K38" s="5139"/>
      <c r="L38" s="2686"/>
    </row>
    <row r="39" spans="1:30" s="2356" customFormat="1" ht="13.5" customHeight="1">
      <c r="A39" s="2382"/>
      <c r="B39" s="2376"/>
      <c r="C39" s="2374"/>
      <c r="D39" s="2377" t="s">
        <v>8469</v>
      </c>
      <c r="E39" s="2493"/>
      <c r="F39" s="2378">
        <v>1</v>
      </c>
      <c r="G39" s="2379"/>
      <c r="H39" s="3948"/>
      <c r="I39" s="4001"/>
      <c r="J39" s="2380"/>
      <c r="K39" s="5144"/>
      <c r="R39" s="4984"/>
      <c r="S39" s="4984"/>
    </row>
    <row r="40" spans="1:30" s="2356" customFormat="1" ht="13.5" customHeight="1">
      <c r="A40" s="2382"/>
      <c r="B40" s="2376"/>
      <c r="C40" s="2374"/>
      <c r="D40" s="2377" t="s">
        <v>8470</v>
      </c>
      <c r="E40" s="2493"/>
      <c r="F40" s="2378">
        <v>8</v>
      </c>
      <c r="G40" s="2379"/>
      <c r="H40" s="3948"/>
      <c r="I40" s="4001"/>
      <c r="J40" s="122"/>
      <c r="K40" s="2687"/>
      <c r="R40" s="4984"/>
      <c r="S40" s="4984"/>
    </row>
    <row r="41" spans="1:30" s="2356" customFormat="1" ht="13.5" customHeight="1">
      <c r="A41" s="2382"/>
      <c r="B41" s="2376"/>
      <c r="C41" s="2374"/>
      <c r="D41" s="2377" t="s">
        <v>8471</v>
      </c>
      <c r="E41" s="2493"/>
      <c r="F41" s="2378">
        <v>4</v>
      </c>
      <c r="G41" s="2379"/>
      <c r="H41" s="3948"/>
      <c r="I41" s="4001"/>
      <c r="J41" s="122"/>
      <c r="K41" s="5144"/>
      <c r="R41" s="4984"/>
      <c r="S41" s="4984"/>
    </row>
    <row r="42" spans="1:30" s="2356" customFormat="1" ht="13.5" customHeight="1">
      <c r="A42" s="2382"/>
      <c r="B42" s="2376"/>
      <c r="C42" s="2374"/>
      <c r="D42" s="2377" t="s">
        <v>8472</v>
      </c>
      <c r="E42" s="2493"/>
      <c r="F42" s="2378">
        <v>1</v>
      </c>
      <c r="G42" s="2379"/>
      <c r="H42" s="3948"/>
      <c r="I42" s="4001"/>
      <c r="J42" s="122"/>
      <c r="K42" s="5144"/>
      <c r="R42" s="4984"/>
      <c r="S42" s="4984"/>
    </row>
    <row r="43" spans="1:30" s="2356" customFormat="1" ht="13.5" customHeight="1">
      <c r="A43" s="2382"/>
      <c r="B43" s="2376"/>
      <c r="C43" s="2374"/>
      <c r="D43" s="2377" t="s">
        <v>8473</v>
      </c>
      <c r="E43" s="2493"/>
      <c r="F43" s="2378">
        <v>4</v>
      </c>
      <c r="G43" s="2379"/>
      <c r="H43" s="3948"/>
      <c r="I43" s="4001"/>
      <c r="J43" s="122"/>
      <c r="K43" s="5144"/>
      <c r="R43" s="4984"/>
      <c r="S43" s="4984"/>
    </row>
    <row r="44" spans="1:30" ht="40.5" customHeight="1">
      <c r="A44" s="2382"/>
      <c r="B44" s="2374"/>
      <c r="C44" s="2374"/>
      <c r="D44" s="2309" t="s">
        <v>8474</v>
      </c>
      <c r="E44" s="2374"/>
      <c r="F44" s="2511"/>
      <c r="G44" s="2379"/>
      <c r="H44" s="3948"/>
      <c r="I44" s="4001"/>
      <c r="J44" s="2688"/>
      <c r="K44" s="5145"/>
      <c r="L44" s="5146"/>
      <c r="M44" s="5145"/>
      <c r="V44" s="5147"/>
    </row>
    <row r="45" spans="1:30" s="2356" customFormat="1" ht="13.5" customHeight="1">
      <c r="A45" s="2382"/>
      <c r="B45" s="2376"/>
      <c r="C45" s="2374"/>
      <c r="D45" s="2377" t="s">
        <v>8475</v>
      </c>
      <c r="E45" s="2374"/>
      <c r="F45" s="2378"/>
      <c r="G45" s="2379"/>
      <c r="H45" s="3948"/>
      <c r="I45" s="4001"/>
      <c r="J45" s="2379"/>
      <c r="K45" s="2397"/>
    </row>
    <row r="46" spans="1:30" s="2356" customFormat="1" ht="13.5" customHeight="1">
      <c r="A46" s="2382">
        <v>9</v>
      </c>
      <c r="B46" s="2376" t="s">
        <v>8448</v>
      </c>
      <c r="C46" s="2374" t="s">
        <v>8476</v>
      </c>
      <c r="D46" s="2374" t="s">
        <v>8477</v>
      </c>
      <c r="E46" s="2374" t="s">
        <v>155</v>
      </c>
      <c r="F46" s="2375">
        <f>ROUND(SUM(F48:F65),3)</f>
        <v>135</v>
      </c>
      <c r="G46" s="2379"/>
      <c r="H46" s="3947">
        <f t="shared" ref="H46" si="8">ROUND(F46*G46,2)</f>
        <v>0</v>
      </c>
      <c r="I46" s="4000"/>
      <c r="J46" s="122" t="s">
        <v>60</v>
      </c>
      <c r="K46" s="5148"/>
      <c r="R46" s="4984"/>
      <c r="S46" s="4984"/>
    </row>
    <row r="47" spans="1:30" s="2356" customFormat="1" ht="13.5" customHeight="1">
      <c r="A47" s="2382"/>
      <c r="B47" s="2376"/>
      <c r="C47" s="2374"/>
      <c r="D47" s="2377" t="s">
        <v>8478</v>
      </c>
      <c r="E47" s="2374"/>
      <c r="F47" s="2378"/>
      <c r="G47" s="2379"/>
      <c r="H47" s="3948"/>
      <c r="I47" s="4001"/>
      <c r="J47" s="2380"/>
      <c r="K47" s="5144"/>
    </row>
    <row r="48" spans="1:30" s="2356" customFormat="1" ht="13.5" customHeight="1">
      <c r="A48" s="2382"/>
      <c r="B48" s="2376"/>
      <c r="C48" s="2374"/>
      <c r="D48" s="2377" t="s">
        <v>8479</v>
      </c>
      <c r="E48" s="2493"/>
      <c r="F48" s="2378">
        <v>7</v>
      </c>
      <c r="G48" s="2379"/>
      <c r="H48" s="3948"/>
      <c r="I48" s="4001"/>
      <c r="J48" s="122"/>
      <c r="K48" s="5144"/>
      <c r="R48" s="4984"/>
      <c r="S48" s="4984"/>
    </row>
    <row r="49" spans="1:19" s="2356" customFormat="1" ht="13.5" customHeight="1">
      <c r="A49" s="2382"/>
      <c r="B49" s="2376"/>
      <c r="C49" s="2374"/>
      <c r="D49" s="2377" t="s">
        <v>8480</v>
      </c>
      <c r="E49" s="2493"/>
      <c r="F49" s="2378">
        <v>8</v>
      </c>
      <c r="G49" s="2379"/>
      <c r="H49" s="3948"/>
      <c r="I49" s="4001"/>
      <c r="J49" s="122"/>
      <c r="K49" s="5144"/>
      <c r="R49" s="4984"/>
      <c r="S49" s="4984"/>
    </row>
    <row r="50" spans="1:19" s="2356" customFormat="1" ht="13.5" customHeight="1">
      <c r="A50" s="2382"/>
      <c r="B50" s="2376"/>
      <c r="C50" s="2374"/>
      <c r="D50" s="2377" t="s">
        <v>8481</v>
      </c>
      <c r="E50" s="2493"/>
      <c r="F50" s="2378">
        <v>8</v>
      </c>
      <c r="G50" s="2379"/>
      <c r="H50" s="3948"/>
      <c r="I50" s="4001"/>
      <c r="J50" s="122"/>
      <c r="K50" s="5144"/>
      <c r="R50" s="4984"/>
      <c r="S50" s="4984"/>
    </row>
    <row r="51" spans="1:19" s="2356" customFormat="1" ht="13.5" customHeight="1">
      <c r="A51" s="2382"/>
      <c r="B51" s="2376"/>
      <c r="C51" s="2374"/>
      <c r="D51" s="2377" t="s">
        <v>8482</v>
      </c>
      <c r="E51" s="2493"/>
      <c r="F51" s="2378">
        <v>6</v>
      </c>
      <c r="G51" s="2379"/>
      <c r="H51" s="3948"/>
      <c r="I51" s="4001"/>
      <c r="J51" s="122"/>
      <c r="K51" s="5144"/>
      <c r="R51" s="4984"/>
      <c r="S51" s="4984"/>
    </row>
    <row r="52" spans="1:19" s="2356" customFormat="1" ht="13.5" customHeight="1">
      <c r="A52" s="2382"/>
      <c r="B52" s="2376"/>
      <c r="C52" s="2374"/>
      <c r="D52" s="2377" t="s">
        <v>8483</v>
      </c>
      <c r="E52" s="2493"/>
      <c r="F52" s="2378">
        <v>4</v>
      </c>
      <c r="G52" s="2379"/>
      <c r="H52" s="3948"/>
      <c r="I52" s="4001"/>
      <c r="J52" s="122"/>
      <c r="K52" s="5144"/>
      <c r="R52" s="4984"/>
      <c r="S52" s="4984"/>
    </row>
    <row r="53" spans="1:19" s="2356" customFormat="1" ht="13.5" customHeight="1">
      <c r="A53" s="2382"/>
      <c r="B53" s="2376"/>
      <c r="C53" s="2374"/>
      <c r="D53" s="2377" t="s">
        <v>8484</v>
      </c>
      <c r="E53" s="2493"/>
      <c r="F53" s="2378">
        <v>6</v>
      </c>
      <c r="G53" s="2379"/>
      <c r="H53" s="3948"/>
      <c r="I53" s="4001"/>
      <c r="J53" s="122"/>
      <c r="K53" s="5144"/>
      <c r="R53" s="4984"/>
      <c r="S53" s="4984"/>
    </row>
    <row r="54" spans="1:19" s="2356" customFormat="1" ht="13.5" customHeight="1">
      <c r="A54" s="2382"/>
      <c r="B54" s="2376"/>
      <c r="C54" s="2374"/>
      <c r="D54" s="2377" t="s">
        <v>8485</v>
      </c>
      <c r="E54" s="2493"/>
      <c r="F54" s="2378">
        <v>8</v>
      </c>
      <c r="G54" s="2379"/>
      <c r="H54" s="3948"/>
      <c r="I54" s="4001"/>
      <c r="J54" s="122"/>
      <c r="K54" s="5144"/>
      <c r="R54" s="4984"/>
      <c r="S54" s="4984"/>
    </row>
    <row r="55" spans="1:19" s="2356" customFormat="1" ht="13.5" customHeight="1">
      <c r="A55" s="2382"/>
      <c r="B55" s="2376"/>
      <c r="C55" s="2374"/>
      <c r="D55" s="2377" t="s">
        <v>8486</v>
      </c>
      <c r="E55" s="2493"/>
      <c r="F55" s="2378">
        <v>9</v>
      </c>
      <c r="G55" s="2379"/>
      <c r="H55" s="3948"/>
      <c r="I55" s="4001"/>
      <c r="J55" s="122"/>
      <c r="K55" s="5144"/>
      <c r="R55" s="4984"/>
      <c r="S55" s="4984"/>
    </row>
    <row r="56" spans="1:19" s="2356" customFormat="1" ht="13.5" customHeight="1">
      <c r="A56" s="2382"/>
      <c r="B56" s="2376"/>
      <c r="C56" s="2374"/>
      <c r="D56" s="2377" t="s">
        <v>8487</v>
      </c>
      <c r="E56" s="2493"/>
      <c r="F56" s="2378">
        <v>6</v>
      </c>
      <c r="G56" s="2379"/>
      <c r="H56" s="3948"/>
      <c r="I56" s="4001"/>
      <c r="J56" s="122"/>
      <c r="K56" s="5144"/>
      <c r="R56" s="4984"/>
      <c r="S56" s="4984"/>
    </row>
    <row r="57" spans="1:19" s="2356" customFormat="1" ht="13.5" customHeight="1">
      <c r="A57" s="2382"/>
      <c r="B57" s="2376"/>
      <c r="C57" s="2374"/>
      <c r="D57" s="2377" t="s">
        <v>8488</v>
      </c>
      <c r="E57" s="2493"/>
      <c r="F57" s="2378">
        <v>9</v>
      </c>
      <c r="G57" s="2379"/>
      <c r="H57" s="3948"/>
      <c r="I57" s="4001"/>
      <c r="J57" s="122"/>
      <c r="K57" s="5144"/>
      <c r="R57" s="4984"/>
      <c r="S57" s="4984"/>
    </row>
    <row r="58" spans="1:19" s="2356" customFormat="1" ht="13.5" customHeight="1">
      <c r="A58" s="2382"/>
      <c r="B58" s="2376"/>
      <c r="C58" s="2374"/>
      <c r="D58" s="2377" t="s">
        <v>8489</v>
      </c>
      <c r="E58" s="2493"/>
      <c r="F58" s="2378">
        <v>9</v>
      </c>
      <c r="G58" s="2379"/>
      <c r="H58" s="3948"/>
      <c r="I58" s="4001"/>
      <c r="J58" s="122"/>
      <c r="K58" s="5144"/>
      <c r="R58" s="4984"/>
      <c r="S58" s="4984"/>
    </row>
    <row r="59" spans="1:19" s="2356" customFormat="1" ht="13.5" customHeight="1">
      <c r="A59" s="2382"/>
      <c r="B59" s="2376"/>
      <c r="C59" s="2374"/>
      <c r="D59" s="2377" t="s">
        <v>8490</v>
      </c>
      <c r="E59" s="2493"/>
      <c r="F59" s="2378">
        <v>8</v>
      </c>
      <c r="G59" s="2379"/>
      <c r="H59" s="3948"/>
      <c r="I59" s="4001"/>
      <c r="J59" s="122"/>
      <c r="K59" s="5144"/>
      <c r="R59" s="4984"/>
      <c r="S59" s="4984"/>
    </row>
    <row r="60" spans="1:19" s="2356" customFormat="1" ht="13.5" customHeight="1">
      <c r="A60" s="2382"/>
      <c r="B60" s="2376"/>
      <c r="C60" s="2374"/>
      <c r="D60" s="2377" t="s">
        <v>8491</v>
      </c>
      <c r="E60" s="2493"/>
      <c r="F60" s="2378">
        <v>8</v>
      </c>
      <c r="G60" s="2379"/>
      <c r="H60" s="3948"/>
      <c r="I60" s="4001"/>
      <c r="J60" s="122"/>
      <c r="K60" s="5144"/>
      <c r="R60" s="4984"/>
      <c r="S60" s="4984"/>
    </row>
    <row r="61" spans="1:19" s="2356" customFormat="1" ht="13.5" customHeight="1">
      <c r="A61" s="2382"/>
      <c r="B61" s="2376"/>
      <c r="C61" s="2374"/>
      <c r="D61" s="2377" t="s">
        <v>8492</v>
      </c>
      <c r="E61" s="2493"/>
      <c r="F61" s="2378">
        <v>8</v>
      </c>
      <c r="G61" s="2379"/>
      <c r="H61" s="3948"/>
      <c r="I61" s="4001"/>
      <c r="J61" s="122"/>
      <c r="K61" s="5144"/>
      <c r="R61" s="4984"/>
      <c r="S61" s="4984"/>
    </row>
    <row r="62" spans="1:19" s="2356" customFormat="1" ht="13.5" customHeight="1">
      <c r="A62" s="2382"/>
      <c r="B62" s="2376"/>
      <c r="C62" s="2374"/>
      <c r="D62" s="2377" t="s">
        <v>8493</v>
      </c>
      <c r="E62" s="2493"/>
      <c r="F62" s="2378">
        <v>6</v>
      </c>
      <c r="G62" s="2379"/>
      <c r="H62" s="3948"/>
      <c r="I62" s="4001"/>
      <c r="J62" s="122"/>
      <c r="K62" s="5144"/>
      <c r="R62" s="4984"/>
      <c r="S62" s="4984"/>
    </row>
    <row r="63" spans="1:19" s="2356" customFormat="1" ht="13.5" customHeight="1">
      <c r="A63" s="2382"/>
      <c r="B63" s="2376"/>
      <c r="C63" s="2374"/>
      <c r="D63" s="2377" t="s">
        <v>8494</v>
      </c>
      <c r="E63" s="2493"/>
      <c r="F63" s="2378">
        <v>9</v>
      </c>
      <c r="G63" s="2379"/>
      <c r="H63" s="3948"/>
      <c r="I63" s="4001"/>
      <c r="J63" s="122"/>
      <c r="K63" s="5144"/>
      <c r="R63" s="4984"/>
      <c r="S63" s="4984"/>
    </row>
    <row r="64" spans="1:19" s="2356" customFormat="1" ht="13.5" customHeight="1">
      <c r="A64" s="2382"/>
      <c r="B64" s="2376"/>
      <c r="C64" s="2374"/>
      <c r="D64" s="2377" t="s">
        <v>8495</v>
      </c>
      <c r="E64" s="2493"/>
      <c r="F64" s="2378">
        <v>8</v>
      </c>
      <c r="G64" s="2379"/>
      <c r="H64" s="3948"/>
      <c r="I64" s="4001"/>
      <c r="J64" s="122"/>
      <c r="K64" s="5144"/>
      <c r="R64" s="4984"/>
      <c r="S64" s="4984"/>
    </row>
    <row r="65" spans="1:122" s="2356" customFormat="1" ht="13.5" customHeight="1">
      <c r="A65" s="2382"/>
      <c r="B65" s="2376"/>
      <c r="C65" s="2374"/>
      <c r="D65" s="2377" t="s">
        <v>8496</v>
      </c>
      <c r="E65" s="2493"/>
      <c r="F65" s="2378">
        <v>8</v>
      </c>
      <c r="G65" s="2379"/>
      <c r="H65" s="3948"/>
      <c r="I65" s="4001"/>
      <c r="J65" s="122"/>
      <c r="K65" s="5144"/>
      <c r="R65" s="4984"/>
      <c r="S65" s="4984"/>
    </row>
    <row r="66" spans="1:122" ht="40.5" customHeight="1">
      <c r="A66" s="2382"/>
      <c r="B66" s="2374"/>
      <c r="C66" s="2374"/>
      <c r="D66" s="2309" t="s">
        <v>8497</v>
      </c>
      <c r="E66" s="2374"/>
      <c r="F66" s="2511"/>
      <c r="G66" s="2379"/>
      <c r="H66" s="3948"/>
      <c r="I66" s="4001"/>
      <c r="J66" s="2688"/>
      <c r="K66" s="5145"/>
      <c r="L66" s="5146"/>
      <c r="M66" s="5145"/>
      <c r="V66" s="5147"/>
    </row>
    <row r="67" spans="1:122" s="2356" customFormat="1" ht="13.5" customHeight="1">
      <c r="A67" s="2689">
        <v>10</v>
      </c>
      <c r="B67" s="2690" t="s">
        <v>8448</v>
      </c>
      <c r="C67" s="2690" t="s">
        <v>8498</v>
      </c>
      <c r="D67" s="2691" t="s">
        <v>8499</v>
      </c>
      <c r="E67" s="2691" t="s">
        <v>155</v>
      </c>
      <c r="F67" s="2375">
        <f>ROUND(SUM(F68),3)</f>
        <v>1</v>
      </c>
      <c r="G67" s="2692"/>
      <c r="H67" s="3947">
        <f t="shared" ref="H67" si="9">ROUND(F67*G67,2)</f>
        <v>0</v>
      </c>
      <c r="I67" s="4000"/>
      <c r="J67" s="2693" t="s">
        <v>60</v>
      </c>
      <c r="K67" s="2694"/>
      <c r="L67" s="5149"/>
      <c r="M67" s="5150"/>
      <c r="U67" s="4984"/>
    </row>
    <row r="68" spans="1:122" s="2394" customFormat="1" ht="27" customHeight="1">
      <c r="A68" s="2695"/>
      <c r="B68" s="2696"/>
      <c r="C68" s="2696"/>
      <c r="D68" s="2697" t="s">
        <v>8500</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8501</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8448</v>
      </c>
      <c r="C70" s="2706" t="s">
        <v>8502</v>
      </c>
      <c r="D70" s="2707" t="s">
        <v>8503</v>
      </c>
      <c r="E70" s="2707" t="s">
        <v>155</v>
      </c>
      <c r="F70" s="2708">
        <f>ROUND(SUM(F71),3)</f>
        <v>1</v>
      </c>
      <c r="G70" s="2709"/>
      <c r="H70" s="3950">
        <f t="shared" ref="H70" si="10">ROUND(F70*G70,2)</f>
        <v>0</v>
      </c>
      <c r="I70" s="4003"/>
      <c r="J70" s="2710" t="s">
        <v>60</v>
      </c>
      <c r="K70" s="2694"/>
      <c r="L70" s="5149"/>
      <c r="M70" s="5150"/>
      <c r="U70" s="4984"/>
    </row>
    <row r="71" spans="1:122" s="2394" customFormat="1" ht="27" customHeight="1">
      <c r="A71" s="2711"/>
      <c r="B71" s="2712"/>
      <c r="C71" s="2712"/>
      <c r="D71" s="2713" t="s">
        <v>8504</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8501</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8448</v>
      </c>
      <c r="C73" s="2720" t="s">
        <v>8505</v>
      </c>
      <c r="D73" s="2721" t="s">
        <v>8506</v>
      </c>
      <c r="E73" s="2721" t="s">
        <v>155</v>
      </c>
      <c r="F73" s="2722">
        <f>ROUND(SUM(F74),3)</f>
        <v>1</v>
      </c>
      <c r="G73" s="2723"/>
      <c r="H73" s="3952">
        <f t="shared" ref="H73" si="11">ROUND(F73*G73,2)</f>
        <v>0</v>
      </c>
      <c r="I73" s="4005"/>
      <c r="J73" s="2724" t="s">
        <v>60</v>
      </c>
      <c r="K73" s="2694"/>
      <c r="L73" s="5149"/>
      <c r="M73" s="5150"/>
      <c r="U73" s="4984"/>
    </row>
    <row r="74" spans="1:122" s="2394" customFormat="1" ht="27" customHeight="1">
      <c r="A74" s="2725"/>
      <c r="B74" s="2726"/>
      <c r="C74" s="2726"/>
      <c r="D74" s="2727" t="s">
        <v>8507</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8501</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8448</v>
      </c>
      <c r="C76" s="2735" t="s">
        <v>8508</v>
      </c>
      <c r="D76" s="2736" t="s">
        <v>8509</v>
      </c>
      <c r="E76" s="2736" t="s">
        <v>155</v>
      </c>
      <c r="F76" s="2737">
        <f>ROUND(SUM(F77),3)</f>
        <v>1</v>
      </c>
      <c r="G76" s="2738"/>
      <c r="H76" s="3954">
        <f t="shared" ref="H76" si="12">ROUND(F76*G76,2)</f>
        <v>0</v>
      </c>
      <c r="I76" s="4007"/>
      <c r="J76" s="2739" t="s">
        <v>60</v>
      </c>
      <c r="K76" s="2694"/>
      <c r="L76" s="5149"/>
      <c r="M76" s="5150"/>
      <c r="U76" s="4984"/>
    </row>
    <row r="77" spans="1:122" s="2394" customFormat="1" ht="27" customHeight="1">
      <c r="A77" s="2740"/>
      <c r="B77" s="2741"/>
      <c r="C77" s="2741"/>
      <c r="D77" s="2742" t="s">
        <v>8510</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8501</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8448</v>
      </c>
      <c r="C79" s="2749" t="s">
        <v>8511</v>
      </c>
      <c r="D79" s="2750" t="s">
        <v>8512</v>
      </c>
      <c r="E79" s="2750" t="s">
        <v>155</v>
      </c>
      <c r="F79" s="2751">
        <f>ROUND(SUM(F80),3)</f>
        <v>1</v>
      </c>
      <c r="G79" s="2752"/>
      <c r="H79" s="3956">
        <f t="shared" ref="H79" si="13">ROUND(F79*G79,2)</f>
        <v>0</v>
      </c>
      <c r="I79" s="4009"/>
      <c r="J79" s="2753" t="s">
        <v>60</v>
      </c>
      <c r="K79" s="2694"/>
      <c r="L79" s="5149"/>
      <c r="M79" s="5150"/>
      <c r="U79" s="4984"/>
    </row>
    <row r="80" spans="1:122" s="2394" customFormat="1" ht="27" customHeight="1">
      <c r="A80" s="2754"/>
      <c r="B80" s="2755"/>
      <c r="C80" s="2755"/>
      <c r="D80" s="2756" t="s">
        <v>8513</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8501</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8448</v>
      </c>
      <c r="C82" s="2763" t="s">
        <v>8514</v>
      </c>
      <c r="D82" s="2764" t="s">
        <v>8515</v>
      </c>
      <c r="E82" s="2764" t="s">
        <v>155</v>
      </c>
      <c r="F82" s="2765">
        <f>ROUND(SUM(F83),3)</f>
        <v>1</v>
      </c>
      <c r="G82" s="2766"/>
      <c r="H82" s="3958">
        <f t="shared" ref="H82" si="14">ROUND(F82*G82,2)</f>
        <v>0</v>
      </c>
      <c r="I82" s="4011"/>
      <c r="J82" s="2767" t="s">
        <v>60</v>
      </c>
      <c r="K82" s="2694"/>
      <c r="L82" s="5149"/>
      <c r="M82" s="5150"/>
      <c r="U82" s="4984"/>
    </row>
    <row r="83" spans="1:122" s="2394" customFormat="1" ht="27" customHeight="1">
      <c r="A83" s="2768"/>
      <c r="B83" s="2769"/>
      <c r="C83" s="2769"/>
      <c r="D83" s="2770" t="s">
        <v>8516</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8501</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8448</v>
      </c>
      <c r="C85" s="2777" t="s">
        <v>8517</v>
      </c>
      <c r="D85" s="2778" t="s">
        <v>8518</v>
      </c>
      <c r="E85" s="2778" t="s">
        <v>155</v>
      </c>
      <c r="F85" s="2779">
        <f>ROUND(SUM(F86),3)</f>
        <v>1</v>
      </c>
      <c r="G85" s="2780"/>
      <c r="H85" s="3960">
        <f t="shared" ref="H85" si="15">ROUND(F85*G85,2)</f>
        <v>0</v>
      </c>
      <c r="I85" s="4013"/>
      <c r="J85" s="2781" t="s">
        <v>60</v>
      </c>
      <c r="K85" s="2694"/>
      <c r="L85" s="5149"/>
      <c r="M85" s="5150"/>
      <c r="U85" s="4984"/>
    </row>
    <row r="86" spans="1:122" s="2394" customFormat="1" ht="27" customHeight="1">
      <c r="A86" s="2782"/>
      <c r="B86" s="2783"/>
      <c r="C86" s="2783"/>
      <c r="D86" s="2784" t="s">
        <v>8519</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8501</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8448</v>
      </c>
      <c r="C88" s="2791" t="s">
        <v>8520</v>
      </c>
      <c r="D88" s="2792" t="s">
        <v>8521</v>
      </c>
      <c r="E88" s="2792" t="s">
        <v>155</v>
      </c>
      <c r="F88" s="2793">
        <f>ROUND(SUM(F89),3)</f>
        <v>1</v>
      </c>
      <c r="G88" s="2794"/>
      <c r="H88" s="3962">
        <f t="shared" ref="H88" si="16">ROUND(F88*G88,2)</f>
        <v>0</v>
      </c>
      <c r="I88" s="4015"/>
      <c r="J88" s="2795" t="s">
        <v>60</v>
      </c>
      <c r="K88" s="2694"/>
      <c r="L88" s="5149"/>
      <c r="M88" s="5150"/>
      <c r="U88" s="4984"/>
    </row>
    <row r="89" spans="1:122" s="2394" customFormat="1" ht="27" customHeight="1">
      <c r="A89" s="2796"/>
      <c r="B89" s="2797"/>
      <c r="C89" s="2797"/>
      <c r="D89" s="2798" t="s">
        <v>8522</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8501</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8448</v>
      </c>
      <c r="C91" s="2805" t="s">
        <v>8523</v>
      </c>
      <c r="D91" s="2806" t="s">
        <v>8524</v>
      </c>
      <c r="E91" s="2806" t="s">
        <v>155</v>
      </c>
      <c r="F91" s="2807">
        <f>ROUND(SUM(F92),3)</f>
        <v>1</v>
      </c>
      <c r="G91" s="2808"/>
      <c r="H91" s="3964">
        <f t="shared" ref="H91" si="17">ROUND(F91*G91,2)</f>
        <v>0</v>
      </c>
      <c r="I91" s="4017"/>
      <c r="J91" s="2809" t="s">
        <v>60</v>
      </c>
      <c r="K91" s="2694"/>
      <c r="L91" s="5149"/>
      <c r="M91" s="5150"/>
      <c r="U91" s="4984"/>
    </row>
    <row r="92" spans="1:122" s="2394" customFormat="1" ht="27" customHeight="1">
      <c r="A92" s="2810"/>
      <c r="B92" s="2811"/>
      <c r="C92" s="2811"/>
      <c r="D92" s="2812" t="s">
        <v>8525</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8501</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8448</v>
      </c>
      <c r="C94" s="2819" t="s">
        <v>8526</v>
      </c>
      <c r="D94" s="2820" t="s">
        <v>8527</v>
      </c>
      <c r="E94" s="2820" t="s">
        <v>155</v>
      </c>
      <c r="F94" s="2821">
        <f>ROUND(SUM(F95),3)</f>
        <v>1</v>
      </c>
      <c r="G94" s="2822"/>
      <c r="H94" s="3966">
        <f t="shared" ref="H94" si="18">ROUND(F94*G94,2)</f>
        <v>0</v>
      </c>
      <c r="I94" s="4019"/>
      <c r="J94" s="2823" t="s">
        <v>60</v>
      </c>
      <c r="K94" s="2694"/>
      <c r="L94" s="5149"/>
      <c r="M94" s="5150"/>
      <c r="U94" s="4984"/>
    </row>
    <row r="95" spans="1:122" s="2394" customFormat="1" ht="27" customHeight="1">
      <c r="A95" s="2824"/>
      <c r="B95" s="2825"/>
      <c r="C95" s="2825"/>
      <c r="D95" s="2826" t="s">
        <v>8528</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8501</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8448</v>
      </c>
      <c r="C97" s="2833" t="s">
        <v>8529</v>
      </c>
      <c r="D97" s="2834" t="s">
        <v>8530</v>
      </c>
      <c r="E97" s="2834" t="s">
        <v>155</v>
      </c>
      <c r="F97" s="2835">
        <f>ROUND(SUM(F98),3)</f>
        <v>1</v>
      </c>
      <c r="G97" s="2836"/>
      <c r="H97" s="3968">
        <f t="shared" ref="H97" si="19">ROUND(F97*G97,2)</f>
        <v>0</v>
      </c>
      <c r="I97" s="4021"/>
      <c r="J97" s="2837" t="s">
        <v>60</v>
      </c>
      <c r="K97" s="2694"/>
      <c r="L97" s="5149"/>
      <c r="M97" s="5150"/>
      <c r="U97" s="4984"/>
    </row>
    <row r="98" spans="1:122" s="2394" customFormat="1" ht="27" customHeight="1">
      <c r="A98" s="2838"/>
      <c r="B98" s="2839"/>
      <c r="C98" s="2839"/>
      <c r="D98" s="2840" t="s">
        <v>8531</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8501</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8448</v>
      </c>
      <c r="C100" s="2847" t="s">
        <v>8532</v>
      </c>
      <c r="D100" s="2848" t="s">
        <v>8533</v>
      </c>
      <c r="E100" s="2848" t="s">
        <v>155</v>
      </c>
      <c r="F100" s="2849">
        <f>ROUND(SUM(F101),3)</f>
        <v>2</v>
      </c>
      <c r="G100" s="2850"/>
      <c r="H100" s="3970">
        <f t="shared" ref="H100" si="20">ROUND(F100*G100,2)</f>
        <v>0</v>
      </c>
      <c r="I100" s="4023"/>
      <c r="J100" s="2851" t="s">
        <v>60</v>
      </c>
      <c r="K100" s="2694"/>
      <c r="L100" s="5149"/>
      <c r="M100" s="5150"/>
      <c r="U100" s="4984"/>
    </row>
    <row r="101" spans="1:122" s="2394" customFormat="1" ht="27" customHeight="1">
      <c r="A101" s="2852"/>
      <c r="B101" s="2853"/>
      <c r="C101" s="2853"/>
      <c r="D101" s="2854" t="s">
        <v>8534</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8501</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8448</v>
      </c>
      <c r="C103" s="2862" t="s">
        <v>8535</v>
      </c>
      <c r="D103" s="2863" t="s">
        <v>8536</v>
      </c>
      <c r="E103" s="2863" t="s">
        <v>23</v>
      </c>
      <c r="F103" s="2864">
        <f>ROUND(SUM(F104),3)</f>
        <v>1</v>
      </c>
      <c r="G103" s="2865"/>
      <c r="H103" s="3972">
        <f t="shared" ref="H103" si="21">ROUND(F103*G103,2)</f>
        <v>0</v>
      </c>
      <c r="I103" s="4025"/>
      <c r="J103" s="2866" t="s">
        <v>60</v>
      </c>
      <c r="K103" s="2867"/>
      <c r="L103" s="2868"/>
      <c r="M103" s="5150"/>
      <c r="U103" s="4984"/>
    </row>
    <row r="104" spans="1:122" s="2356" customFormat="1" ht="13.5" customHeight="1">
      <c r="A104" s="2861"/>
      <c r="B104" s="2869"/>
      <c r="C104" s="2869"/>
      <c r="D104" s="2854" t="s">
        <v>8537</v>
      </c>
      <c r="E104" s="2869"/>
      <c r="F104" s="2870">
        <v>1</v>
      </c>
      <c r="G104" s="2857"/>
      <c r="H104" s="3971"/>
      <c r="I104" s="4024"/>
      <c r="J104" s="2871"/>
      <c r="K104" s="2867"/>
      <c r="M104" s="5150"/>
      <c r="U104" s="4984"/>
    </row>
    <row r="105" spans="1:122" s="2394" customFormat="1" ht="27" customHeight="1">
      <c r="A105" s="2852"/>
      <c r="B105" s="2853"/>
      <c r="C105" s="2872"/>
      <c r="D105" s="2854" t="s">
        <v>8538</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8539</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8540</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8448</v>
      </c>
      <c r="C108" s="2888" t="s">
        <v>8541</v>
      </c>
      <c r="D108" s="2889" t="s">
        <v>8542</v>
      </c>
      <c r="E108" s="2889" t="s">
        <v>23</v>
      </c>
      <c r="F108" s="2890">
        <f>ROUND(SUM(F109),3)</f>
        <v>1</v>
      </c>
      <c r="G108" s="2891"/>
      <c r="H108" s="3975">
        <f t="shared" ref="H108" si="22">ROUND(F108*G108,2)</f>
        <v>0</v>
      </c>
      <c r="I108" s="4028"/>
      <c r="J108" s="2892" t="s">
        <v>60</v>
      </c>
      <c r="K108" s="2867"/>
      <c r="L108" s="2868"/>
      <c r="M108" s="5150"/>
      <c r="U108" s="4984"/>
    </row>
    <row r="109" spans="1:122" s="2356" customFormat="1" ht="13.5" customHeight="1">
      <c r="A109" s="2887"/>
      <c r="B109" s="2893"/>
      <c r="C109" s="2893"/>
      <c r="D109" s="2882" t="s">
        <v>8543</v>
      </c>
      <c r="E109" s="2893"/>
      <c r="F109" s="2894">
        <v>1</v>
      </c>
      <c r="G109" s="2885"/>
      <c r="H109" s="3974"/>
      <c r="I109" s="4027"/>
      <c r="J109" s="2895"/>
      <c r="K109" s="2867"/>
      <c r="L109" s="5156"/>
      <c r="M109" s="5150"/>
      <c r="U109" s="4984"/>
    </row>
    <row r="110" spans="1:122" s="2394" customFormat="1" ht="13.5" customHeight="1">
      <c r="A110" s="2880"/>
      <c r="B110" s="2881"/>
      <c r="C110" s="2896"/>
      <c r="D110" s="2882" t="s">
        <v>8544</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8540</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8448</v>
      </c>
      <c r="C112" s="2888" t="s">
        <v>8545</v>
      </c>
      <c r="D112" s="2889" t="s">
        <v>8546</v>
      </c>
      <c r="E112" s="2889" t="s">
        <v>23</v>
      </c>
      <c r="F112" s="2890">
        <f>ROUND(SUM(F113),3)</f>
        <v>1</v>
      </c>
      <c r="G112" s="2891"/>
      <c r="H112" s="3975">
        <f t="shared" ref="H112" si="23">ROUND(F112*G112,2)</f>
        <v>0</v>
      </c>
      <c r="I112" s="4028"/>
      <c r="J112" s="2892" t="s">
        <v>60</v>
      </c>
      <c r="K112" s="2867"/>
      <c r="L112" s="2868"/>
      <c r="M112" s="5150"/>
      <c r="U112" s="4984"/>
    </row>
    <row r="113" spans="1:122" s="2356" customFormat="1" ht="13.5" customHeight="1">
      <c r="A113" s="2887"/>
      <c r="B113" s="2893"/>
      <c r="C113" s="2893"/>
      <c r="D113" s="2882" t="s">
        <v>8547</v>
      </c>
      <c r="E113" s="2893"/>
      <c r="F113" s="2894">
        <v>1</v>
      </c>
      <c r="G113" s="2885"/>
      <c r="H113" s="3974"/>
      <c r="I113" s="4027"/>
      <c r="J113" s="2895"/>
      <c r="K113" s="2867"/>
      <c r="L113" s="5156"/>
      <c r="M113" s="5150"/>
      <c r="U113" s="4984"/>
    </row>
    <row r="114" spans="1:122" s="2394" customFormat="1" ht="13.5" customHeight="1">
      <c r="A114" s="2880"/>
      <c r="B114" s="2881"/>
      <c r="C114" s="2896"/>
      <c r="D114" s="2882" t="s">
        <v>8548</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8540</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8448</v>
      </c>
      <c r="C116" s="2888" t="s">
        <v>8549</v>
      </c>
      <c r="D116" s="2889" t="s">
        <v>8550</v>
      </c>
      <c r="E116" s="2889" t="s">
        <v>23</v>
      </c>
      <c r="F116" s="2890">
        <f>ROUND(SUM(F117),3)</f>
        <v>1</v>
      </c>
      <c r="G116" s="2891"/>
      <c r="H116" s="3975">
        <f t="shared" ref="H116" si="24">ROUND(F116*G116,2)</f>
        <v>0</v>
      </c>
      <c r="I116" s="4028"/>
      <c r="J116" s="2892" t="s">
        <v>60</v>
      </c>
      <c r="K116" s="2867"/>
      <c r="L116" s="2868"/>
      <c r="M116" s="5150"/>
      <c r="U116" s="4984"/>
    </row>
    <row r="117" spans="1:122" s="2356" customFormat="1" ht="13.5" customHeight="1">
      <c r="A117" s="2887"/>
      <c r="B117" s="2893"/>
      <c r="C117" s="2893"/>
      <c r="D117" s="2882" t="s">
        <v>8551</v>
      </c>
      <c r="E117" s="2893"/>
      <c r="F117" s="2894">
        <v>1</v>
      </c>
      <c r="G117" s="2885"/>
      <c r="H117" s="3974"/>
      <c r="I117" s="4027"/>
      <c r="J117" s="2895"/>
      <c r="K117" s="2899"/>
      <c r="L117" s="5149"/>
      <c r="M117" s="5150"/>
      <c r="U117" s="4984"/>
    </row>
    <row r="118" spans="1:122" s="2393" customFormat="1" ht="13.5" customHeight="1">
      <c r="A118" s="2880"/>
      <c r="B118" s="2881"/>
      <c r="C118" s="2896"/>
      <c r="D118" s="2882" t="s">
        <v>8552</v>
      </c>
      <c r="E118" s="2881"/>
      <c r="F118" s="2883"/>
      <c r="G118" s="2897"/>
      <c r="H118" s="3974"/>
      <c r="I118" s="4027"/>
      <c r="J118" s="2895"/>
      <c r="K118" s="2873"/>
      <c r="L118" s="2702"/>
      <c r="R118" s="5151"/>
    </row>
    <row r="119" spans="1:122" s="2394" customFormat="1" ht="27" customHeight="1">
      <c r="A119" s="2880"/>
      <c r="B119" s="2881"/>
      <c r="C119" s="2881"/>
      <c r="D119" s="2882" t="s">
        <v>8540</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8448</v>
      </c>
      <c r="C120" s="2888" t="s">
        <v>8553</v>
      </c>
      <c r="D120" s="2889" t="s">
        <v>8554</v>
      </c>
      <c r="E120" s="2889" t="s">
        <v>23</v>
      </c>
      <c r="F120" s="2890">
        <f>ROUND(SUM(F121),3)</f>
        <v>1</v>
      </c>
      <c r="G120" s="2891"/>
      <c r="H120" s="3975">
        <f t="shared" ref="H120" si="25">ROUND(F120*G120,2)</f>
        <v>0</v>
      </c>
      <c r="I120" s="4028"/>
      <c r="J120" s="2892" t="s">
        <v>60</v>
      </c>
      <c r="K120" s="2867"/>
      <c r="L120" s="2868"/>
      <c r="M120" s="5150"/>
      <c r="U120" s="4984"/>
    </row>
    <row r="121" spans="1:122" s="2356" customFormat="1" ht="13.5" customHeight="1">
      <c r="A121" s="2887"/>
      <c r="B121" s="2893"/>
      <c r="C121" s="2893"/>
      <c r="D121" s="2882" t="s">
        <v>8555</v>
      </c>
      <c r="E121" s="2893"/>
      <c r="F121" s="2894">
        <v>1</v>
      </c>
      <c r="G121" s="2885"/>
      <c r="H121" s="3974"/>
      <c r="I121" s="4027"/>
      <c r="J121" s="2895"/>
      <c r="K121" s="2867"/>
      <c r="M121" s="5150"/>
      <c r="U121" s="4984"/>
    </row>
    <row r="122" spans="1:122" s="2394" customFormat="1" ht="13.5" customHeight="1">
      <c r="A122" s="2880"/>
      <c r="B122" s="2881"/>
      <c r="C122" s="2896"/>
      <c r="D122" s="2882" t="s">
        <v>8556</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8557</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8448</v>
      </c>
      <c r="C124" s="2888" t="s">
        <v>8558</v>
      </c>
      <c r="D124" s="2889" t="s">
        <v>8559</v>
      </c>
      <c r="E124" s="2889" t="s">
        <v>23</v>
      </c>
      <c r="F124" s="3693">
        <f>ROUND(SUM(F125),3)</f>
        <v>1</v>
      </c>
      <c r="G124" s="2891"/>
      <c r="H124" s="3976">
        <f t="shared" ref="H124" si="26">ROUND(F124*G124,2)</f>
        <v>0</v>
      </c>
      <c r="I124" s="4029"/>
      <c r="J124" s="2892" t="s">
        <v>60</v>
      </c>
      <c r="K124" s="2867"/>
      <c r="L124" s="2868"/>
      <c r="M124" s="5150"/>
      <c r="U124" s="4984"/>
    </row>
    <row r="125" spans="1:122" s="2356" customFormat="1" ht="13.5" customHeight="1">
      <c r="A125" s="3694"/>
      <c r="B125" s="3695"/>
      <c r="C125" s="3695"/>
      <c r="D125" s="3696" t="s">
        <v>8560</v>
      </c>
      <c r="E125" s="3695"/>
      <c r="F125" s="3697">
        <v>1</v>
      </c>
      <c r="G125" s="3698"/>
      <c r="H125" s="3862"/>
      <c r="I125" s="4030"/>
      <c r="J125" s="3332"/>
      <c r="K125" s="2873"/>
      <c r="L125" s="5156"/>
      <c r="M125" s="5150"/>
      <c r="U125" s="4984"/>
    </row>
    <row r="126" spans="1:122" s="2394" customFormat="1" ht="27" customHeight="1">
      <c r="A126" s="3699"/>
      <c r="B126" s="3700"/>
      <c r="C126" s="3701"/>
      <c r="D126" s="3696" t="s">
        <v>8561</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8540</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8448</v>
      </c>
      <c r="C128" s="3695" t="s">
        <v>8562</v>
      </c>
      <c r="D128" s="3695" t="s">
        <v>8563</v>
      </c>
      <c r="E128" s="3695" t="s">
        <v>23</v>
      </c>
      <c r="F128" s="2890">
        <f>ROUND(SUM(F129),3)</f>
        <v>1</v>
      </c>
      <c r="G128" s="3698"/>
      <c r="H128" s="3975">
        <f t="shared" ref="H128" si="27">ROUND(F128*G128,2)</f>
        <v>0</v>
      </c>
      <c r="I128" s="4028"/>
      <c r="J128" s="3332" t="s">
        <v>60</v>
      </c>
      <c r="K128" s="2873"/>
      <c r="L128" s="2868"/>
      <c r="M128" s="5150"/>
      <c r="U128" s="4984"/>
    </row>
    <row r="129" spans="1:122" s="2356" customFormat="1" ht="13.5" customHeight="1">
      <c r="A129" s="3694"/>
      <c r="B129" s="3695"/>
      <c r="C129" s="3695"/>
      <c r="D129" s="3696" t="s">
        <v>8564</v>
      </c>
      <c r="E129" s="3695"/>
      <c r="F129" s="3697">
        <v>1</v>
      </c>
      <c r="G129" s="3698"/>
      <c r="H129" s="3862"/>
      <c r="I129" s="4030"/>
      <c r="J129" s="3332"/>
      <c r="K129" s="2873"/>
      <c r="L129" s="5156"/>
      <c r="M129" s="5150"/>
      <c r="U129" s="4984"/>
    </row>
    <row r="130" spans="1:122" s="2394" customFormat="1" ht="27" customHeight="1">
      <c r="A130" s="3699"/>
      <c r="B130" s="3700"/>
      <c r="C130" s="3701"/>
      <c r="D130" s="3696" t="s">
        <v>8561</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8540</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8448</v>
      </c>
      <c r="C132" s="3695" t="s">
        <v>8565</v>
      </c>
      <c r="D132" s="3695" t="s">
        <v>8566</v>
      </c>
      <c r="E132" s="3695" t="s">
        <v>23</v>
      </c>
      <c r="F132" s="2890">
        <f>ROUND(SUM(F133),3)</f>
        <v>1</v>
      </c>
      <c r="G132" s="3698"/>
      <c r="H132" s="3975">
        <f t="shared" ref="H132" si="28">ROUND(F132*G132,2)</f>
        <v>0</v>
      </c>
      <c r="I132" s="4028"/>
      <c r="J132" s="3332" t="s">
        <v>60</v>
      </c>
      <c r="K132" s="2873"/>
      <c r="L132" s="2868"/>
      <c r="M132" s="5150"/>
      <c r="U132" s="4984"/>
    </row>
    <row r="133" spans="1:122" s="2356" customFormat="1" ht="13.5" customHeight="1">
      <c r="A133" s="3694"/>
      <c r="B133" s="3695"/>
      <c r="C133" s="3695"/>
      <c r="D133" s="3696" t="s">
        <v>8567</v>
      </c>
      <c r="E133" s="3695"/>
      <c r="F133" s="3697">
        <v>1</v>
      </c>
      <c r="G133" s="3698"/>
      <c r="H133" s="3862"/>
      <c r="I133" s="4030"/>
      <c r="J133" s="3332"/>
      <c r="K133" s="2873"/>
      <c r="L133" s="5156"/>
      <c r="M133" s="5150"/>
      <c r="U133" s="4984"/>
    </row>
    <row r="134" spans="1:122" s="2394" customFormat="1" ht="13.5" customHeight="1">
      <c r="A134" s="3699"/>
      <c r="B134" s="3700"/>
      <c r="C134" s="3701"/>
      <c r="D134" s="3696" t="s">
        <v>8568</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8540</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8448</v>
      </c>
      <c r="C136" s="3695" t="s">
        <v>8569</v>
      </c>
      <c r="D136" s="3695" t="s">
        <v>8570</v>
      </c>
      <c r="E136" s="3695" t="s">
        <v>23</v>
      </c>
      <c r="F136" s="2890">
        <f>ROUND(SUM(F137),3)</f>
        <v>1</v>
      </c>
      <c r="G136" s="3698"/>
      <c r="H136" s="3975">
        <f t="shared" ref="H136" si="29">ROUND(F136*G136,2)</f>
        <v>0</v>
      </c>
      <c r="I136" s="4028"/>
      <c r="J136" s="3332" t="s">
        <v>60</v>
      </c>
      <c r="K136" s="2873"/>
      <c r="L136" s="2868"/>
      <c r="M136" s="5150"/>
      <c r="U136" s="4984"/>
    </row>
    <row r="137" spans="1:122" s="2356" customFormat="1" ht="13.5" customHeight="1">
      <c r="A137" s="3694"/>
      <c r="B137" s="3695"/>
      <c r="C137" s="3695"/>
      <c r="D137" s="3696" t="s">
        <v>8571</v>
      </c>
      <c r="E137" s="3695"/>
      <c r="F137" s="3697">
        <v>1</v>
      </c>
      <c r="G137" s="3698"/>
      <c r="H137" s="3862"/>
      <c r="I137" s="4030"/>
      <c r="J137" s="3332"/>
      <c r="K137" s="2873"/>
      <c r="L137" s="4859"/>
      <c r="M137" s="5150"/>
      <c r="U137" s="4984"/>
    </row>
    <row r="138" spans="1:122" s="2394" customFormat="1" ht="13.5" customHeight="1">
      <c r="A138" s="3699"/>
      <c r="B138" s="3700"/>
      <c r="C138" s="3701"/>
      <c r="D138" s="3696" t="s">
        <v>8572</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8540</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8448</v>
      </c>
      <c r="C140" s="3695" t="s">
        <v>8573</v>
      </c>
      <c r="D140" s="3695" t="s">
        <v>8574</v>
      </c>
      <c r="E140" s="3695" t="s">
        <v>23</v>
      </c>
      <c r="F140" s="2890">
        <f>ROUND(SUM(F141),3)</f>
        <v>1</v>
      </c>
      <c r="G140" s="3698"/>
      <c r="H140" s="3975">
        <f t="shared" ref="H140" si="30">ROUND(F140*G140,2)</f>
        <v>0</v>
      </c>
      <c r="I140" s="4028"/>
      <c r="J140" s="3332" t="s">
        <v>60</v>
      </c>
      <c r="K140" s="2873"/>
      <c r="L140" s="2868"/>
      <c r="M140" s="5150"/>
      <c r="U140" s="4984"/>
    </row>
    <row r="141" spans="1:122" s="2356" customFormat="1" ht="13.5" customHeight="1">
      <c r="A141" s="3694"/>
      <c r="B141" s="3695"/>
      <c r="C141" s="3695"/>
      <c r="D141" s="3696" t="s">
        <v>8575</v>
      </c>
      <c r="E141" s="3695"/>
      <c r="F141" s="3697">
        <v>1</v>
      </c>
      <c r="G141" s="3698"/>
      <c r="H141" s="3862"/>
      <c r="I141" s="4030"/>
      <c r="J141" s="3332"/>
      <c r="K141" s="2873"/>
      <c r="L141" s="5149"/>
      <c r="M141" s="5150"/>
      <c r="U141" s="4984"/>
    </row>
    <row r="142" spans="1:122" s="2394" customFormat="1" ht="13.5" customHeight="1">
      <c r="A142" s="3699"/>
      <c r="B142" s="3700"/>
      <c r="C142" s="3701"/>
      <c r="D142" s="3696" t="s">
        <v>8576</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8540</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8448</v>
      </c>
      <c r="C144" s="3695" t="s">
        <v>8577</v>
      </c>
      <c r="D144" s="3695" t="s">
        <v>8578</v>
      </c>
      <c r="E144" s="3695" t="s">
        <v>23</v>
      </c>
      <c r="F144" s="2890">
        <f>ROUND(SUM(F145),3)</f>
        <v>1</v>
      </c>
      <c r="G144" s="3698"/>
      <c r="H144" s="3975">
        <f t="shared" ref="H144" si="31">ROUND(F144*G144,2)</f>
        <v>0</v>
      </c>
      <c r="I144" s="4028"/>
      <c r="J144" s="3332" t="s">
        <v>60</v>
      </c>
      <c r="K144" s="2873"/>
      <c r="L144" s="2868"/>
      <c r="M144" s="5150"/>
      <c r="U144" s="4984"/>
    </row>
    <row r="145" spans="1:122" s="2356" customFormat="1" ht="13.5" customHeight="1">
      <c r="A145" s="3694"/>
      <c r="B145" s="3695"/>
      <c r="C145" s="3695"/>
      <c r="D145" s="3696" t="s">
        <v>8579</v>
      </c>
      <c r="E145" s="3695"/>
      <c r="F145" s="3697">
        <v>1</v>
      </c>
      <c r="G145" s="3698"/>
      <c r="H145" s="3862"/>
      <c r="I145" s="4030"/>
      <c r="J145" s="3332"/>
      <c r="K145" s="3692"/>
      <c r="L145" s="5149"/>
      <c r="M145" s="5150"/>
      <c r="U145" s="4984"/>
    </row>
    <row r="146" spans="1:122" s="2394" customFormat="1" ht="13.5" customHeight="1">
      <c r="A146" s="3699"/>
      <c r="B146" s="3700"/>
      <c r="C146" s="3701"/>
      <c r="D146" s="3696" t="s">
        <v>8580</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8581</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8582</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8583</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8584</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8448</v>
      </c>
      <c r="C151" s="3330">
        <v>998731201</v>
      </c>
      <c r="D151" s="3330" t="s">
        <v>8585</v>
      </c>
      <c r="E151" s="3330" t="s">
        <v>8</v>
      </c>
      <c r="F151" s="3346">
        <v>2.81</v>
      </c>
      <c r="G151" s="3331"/>
      <c r="H151" s="3975">
        <f t="shared" ref="H151:H152" si="32">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8586</v>
      </c>
      <c r="D152" s="3330" t="s">
        <v>8587</v>
      </c>
      <c r="E152" s="3330" t="s">
        <v>191</v>
      </c>
      <c r="F152" s="2890">
        <f>ROUND(SUM(F153),3)</f>
        <v>15</v>
      </c>
      <c r="G152" s="3331"/>
      <c r="H152" s="3975">
        <f t="shared" si="32"/>
        <v>0</v>
      </c>
      <c r="I152" s="4028"/>
      <c r="J152" s="3332" t="s">
        <v>863</v>
      </c>
    </row>
    <row r="153" spans="1:122" s="1291" customFormat="1" ht="13.5" customHeight="1">
      <c r="A153" s="3090"/>
      <c r="B153" s="3091"/>
      <c r="C153" s="3092"/>
      <c r="D153" s="3710" t="s">
        <v>8588</v>
      </c>
      <c r="E153" s="3343"/>
      <c r="F153" s="3202">
        <v>15</v>
      </c>
      <c r="G153" s="3095"/>
      <c r="H153" s="3977"/>
      <c r="I153" s="4031"/>
      <c r="J153" s="3096"/>
      <c r="K153" s="1290"/>
      <c r="V153" s="1292"/>
      <c r="X153" s="1292"/>
    </row>
    <row r="154" spans="1:122" s="1291" customFormat="1" ht="27" customHeight="1">
      <c r="A154" s="3090"/>
      <c r="B154" s="3091"/>
      <c r="C154" s="3092"/>
      <c r="D154" s="3710" t="s">
        <v>8589</v>
      </c>
      <c r="E154" s="3343"/>
      <c r="F154" s="3202"/>
      <c r="G154" s="3095"/>
      <c r="H154" s="3977"/>
      <c r="I154" s="4031"/>
      <c r="J154" s="3096"/>
      <c r="K154" s="1290"/>
      <c r="V154" s="1292"/>
      <c r="X154" s="1292"/>
    </row>
    <row r="155" spans="1:122" s="120" customFormat="1" ht="13.5" customHeight="1">
      <c r="A155" s="3329"/>
      <c r="B155" s="3330"/>
      <c r="C155" s="3711">
        <v>733</v>
      </c>
      <c r="D155" s="3711" t="s">
        <v>8590</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8591</v>
      </c>
      <c r="D156" s="3330" t="s">
        <v>8592</v>
      </c>
      <c r="E156" s="3330" t="s">
        <v>141</v>
      </c>
      <c r="F156" s="2890">
        <f>ROUND(SUM(F161),3)</f>
        <v>367.5</v>
      </c>
      <c r="G156" s="3709">
        <f>ROUND(SUM(H158:H160)/F156,2)</f>
        <v>0</v>
      </c>
      <c r="H156" s="3975">
        <f t="shared" ref="H156" si="33">ROUND(F156*G156,2)</f>
        <v>0</v>
      </c>
      <c r="I156" s="4028"/>
      <c r="J156" s="3332" t="s">
        <v>60</v>
      </c>
      <c r="K156" s="2900"/>
    </row>
    <row r="157" spans="1:122" s="2373" customFormat="1" ht="40.5" customHeight="1">
      <c r="A157" s="3694"/>
      <c r="B157" s="3714"/>
      <c r="C157" s="3715"/>
      <c r="D157" s="3696" t="s">
        <v>8593</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8591</v>
      </c>
      <c r="D158" s="3696" t="s">
        <v>8594</v>
      </c>
      <c r="E158" s="3718" t="s">
        <v>141</v>
      </c>
      <c r="F158" s="3702">
        <f>(367.5)*1.1</f>
        <v>404.25000000000006</v>
      </c>
      <c r="G158" s="3719"/>
      <c r="H158" s="3870">
        <f t="shared" ref="H158:H160" si="34">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8595</v>
      </c>
      <c r="E159" s="3718" t="s">
        <v>141</v>
      </c>
      <c r="F159" s="3702">
        <f>F156</f>
        <v>367.5</v>
      </c>
      <c r="G159" s="3719"/>
      <c r="H159" s="3870">
        <f t="shared" si="34"/>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6570</v>
      </c>
      <c r="D160" s="3723" t="s">
        <v>8596</v>
      </c>
      <c r="E160" s="3722" t="s">
        <v>141</v>
      </c>
      <c r="F160" s="3724">
        <f>(367.5)*1.1</f>
        <v>404.25000000000006</v>
      </c>
      <c r="G160" s="3725"/>
      <c r="H160" s="3979">
        <f t="shared" si="34"/>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8597</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8598</v>
      </c>
      <c r="D163" s="3330" t="s">
        <v>8599</v>
      </c>
      <c r="E163" s="3330" t="s">
        <v>141</v>
      </c>
      <c r="F163" s="2890">
        <f>ROUND(SUM(F168),3)</f>
        <v>10.5</v>
      </c>
      <c r="G163" s="3709">
        <f>ROUND(SUM(H165:H167)/F163,2)</f>
        <v>0</v>
      </c>
      <c r="H163" s="3975">
        <f t="shared" ref="H163" si="35">ROUND(F163*G163,2)</f>
        <v>0</v>
      </c>
      <c r="I163" s="4028"/>
      <c r="J163" s="3332" t="s">
        <v>60</v>
      </c>
      <c r="K163" s="2900"/>
    </row>
    <row r="164" spans="1:90" s="2373" customFormat="1" ht="40.5" customHeight="1">
      <c r="A164" s="3694"/>
      <c r="B164" s="3714"/>
      <c r="C164" s="3715"/>
      <c r="D164" s="3696" t="s">
        <v>8593</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8598</v>
      </c>
      <c r="D165" s="3696" t="s">
        <v>8600</v>
      </c>
      <c r="E165" s="3718" t="s">
        <v>141</v>
      </c>
      <c r="F165" s="3702">
        <f>(10.5)*1.1</f>
        <v>11.55</v>
      </c>
      <c r="G165" s="3719"/>
      <c r="H165" s="3870">
        <f t="shared" ref="H165:H167" si="36">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8601</v>
      </c>
      <c r="E166" s="3718" t="s">
        <v>141</v>
      </c>
      <c r="F166" s="3702">
        <f>F163</f>
        <v>10.5</v>
      </c>
      <c r="G166" s="3719"/>
      <c r="H166" s="3870">
        <f t="shared" si="36"/>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8602</v>
      </c>
      <c r="D167" s="3723" t="s">
        <v>8603</v>
      </c>
      <c r="E167" s="3722" t="s">
        <v>141</v>
      </c>
      <c r="F167" s="3724">
        <f>(10.5)*1.1</f>
        <v>11.55</v>
      </c>
      <c r="G167" s="3725"/>
      <c r="H167" s="3979">
        <f t="shared" si="36"/>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8597</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8604</v>
      </c>
      <c r="D170" s="3330" t="s">
        <v>8605</v>
      </c>
      <c r="E170" s="3330" t="s">
        <v>141</v>
      </c>
      <c r="F170" s="2890">
        <f>ROUND(SUM(F175),3)</f>
        <v>84</v>
      </c>
      <c r="G170" s="3709">
        <f>ROUND(SUM(H172:H174)/F170,2)</f>
        <v>0</v>
      </c>
      <c r="H170" s="3975">
        <f t="shared" ref="H170" si="37">ROUND(F170*G170,2)</f>
        <v>0</v>
      </c>
      <c r="I170" s="4028"/>
      <c r="J170" s="3332" t="s">
        <v>60</v>
      </c>
      <c r="K170" s="2903"/>
    </row>
    <row r="171" spans="1:90" s="2373" customFormat="1" ht="40.5" customHeight="1">
      <c r="A171" s="3694"/>
      <c r="B171" s="3714"/>
      <c r="C171" s="3715"/>
      <c r="D171" s="3696" t="s">
        <v>8593</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8604</v>
      </c>
      <c r="D172" s="3696" t="s">
        <v>8606</v>
      </c>
      <c r="E172" s="3718" t="s">
        <v>141</v>
      </c>
      <c r="F172" s="3702">
        <f xml:space="preserve"> (84)*1.1</f>
        <v>92.4</v>
      </c>
      <c r="G172" s="3719"/>
      <c r="H172" s="3870">
        <f t="shared" ref="H172:H174" si="38">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8607</v>
      </c>
      <c r="E173" s="3718" t="s">
        <v>141</v>
      </c>
      <c r="F173" s="3702">
        <f>F170</f>
        <v>84</v>
      </c>
      <c r="G173" s="3719"/>
      <c r="H173" s="3870">
        <f t="shared" si="38"/>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8602</v>
      </c>
      <c r="D174" s="3723" t="s">
        <v>8608</v>
      </c>
      <c r="E174" s="3722" t="s">
        <v>141</v>
      </c>
      <c r="F174" s="3724">
        <f>(84)*1.1</f>
        <v>92.4</v>
      </c>
      <c r="G174" s="3725"/>
      <c r="H174" s="3979">
        <f t="shared" si="38"/>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8597</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8609</v>
      </c>
      <c r="D177" s="3330" t="s">
        <v>8610</v>
      </c>
      <c r="E177" s="3330" t="s">
        <v>141</v>
      </c>
      <c r="F177" s="2890">
        <f>ROUND(SUM(F182),3)</f>
        <v>52.5</v>
      </c>
      <c r="G177" s="3709">
        <f>ROUND(SUM(H179:H181)/F177,2)</f>
        <v>0</v>
      </c>
      <c r="H177" s="3975">
        <f t="shared" ref="H177" si="39">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8593</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8609</v>
      </c>
      <c r="D179" s="3696" t="s">
        <v>8611</v>
      </c>
      <c r="E179" s="3718" t="s">
        <v>141</v>
      </c>
      <c r="F179" s="3702">
        <f>(52.5)*1.1</f>
        <v>57.750000000000007</v>
      </c>
      <c r="G179" s="3719"/>
      <c r="H179" s="3870">
        <f t="shared" ref="H179:H181" si="40">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8612</v>
      </c>
      <c r="E180" s="3718" t="s">
        <v>141</v>
      </c>
      <c r="F180" s="3702">
        <f>F177</f>
        <v>52.5</v>
      </c>
      <c r="G180" s="3719"/>
      <c r="H180" s="3870">
        <f t="shared" si="40"/>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6617</v>
      </c>
      <c r="D181" s="3723" t="s">
        <v>8613</v>
      </c>
      <c r="E181" s="3722" t="s">
        <v>141</v>
      </c>
      <c r="F181" s="3724">
        <f>(52.5)*1.1</f>
        <v>57.750000000000007</v>
      </c>
      <c r="G181" s="3725"/>
      <c r="H181" s="3979">
        <f t="shared" si="40"/>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8597</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8614</v>
      </c>
      <c r="D184" s="3330" t="s">
        <v>8615</v>
      </c>
      <c r="E184" s="3330" t="s">
        <v>141</v>
      </c>
      <c r="F184" s="2890">
        <f>ROUND(SUM(F189),3)</f>
        <v>273</v>
      </c>
      <c r="G184" s="3709">
        <f>ROUND(SUM(H186:H188)/F184,2)</f>
        <v>0</v>
      </c>
      <c r="H184" s="3975">
        <f t="shared" ref="H184" si="41">ROUND(F184*G184,2)</f>
        <v>0</v>
      </c>
      <c r="I184" s="4028"/>
      <c r="J184" s="3332" t="s">
        <v>60</v>
      </c>
      <c r="K184" s="2903"/>
      <c r="V184" s="5161"/>
    </row>
    <row r="185" spans="1:90" s="2373" customFormat="1" ht="40.5" customHeight="1">
      <c r="A185" s="3694"/>
      <c r="B185" s="3714"/>
      <c r="C185" s="3715"/>
      <c r="D185" s="3696" t="s">
        <v>8593</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8614</v>
      </c>
      <c r="D186" s="3696" t="s">
        <v>8616</v>
      </c>
      <c r="E186" s="3718" t="s">
        <v>141</v>
      </c>
      <c r="F186" s="3702">
        <f>(273)*1.1</f>
        <v>300.3</v>
      </c>
      <c r="G186" s="3719"/>
      <c r="H186" s="3870">
        <f t="shared" ref="H186:H188" si="42">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8617</v>
      </c>
      <c r="E187" s="3718" t="s">
        <v>141</v>
      </c>
      <c r="F187" s="3702">
        <f>F184</f>
        <v>273</v>
      </c>
      <c r="G187" s="3719"/>
      <c r="H187" s="3870">
        <f t="shared" si="42"/>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6635</v>
      </c>
      <c r="D188" s="3723" t="s">
        <v>8618</v>
      </c>
      <c r="E188" s="3722" t="s">
        <v>141</v>
      </c>
      <c r="F188" s="3724">
        <f>(273)*1.1</f>
        <v>300.3</v>
      </c>
      <c r="G188" s="3725"/>
      <c r="H188" s="3979">
        <f t="shared" si="42"/>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8597</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8619</v>
      </c>
      <c r="D191" s="3330" t="s">
        <v>8620</v>
      </c>
      <c r="E191" s="3330" t="s">
        <v>141</v>
      </c>
      <c r="F191" s="2890">
        <f>ROUND(SUM(F196),3)</f>
        <v>178.5</v>
      </c>
      <c r="G191" s="3709">
        <f>ROUND(SUM(H193:H195)/F191,2)</f>
        <v>0</v>
      </c>
      <c r="H191" s="3975">
        <f t="shared" ref="H191" si="43">ROUND(F191*G191,2)</f>
        <v>0</v>
      </c>
      <c r="I191" s="4028"/>
      <c r="J191" s="3332" t="s">
        <v>60</v>
      </c>
      <c r="K191" s="2903"/>
    </row>
    <row r="192" spans="1:90" s="2373" customFormat="1" ht="40.5" customHeight="1">
      <c r="A192" s="3694"/>
      <c r="B192" s="3714"/>
      <c r="C192" s="3715"/>
      <c r="D192" s="3696" t="s">
        <v>8593</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8619</v>
      </c>
      <c r="D193" s="3696" t="s">
        <v>8621</v>
      </c>
      <c r="E193" s="3718" t="s">
        <v>141</v>
      </c>
      <c r="F193" s="3702">
        <f xml:space="preserve"> (178.5)*1.1</f>
        <v>196.35000000000002</v>
      </c>
      <c r="G193" s="3719"/>
      <c r="H193" s="3870">
        <f t="shared" ref="H193:H195" si="44">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8622</v>
      </c>
      <c r="E194" s="3718" t="s">
        <v>141</v>
      </c>
      <c r="F194" s="3702">
        <f>F191</f>
        <v>178.5</v>
      </c>
      <c r="G194" s="3719"/>
      <c r="H194" s="3870">
        <f t="shared" si="44"/>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6650</v>
      </c>
      <c r="D195" s="3723" t="s">
        <v>8623</v>
      </c>
      <c r="E195" s="3722" t="s">
        <v>141</v>
      </c>
      <c r="F195" s="3724">
        <f>(178.5)*1.1</f>
        <v>196.35000000000002</v>
      </c>
      <c r="G195" s="3725"/>
      <c r="H195" s="3979">
        <f t="shared" si="44"/>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8597</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8624</v>
      </c>
      <c r="D198" s="3330" t="s">
        <v>8625</v>
      </c>
      <c r="E198" s="3330" t="s">
        <v>141</v>
      </c>
      <c r="F198" s="2890">
        <f>ROUND(SUM(F203),3)</f>
        <v>52.5</v>
      </c>
      <c r="G198" s="3709">
        <f>ROUND(SUM(H200:H202)/F198,2)</f>
        <v>0</v>
      </c>
      <c r="H198" s="3975">
        <f t="shared" ref="H198" si="45">ROUND(F198*G198,2)</f>
        <v>0</v>
      </c>
      <c r="I198" s="4028"/>
      <c r="J198" s="3332" t="s">
        <v>60</v>
      </c>
      <c r="K198" s="2903"/>
    </row>
    <row r="199" spans="1:90" s="2373" customFormat="1" ht="40.5" customHeight="1">
      <c r="A199" s="3694"/>
      <c r="B199" s="3714"/>
      <c r="C199" s="3715"/>
      <c r="D199" s="3696" t="s">
        <v>8593</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8624</v>
      </c>
      <c r="D200" s="3696" t="s">
        <v>8626</v>
      </c>
      <c r="E200" s="3718" t="s">
        <v>141</v>
      </c>
      <c r="F200" s="3702">
        <f>(52.5)*1.1</f>
        <v>57.750000000000007</v>
      </c>
      <c r="G200" s="3719"/>
      <c r="H200" s="3870">
        <f t="shared" ref="H200:H202" si="46">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8627</v>
      </c>
      <c r="E201" s="3718" t="s">
        <v>141</v>
      </c>
      <c r="F201" s="3702">
        <f>F198</f>
        <v>52.5</v>
      </c>
      <c r="G201" s="3719"/>
      <c r="H201" s="3870">
        <f t="shared" si="46"/>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6662</v>
      </c>
      <c r="D202" s="3723" t="s">
        <v>8628</v>
      </c>
      <c r="E202" s="3722" t="s">
        <v>141</v>
      </c>
      <c r="F202" s="3724">
        <f>(52.5)*1.1</f>
        <v>57.750000000000007</v>
      </c>
      <c r="G202" s="3725"/>
      <c r="H202" s="3979">
        <f t="shared" si="46"/>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8597</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8629</v>
      </c>
      <c r="D205" s="3330" t="s">
        <v>8630</v>
      </c>
      <c r="E205" s="3330" t="s">
        <v>141</v>
      </c>
      <c r="F205" s="2890">
        <f>ROUND(SUM(F210),3)</f>
        <v>47.3</v>
      </c>
      <c r="G205" s="3709">
        <f>ROUND(SUM(H207:H209)/F205,2)</f>
        <v>0</v>
      </c>
      <c r="H205" s="3975">
        <f t="shared" ref="H205" si="47">ROUND(F205*G205,2)</f>
        <v>0</v>
      </c>
      <c r="I205" s="4028"/>
      <c r="J205" s="3332" t="s">
        <v>60</v>
      </c>
      <c r="K205" s="2903"/>
    </row>
    <row r="206" spans="1:90" s="2373" customFormat="1" ht="40.5" customHeight="1">
      <c r="A206" s="3694"/>
      <c r="B206" s="3714"/>
      <c r="C206" s="3715"/>
      <c r="D206" s="3696" t="s">
        <v>8593</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8629</v>
      </c>
      <c r="D207" s="3696" t="s">
        <v>8631</v>
      </c>
      <c r="E207" s="3718" t="s">
        <v>141</v>
      </c>
      <c r="F207" s="3702">
        <f>(47.3)*1.1</f>
        <v>52.03</v>
      </c>
      <c r="G207" s="3719"/>
      <c r="H207" s="3870">
        <f t="shared" ref="H207:H209" si="48">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8632</v>
      </c>
      <c r="E208" s="3718" t="s">
        <v>141</v>
      </c>
      <c r="F208" s="3702">
        <f>F205</f>
        <v>47.3</v>
      </c>
      <c r="G208" s="3719"/>
      <c r="H208" s="3870">
        <f t="shared" si="48"/>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8633</v>
      </c>
      <c r="D209" s="3723" t="s">
        <v>10436</v>
      </c>
      <c r="E209" s="3722" t="s">
        <v>141</v>
      </c>
      <c r="F209" s="3724">
        <f>(47.3)*1.1</f>
        <v>52.03</v>
      </c>
      <c r="G209" s="3725"/>
      <c r="H209" s="3979">
        <f t="shared" si="48"/>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8597</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8634</v>
      </c>
      <c r="D212" s="3330" t="s">
        <v>8635</v>
      </c>
      <c r="E212" s="3330" t="s">
        <v>141</v>
      </c>
      <c r="F212" s="2890">
        <f>ROUND(SUM(F217),3)</f>
        <v>63</v>
      </c>
      <c r="G212" s="3709">
        <f>ROUND(SUM(H214:H216)/F212,2)</f>
        <v>0</v>
      </c>
      <c r="H212" s="3975">
        <f t="shared" ref="H212" si="49">ROUND(F212*G212,2)</f>
        <v>0</v>
      </c>
      <c r="I212" s="4028"/>
      <c r="J212" s="3332" t="s">
        <v>60</v>
      </c>
      <c r="K212" s="2903"/>
    </row>
    <row r="213" spans="1:90" s="2373" customFormat="1" ht="40.5" customHeight="1">
      <c r="A213" s="3694"/>
      <c r="B213" s="3714"/>
      <c r="C213" s="3715"/>
      <c r="D213" s="3696" t="s">
        <v>8593</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8634</v>
      </c>
      <c r="D214" s="3696" t="s">
        <v>8636</v>
      </c>
      <c r="E214" s="3718" t="s">
        <v>141</v>
      </c>
      <c r="F214" s="3702">
        <f xml:space="preserve"> (63)*1.1</f>
        <v>69.300000000000011</v>
      </c>
      <c r="G214" s="3719"/>
      <c r="H214" s="3870">
        <f t="shared" ref="H214:H216" si="50">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8637</v>
      </c>
      <c r="E215" s="3718" t="s">
        <v>141</v>
      </c>
      <c r="F215" s="3702">
        <f>F212</f>
        <v>63</v>
      </c>
      <c r="G215" s="3719"/>
      <c r="H215" s="3870">
        <f t="shared" si="50"/>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8638</v>
      </c>
      <c r="D216" s="3723" t="s">
        <v>10437</v>
      </c>
      <c r="E216" s="3722" t="s">
        <v>141</v>
      </c>
      <c r="F216" s="3724">
        <f>(63)*1.1</f>
        <v>69.300000000000011</v>
      </c>
      <c r="G216" s="3725"/>
      <c r="H216" s="3979">
        <f t="shared" si="50"/>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8597</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8639</v>
      </c>
      <c r="D219" s="3330" t="s">
        <v>8640</v>
      </c>
      <c r="E219" s="3330" t="s">
        <v>141</v>
      </c>
      <c r="F219" s="2890">
        <f>ROUND(SUM(F224),3)</f>
        <v>21</v>
      </c>
      <c r="G219" s="3709">
        <f>ROUND(SUM(H221:H223)/F219,2)</f>
        <v>0</v>
      </c>
      <c r="H219" s="3975">
        <f t="shared" ref="H219" si="51">ROUND(F219*G219,2)</f>
        <v>0</v>
      </c>
      <c r="I219" s="4028"/>
      <c r="J219" s="3332" t="s">
        <v>60</v>
      </c>
      <c r="K219" s="2903"/>
    </row>
    <row r="220" spans="1:90" s="2373" customFormat="1" ht="40.5" customHeight="1">
      <c r="A220" s="3694"/>
      <c r="B220" s="3714"/>
      <c r="C220" s="3715"/>
      <c r="D220" s="3696" t="s">
        <v>8593</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8639</v>
      </c>
      <c r="D221" s="3696" t="s">
        <v>8641</v>
      </c>
      <c r="E221" s="3718" t="s">
        <v>141</v>
      </c>
      <c r="F221" s="3702">
        <f>(21)*1.1</f>
        <v>23.1</v>
      </c>
      <c r="G221" s="3719"/>
      <c r="H221" s="3870">
        <f t="shared" ref="H221:H223" si="52">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8642</v>
      </c>
      <c r="E222" s="3718" t="s">
        <v>141</v>
      </c>
      <c r="F222" s="3702">
        <f>F219</f>
        <v>21</v>
      </c>
      <c r="G222" s="3719"/>
      <c r="H222" s="3870">
        <f t="shared" si="52"/>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8643</v>
      </c>
      <c r="D223" s="3723" t="s">
        <v>8644</v>
      </c>
      <c r="E223" s="3722" t="s">
        <v>141</v>
      </c>
      <c r="F223" s="3724">
        <f>(21)*1.1</f>
        <v>23.1</v>
      </c>
      <c r="G223" s="3725"/>
      <c r="H223" s="3979">
        <f t="shared" si="52"/>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8597</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8645</v>
      </c>
      <c r="D226" s="3695" t="s">
        <v>8646</v>
      </c>
      <c r="E226" s="3695" t="s">
        <v>23</v>
      </c>
      <c r="F226" s="2890">
        <f>ROUND(SUM(F227),3)</f>
        <v>1</v>
      </c>
      <c r="G226" s="3698"/>
      <c r="H226" s="3975">
        <f t="shared" ref="H226" si="53">ROUND(F226*G226,2)</f>
        <v>0</v>
      </c>
      <c r="I226" s="4028"/>
      <c r="J226" s="3726" t="s">
        <v>60</v>
      </c>
      <c r="K226" s="2904"/>
      <c r="L226" s="5169"/>
      <c r="S226" s="4884"/>
    </row>
    <row r="227" spans="1:90" s="2356" customFormat="1" ht="13.5" customHeight="1">
      <c r="A227" s="3694"/>
      <c r="B227" s="3695"/>
      <c r="C227" s="3695"/>
      <c r="D227" s="3696" t="s">
        <v>8647</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8648</v>
      </c>
      <c r="E228" s="3695" t="s">
        <v>141</v>
      </c>
      <c r="F228" s="2890">
        <f>ROUND(SUM(F230:F234),3)</f>
        <v>787.5</v>
      </c>
      <c r="G228" s="3698"/>
      <c r="H228" s="3975">
        <f t="shared" ref="H228" si="54">ROUND(F228*G228,2)</f>
        <v>0</v>
      </c>
      <c r="I228" s="4028"/>
      <c r="J228" s="3726" t="s">
        <v>142</v>
      </c>
      <c r="K228" s="2904"/>
      <c r="L228" s="5169"/>
      <c r="S228" s="4884"/>
    </row>
    <row r="229" spans="1:90" s="2356" customFormat="1" ht="13.5" customHeight="1">
      <c r="A229" s="3694"/>
      <c r="B229" s="3695"/>
      <c r="C229" s="3695"/>
      <c r="D229" s="3696" t="s">
        <v>8649</v>
      </c>
      <c r="E229" s="3727"/>
      <c r="F229" s="3702"/>
      <c r="G229" s="3698"/>
      <c r="H229" s="3862"/>
      <c r="I229" s="4030"/>
      <c r="J229" s="3726"/>
      <c r="K229" s="2905"/>
      <c r="L229" s="5169"/>
      <c r="S229" s="4884"/>
    </row>
    <row r="230" spans="1:90" s="2356" customFormat="1" ht="13.5" customHeight="1">
      <c r="A230" s="3694"/>
      <c r="B230" s="3695"/>
      <c r="C230" s="3695"/>
      <c r="D230" s="3696" t="s">
        <v>8650</v>
      </c>
      <c r="E230" s="3727"/>
      <c r="F230" s="3702">
        <f>(367.5)</f>
        <v>367.5</v>
      </c>
      <c r="G230" s="3698"/>
      <c r="H230" s="3862"/>
      <c r="I230" s="4030"/>
      <c r="J230" s="3726"/>
      <c r="K230" s="2905"/>
      <c r="L230" s="5169"/>
      <c r="S230" s="4884"/>
    </row>
    <row r="231" spans="1:90" s="2356" customFormat="1" ht="13.5" customHeight="1">
      <c r="A231" s="3694"/>
      <c r="B231" s="3695"/>
      <c r="C231" s="3695"/>
      <c r="D231" s="3696" t="s">
        <v>8651</v>
      </c>
      <c r="E231" s="3727"/>
      <c r="F231" s="3702">
        <f>(10.5)</f>
        <v>10.5</v>
      </c>
      <c r="G231" s="3698"/>
      <c r="H231" s="3862"/>
      <c r="I231" s="4030"/>
      <c r="J231" s="3726"/>
      <c r="K231" s="2905"/>
      <c r="L231" s="5169"/>
      <c r="S231" s="4884"/>
    </row>
    <row r="232" spans="1:90" s="2356" customFormat="1" ht="13.5" customHeight="1">
      <c r="A232" s="3694"/>
      <c r="B232" s="3695"/>
      <c r="C232" s="3695"/>
      <c r="D232" s="3696" t="s">
        <v>8652</v>
      </c>
      <c r="E232" s="3727"/>
      <c r="F232" s="3702">
        <f>(84)</f>
        <v>84</v>
      </c>
      <c r="G232" s="3698"/>
      <c r="H232" s="3862"/>
      <c r="I232" s="4030"/>
      <c r="J232" s="3726"/>
      <c r="K232" s="2905"/>
      <c r="L232" s="5169"/>
      <c r="S232" s="4884"/>
    </row>
    <row r="233" spans="1:90" s="2356" customFormat="1" ht="13.5" customHeight="1">
      <c r="A233" s="3694"/>
      <c r="B233" s="3695"/>
      <c r="C233" s="3695"/>
      <c r="D233" s="3696" t="s">
        <v>8653</v>
      </c>
      <c r="E233" s="3727"/>
      <c r="F233" s="3702">
        <f>(52.5)</f>
        <v>52.5</v>
      </c>
      <c r="G233" s="3698"/>
      <c r="H233" s="3862"/>
      <c r="I233" s="4030"/>
      <c r="J233" s="3726"/>
      <c r="K233" s="2905"/>
      <c r="L233" s="5169"/>
      <c r="S233" s="4884"/>
    </row>
    <row r="234" spans="1:90" s="2356" customFormat="1" ht="13.5" customHeight="1">
      <c r="A234" s="3694"/>
      <c r="B234" s="3695"/>
      <c r="C234" s="3695"/>
      <c r="D234" s="3696" t="s">
        <v>8654</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8655</v>
      </c>
      <c r="E235" s="3695" t="s">
        <v>141</v>
      </c>
      <c r="F235" s="2890">
        <f>ROUND(SUM(F237:F239),3)</f>
        <v>278.3</v>
      </c>
      <c r="G235" s="3698"/>
      <c r="H235" s="3975">
        <f t="shared" ref="H235" si="55">ROUND(F235*G235,2)</f>
        <v>0</v>
      </c>
      <c r="I235" s="4028"/>
      <c r="J235" s="3726" t="s">
        <v>142</v>
      </c>
      <c r="K235" s="2907"/>
      <c r="L235" s="5169"/>
      <c r="S235" s="4884"/>
    </row>
    <row r="236" spans="1:90" s="2356" customFormat="1" ht="13.5" customHeight="1">
      <c r="A236" s="3694"/>
      <c r="B236" s="3695"/>
      <c r="C236" s="3695"/>
      <c r="D236" s="3696" t="s">
        <v>8649</v>
      </c>
      <c r="E236" s="3727"/>
      <c r="F236" s="3702"/>
      <c r="G236" s="3698"/>
      <c r="H236" s="3862"/>
      <c r="I236" s="4030"/>
      <c r="J236" s="3726"/>
      <c r="K236" s="2905"/>
      <c r="L236" s="5169"/>
      <c r="S236" s="4884"/>
    </row>
    <row r="237" spans="1:90" s="2356" customFormat="1" ht="13.5" customHeight="1">
      <c r="A237" s="3694"/>
      <c r="B237" s="3695"/>
      <c r="C237" s="3695"/>
      <c r="D237" s="3696" t="s">
        <v>8656</v>
      </c>
      <c r="E237" s="3727"/>
      <c r="F237" s="3702">
        <f>(178.5)</f>
        <v>178.5</v>
      </c>
      <c r="G237" s="3698"/>
      <c r="H237" s="3862"/>
      <c r="I237" s="4030"/>
      <c r="J237" s="3726"/>
      <c r="K237" s="2905"/>
      <c r="L237" s="5169"/>
      <c r="S237" s="4884"/>
    </row>
    <row r="238" spans="1:90" s="2356" customFormat="1" ht="13.5" customHeight="1">
      <c r="A238" s="3694"/>
      <c r="B238" s="3695"/>
      <c r="C238" s="3695"/>
      <c r="D238" s="3696" t="s">
        <v>8657</v>
      </c>
      <c r="E238" s="3727"/>
      <c r="F238" s="3702">
        <f>(52.5)</f>
        <v>52.5</v>
      </c>
      <c r="G238" s="3698"/>
      <c r="H238" s="3862"/>
      <c r="I238" s="4030"/>
      <c r="J238" s="3726"/>
      <c r="K238" s="2905"/>
      <c r="L238" s="5169"/>
      <c r="S238" s="4884"/>
    </row>
    <row r="239" spans="1:90" s="2356" customFormat="1" ht="13.5" customHeight="1">
      <c r="A239" s="3694"/>
      <c r="B239" s="3695"/>
      <c r="C239" s="3695"/>
      <c r="D239" s="3696" t="s">
        <v>8658</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8659</v>
      </c>
      <c r="E240" s="3695" t="s">
        <v>141</v>
      </c>
      <c r="F240" s="2890">
        <f>ROUND(SUM(F241:F242),3)</f>
        <v>84</v>
      </c>
      <c r="G240" s="3698"/>
      <c r="H240" s="3975">
        <f t="shared" ref="H240" si="56">ROUND(F240*G240,2)</f>
        <v>0</v>
      </c>
      <c r="I240" s="4028"/>
      <c r="J240" s="3726" t="s">
        <v>142</v>
      </c>
      <c r="K240" s="2907"/>
      <c r="L240" s="5169"/>
      <c r="S240" s="4884"/>
    </row>
    <row r="241" spans="1:90" s="2356" customFormat="1" ht="13.5" customHeight="1">
      <c r="A241" s="3694"/>
      <c r="B241" s="3695"/>
      <c r="C241" s="3695"/>
      <c r="D241" s="3696" t="s">
        <v>8660</v>
      </c>
      <c r="E241" s="3727"/>
      <c r="F241" s="3702">
        <f>(63)</f>
        <v>63</v>
      </c>
      <c r="G241" s="3698"/>
      <c r="H241" s="3862"/>
      <c r="I241" s="4030"/>
      <c r="J241" s="3726"/>
      <c r="K241" s="2905"/>
      <c r="L241" s="5169"/>
      <c r="S241" s="4884"/>
    </row>
    <row r="242" spans="1:90" s="2356" customFormat="1" ht="13.5" customHeight="1">
      <c r="A242" s="3694"/>
      <c r="B242" s="3695"/>
      <c r="C242" s="3695"/>
      <c r="D242" s="3696" t="s">
        <v>8661</v>
      </c>
      <c r="E242" s="3727"/>
      <c r="F242" s="3702">
        <f>(21)</f>
        <v>21</v>
      </c>
      <c r="G242" s="3698"/>
      <c r="H242" s="3862"/>
      <c r="I242" s="4030"/>
      <c r="J242" s="3726"/>
      <c r="K242" s="2905"/>
      <c r="L242" s="5169"/>
      <c r="S242" s="4884"/>
    </row>
    <row r="243" spans="1:90" s="120" customFormat="1" ht="13.5" customHeight="1">
      <c r="A243" s="3329">
        <v>49</v>
      </c>
      <c r="B243" s="3330" t="s">
        <v>8448</v>
      </c>
      <c r="C243" s="3330" t="s">
        <v>8662</v>
      </c>
      <c r="D243" s="3330" t="s">
        <v>8663</v>
      </c>
      <c r="E243" s="3330" t="s">
        <v>611</v>
      </c>
      <c r="F243" s="2890">
        <f>ROUND(SUM(F244:F246),3)</f>
        <v>2258.1</v>
      </c>
      <c r="G243" s="3331"/>
      <c r="H243" s="3975">
        <f t="shared" ref="H243" si="57">ROUND(F243*G243,2)</f>
        <v>0</v>
      </c>
      <c r="I243" s="4028"/>
      <c r="J243" s="3332" t="s">
        <v>60</v>
      </c>
      <c r="K243" s="2873"/>
      <c r="L243" s="2908"/>
    </row>
    <row r="244" spans="1:90" s="2373" customFormat="1" ht="13.5" customHeight="1">
      <c r="A244" s="3694"/>
      <c r="B244" s="3714"/>
      <c r="C244" s="3695"/>
      <c r="D244" s="3696" t="s">
        <v>8664</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8665</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8666</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8667</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8668</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10670</v>
      </c>
      <c r="E249" s="3727"/>
      <c r="F249" s="3702"/>
      <c r="G249" s="3698"/>
      <c r="H249" s="3862"/>
      <c r="I249" s="4030"/>
      <c r="J249" s="4505"/>
      <c r="K249" s="5172"/>
      <c r="L249" s="5169"/>
      <c r="S249" s="4884"/>
    </row>
    <row r="250" spans="1:90" s="2356" customFormat="1" ht="13.5" customHeight="1">
      <c r="A250" s="3694">
        <v>50</v>
      </c>
      <c r="B250" s="3695">
        <v>731</v>
      </c>
      <c r="C250" s="3695" t="s">
        <v>8669</v>
      </c>
      <c r="D250" s="3695" t="s">
        <v>8670</v>
      </c>
      <c r="E250" s="3695" t="s">
        <v>155</v>
      </c>
      <c r="F250" s="2890">
        <f>ROUND(SUM(F251:F252),3)</f>
        <v>10</v>
      </c>
      <c r="G250" s="3698"/>
      <c r="H250" s="3975">
        <f t="shared" ref="H250" si="58">ROUND(F250*G250,2)</f>
        <v>0</v>
      </c>
      <c r="I250" s="4028"/>
      <c r="J250" s="3332" t="s">
        <v>60</v>
      </c>
      <c r="K250" s="2907"/>
      <c r="L250" s="5169"/>
      <c r="S250" s="4884"/>
    </row>
    <row r="251" spans="1:90" s="2356" customFormat="1" ht="13.5" customHeight="1">
      <c r="A251" s="3694"/>
      <c r="B251" s="3695"/>
      <c r="C251" s="3695"/>
      <c r="D251" s="3696" t="s">
        <v>8671</v>
      </c>
      <c r="E251" s="3727"/>
      <c r="F251" s="3702">
        <f>(2+2+2+2)</f>
        <v>8</v>
      </c>
      <c r="G251" s="3698"/>
      <c r="H251" s="3862"/>
      <c r="I251" s="4030"/>
      <c r="J251" s="3726"/>
      <c r="K251" s="2905"/>
      <c r="L251" s="5169"/>
      <c r="S251" s="4884"/>
    </row>
    <row r="252" spans="1:90" s="2356" customFormat="1" ht="13.5" customHeight="1">
      <c r="A252" s="3694"/>
      <c r="B252" s="3695"/>
      <c r="C252" s="3695"/>
      <c r="D252" s="3696" t="s">
        <v>8672</v>
      </c>
      <c r="E252" s="3727"/>
      <c r="F252" s="3702">
        <f>2</f>
        <v>2</v>
      </c>
      <c r="G252" s="3698"/>
      <c r="H252" s="3862"/>
      <c r="I252" s="4030"/>
      <c r="J252" s="3726"/>
      <c r="K252" s="2905"/>
      <c r="L252" s="5169"/>
      <c r="S252" s="4884"/>
    </row>
    <row r="253" spans="1:90" s="2356" customFormat="1" ht="27" customHeight="1">
      <c r="A253" s="3694"/>
      <c r="B253" s="3695"/>
      <c r="C253" s="3695"/>
      <c r="D253" s="3696" t="s">
        <v>8673</v>
      </c>
      <c r="E253" s="3727"/>
      <c r="F253" s="3702"/>
      <c r="G253" s="3698"/>
      <c r="H253" s="3862"/>
      <c r="I253" s="4030"/>
      <c r="J253" s="3726"/>
      <c r="K253" s="2905"/>
      <c r="L253" s="5169"/>
      <c r="S253" s="4884"/>
    </row>
    <row r="254" spans="1:90" s="2356" customFormat="1" ht="13.5" customHeight="1">
      <c r="A254" s="3694">
        <v>51</v>
      </c>
      <c r="B254" s="3695">
        <v>731</v>
      </c>
      <c r="C254" s="3695" t="s">
        <v>8674</v>
      </c>
      <c r="D254" s="3695" t="s">
        <v>6536</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10675</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10676</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10677</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8677</v>
      </c>
      <c r="D258" s="3536" t="s">
        <v>6534</v>
      </c>
      <c r="E258" s="3536" t="s">
        <v>23</v>
      </c>
      <c r="F258" s="3541">
        <f>ROUND(SUM(F259),3)</f>
        <v>1</v>
      </c>
      <c r="G258" s="3528"/>
      <c r="H258" s="3861">
        <f>ROUND(F258*G258,2)</f>
        <v>0</v>
      </c>
      <c r="I258" s="4028"/>
      <c r="J258" s="3529" t="s">
        <v>60</v>
      </c>
    </row>
    <row r="259" spans="1:122" s="2595" customFormat="1" ht="27" customHeight="1">
      <c r="A259" s="3567"/>
      <c r="B259" s="3558"/>
      <c r="C259" s="3558"/>
      <c r="D259" s="3696" t="s">
        <v>10692</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10486</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10685</v>
      </c>
      <c r="E261" s="4374"/>
      <c r="F261" s="4375"/>
      <c r="G261" s="4376"/>
      <c r="H261" s="4370"/>
      <c r="I261" s="3849"/>
      <c r="J261" s="3726"/>
      <c r="K261" s="4855"/>
      <c r="L261" s="4855"/>
    </row>
    <row r="262" spans="1:122" customFormat="1" ht="13.5" customHeight="1">
      <c r="A262" s="3531"/>
      <c r="B262" s="3532"/>
      <c r="C262" s="3532"/>
      <c r="D262" s="3548" t="s">
        <v>10671</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10704</v>
      </c>
      <c r="D264" s="3695" t="s">
        <v>6540</v>
      </c>
      <c r="E264" s="3695" t="s">
        <v>23</v>
      </c>
      <c r="F264" s="2890">
        <f>ROUND(SUM(F266),3)</f>
        <v>1</v>
      </c>
      <c r="G264" s="3698"/>
      <c r="H264" s="3975">
        <f t="shared" ref="H264" si="59">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8675</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8676</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10669</v>
      </c>
      <c r="E267" s="3695"/>
      <c r="F267" s="4484"/>
      <c r="G267" s="3709"/>
      <c r="H267" s="3816"/>
      <c r="I267" s="3849"/>
      <c r="J267" s="3726"/>
      <c r="K267" s="4596"/>
      <c r="R267" s="4989"/>
    </row>
    <row r="268" spans="1:122" s="2303" customFormat="1" ht="40.5" customHeight="1">
      <c r="A268" s="3750"/>
      <c r="B268" s="3695"/>
      <c r="C268" s="3695"/>
      <c r="D268" s="4483" t="s">
        <v>10477</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10470</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10705</v>
      </c>
      <c r="D270" s="3536" t="s">
        <v>6544</v>
      </c>
      <c r="E270" s="3695" t="s">
        <v>23</v>
      </c>
      <c r="F270" s="2890">
        <f>ROUND(SUM(F271),3)</f>
        <v>1</v>
      </c>
      <c r="G270" s="3698"/>
      <c r="H270" s="3975">
        <f t="shared" ref="H270" si="60">ROUND(F270*G270,2)</f>
        <v>0</v>
      </c>
      <c r="I270" s="4028"/>
      <c r="J270" s="3332" t="s">
        <v>60</v>
      </c>
      <c r="O270" s="4857"/>
      <c r="P270" s="4857"/>
    </row>
    <row r="271" spans="1:122" s="2391" customFormat="1" ht="27" customHeight="1">
      <c r="A271" s="3694"/>
      <c r="B271" s="3714"/>
      <c r="C271" s="3695"/>
      <c r="D271" s="3548" t="s">
        <v>6545</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6546</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10672</v>
      </c>
      <c r="E273" s="4374"/>
      <c r="F273" s="4375"/>
      <c r="G273" s="4376"/>
      <c r="H273" s="4370"/>
      <c r="I273" s="3849"/>
      <c r="J273" s="3726"/>
      <c r="K273" s="4855"/>
      <c r="L273" s="4855"/>
    </row>
    <row r="274" spans="1:24" s="4367" customFormat="1" ht="40.700000000000003" customHeight="1">
      <c r="A274" s="4372"/>
      <c r="B274" s="4373"/>
      <c r="C274" s="4373"/>
      <c r="D274" s="4483" t="s">
        <v>10674</v>
      </c>
      <c r="E274" s="4374"/>
      <c r="F274" s="4375"/>
      <c r="G274" s="4376"/>
      <c r="H274" s="4370"/>
      <c r="I274" s="3849"/>
      <c r="J274" s="3726"/>
      <c r="K274" s="4855"/>
      <c r="L274" s="4855"/>
    </row>
    <row r="275" spans="1:24" s="4367" customFormat="1" ht="27" customHeight="1">
      <c r="A275" s="4372"/>
      <c r="B275" s="4373"/>
      <c r="C275" s="4373"/>
      <c r="D275" s="3548" t="s">
        <v>10673</v>
      </c>
      <c r="E275" s="4374"/>
      <c r="F275" s="4375"/>
      <c r="G275" s="4376"/>
      <c r="H275" s="4370"/>
      <c r="I275" s="3849"/>
      <c r="J275" s="3726"/>
      <c r="K275" s="4855"/>
      <c r="L275" s="4855"/>
    </row>
    <row r="276" spans="1:24" s="120" customFormat="1" ht="13.5" customHeight="1">
      <c r="A276" s="3329">
        <v>55</v>
      </c>
      <c r="B276" s="3330">
        <v>731</v>
      </c>
      <c r="C276" s="3330">
        <v>998733203</v>
      </c>
      <c r="D276" s="3330" t="s">
        <v>8678</v>
      </c>
      <c r="E276" s="3330" t="s">
        <v>8</v>
      </c>
      <c r="F276" s="2890">
        <v>3.67</v>
      </c>
      <c r="G276" s="3331"/>
      <c r="H276" s="3975">
        <f t="shared" ref="H276:H277" si="61">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8586</v>
      </c>
      <c r="D277" s="3330" t="s">
        <v>8587</v>
      </c>
      <c r="E277" s="3330" t="s">
        <v>191</v>
      </c>
      <c r="F277" s="2890">
        <f>ROUND(SUM(F278),3)</f>
        <v>25</v>
      </c>
      <c r="G277" s="3331"/>
      <c r="H277" s="3975">
        <f t="shared" si="61"/>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8679</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8589</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8680</v>
      </c>
      <c r="D280" s="3711" t="s">
        <v>8681</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8448</v>
      </c>
      <c r="C281" s="3330" t="s">
        <v>8682</v>
      </c>
      <c r="D281" s="3330" t="s">
        <v>8683</v>
      </c>
      <c r="E281" s="3330" t="s">
        <v>155</v>
      </c>
      <c r="F281" s="2890">
        <f>ROUND(SUM(F282),3)</f>
        <v>2</v>
      </c>
      <c r="G281" s="3331"/>
      <c r="H281" s="3975">
        <f t="shared" ref="H281" si="62">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8684</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6703</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8448</v>
      </c>
      <c r="C284" s="3330" t="s">
        <v>8685</v>
      </c>
      <c r="D284" s="3330" t="s">
        <v>8686</v>
      </c>
      <c r="E284" s="3330" t="s">
        <v>155</v>
      </c>
      <c r="F284" s="2890">
        <f>ROUND(SUM(F285),3)</f>
        <v>1</v>
      </c>
      <c r="G284" s="3331"/>
      <c r="H284" s="3975">
        <f t="shared" ref="H284" si="63">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8687</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6703</v>
      </c>
      <c r="E286" s="3343"/>
      <c r="F286" s="3730"/>
      <c r="G286" s="3729"/>
      <c r="H286" s="3863"/>
      <c r="I286" s="4037"/>
      <c r="J286" s="3332"/>
      <c r="K286" s="5177"/>
      <c r="L286" s="5146"/>
    </row>
    <row r="287" spans="1:24" s="120" customFormat="1" ht="13.5" customHeight="1">
      <c r="A287" s="3329">
        <v>59</v>
      </c>
      <c r="B287" s="3330" t="s">
        <v>8448</v>
      </c>
      <c r="C287" s="3330" t="s">
        <v>8688</v>
      </c>
      <c r="D287" s="3330" t="s">
        <v>6700</v>
      </c>
      <c r="E287" s="3330" t="s">
        <v>155</v>
      </c>
      <c r="F287" s="2890">
        <f>ROUND(SUM(F288),3)</f>
        <v>12</v>
      </c>
      <c r="G287" s="3331"/>
      <c r="H287" s="3975">
        <f t="shared" ref="H287" si="64">ROUND(F287*G287,2)</f>
        <v>0</v>
      </c>
      <c r="I287" s="4028"/>
      <c r="J287" s="3332" t="s">
        <v>60</v>
      </c>
      <c r="K287" s="5176"/>
      <c r="L287" s="5146"/>
    </row>
    <row r="288" spans="1:24" s="1291" customFormat="1" ht="13.5" customHeight="1">
      <c r="A288" s="3090"/>
      <c r="B288" s="3091"/>
      <c r="C288" s="3092"/>
      <c r="D288" s="3710" t="s">
        <v>8689</v>
      </c>
      <c r="E288" s="3343"/>
      <c r="F288" s="3202">
        <v>12</v>
      </c>
      <c r="G288" s="3095"/>
      <c r="H288" s="3977"/>
      <c r="I288" s="4031"/>
      <c r="J288" s="3096"/>
      <c r="K288" s="5176"/>
      <c r="L288" s="5146"/>
      <c r="V288" s="1292"/>
      <c r="X288" s="1292"/>
    </row>
    <row r="289" spans="1:24" s="120" customFormat="1" ht="27" customHeight="1">
      <c r="A289" s="3329"/>
      <c r="B289" s="3330"/>
      <c r="C289" s="3343"/>
      <c r="D289" s="3343" t="s">
        <v>6703</v>
      </c>
      <c r="E289" s="3343"/>
      <c r="F289" s="3730"/>
      <c r="G289" s="3729"/>
      <c r="H289" s="3863"/>
      <c r="I289" s="4037"/>
      <c r="J289" s="3332"/>
      <c r="K289" s="5177"/>
      <c r="L289" s="5146"/>
    </row>
    <row r="290" spans="1:24" s="120" customFormat="1" ht="13.5" customHeight="1">
      <c r="A290" s="3329">
        <v>60</v>
      </c>
      <c r="B290" s="3330" t="s">
        <v>8448</v>
      </c>
      <c r="C290" s="3330" t="s">
        <v>8690</v>
      </c>
      <c r="D290" s="3330" t="s">
        <v>8691</v>
      </c>
      <c r="E290" s="3330" t="s">
        <v>155</v>
      </c>
      <c r="F290" s="2890">
        <f>ROUND(SUM(F291),3)</f>
        <v>19</v>
      </c>
      <c r="G290" s="3331"/>
      <c r="H290" s="3975">
        <f t="shared" ref="H290" si="65">ROUND(F290*G290,2)</f>
        <v>0</v>
      </c>
      <c r="I290" s="4028"/>
      <c r="J290" s="3332" t="s">
        <v>60</v>
      </c>
      <c r="K290" s="5176"/>
      <c r="L290" s="5146"/>
    </row>
    <row r="291" spans="1:24" s="1291" customFormat="1" ht="13.5" customHeight="1">
      <c r="A291" s="3090"/>
      <c r="B291" s="3091"/>
      <c r="C291" s="3092"/>
      <c r="D291" s="3710" t="s">
        <v>8692</v>
      </c>
      <c r="E291" s="3343"/>
      <c r="F291" s="3202">
        <f>(6+4+8+1)</f>
        <v>19</v>
      </c>
      <c r="G291" s="3095"/>
      <c r="H291" s="3977"/>
      <c r="I291" s="4031"/>
      <c r="J291" s="3096"/>
      <c r="K291" s="5176"/>
      <c r="L291" s="5146"/>
      <c r="V291" s="1292"/>
      <c r="X291" s="1292"/>
    </row>
    <row r="292" spans="1:24" s="120" customFormat="1" ht="27" customHeight="1">
      <c r="A292" s="3329"/>
      <c r="B292" s="3330"/>
      <c r="C292" s="3343"/>
      <c r="D292" s="3343" t="s">
        <v>6703</v>
      </c>
      <c r="E292" s="3343"/>
      <c r="F292" s="3730"/>
      <c r="G292" s="3729"/>
      <c r="H292" s="3863"/>
      <c r="I292" s="4037"/>
      <c r="J292" s="3332"/>
      <c r="K292" s="5177"/>
      <c r="L292" s="5146"/>
    </row>
    <row r="293" spans="1:24" s="120" customFormat="1" ht="13.5" customHeight="1">
      <c r="A293" s="3329">
        <v>61</v>
      </c>
      <c r="B293" s="3330" t="s">
        <v>8448</v>
      </c>
      <c r="C293" s="3330" t="s">
        <v>8693</v>
      </c>
      <c r="D293" s="3330" t="s">
        <v>8694</v>
      </c>
      <c r="E293" s="3330" t="s">
        <v>155</v>
      </c>
      <c r="F293" s="2890">
        <f>ROUND(SUM(F294),3)</f>
        <v>12</v>
      </c>
      <c r="G293" s="3331"/>
      <c r="H293" s="3975">
        <f t="shared" ref="H293" si="66">ROUND(F293*G293,2)</f>
        <v>0</v>
      </c>
      <c r="I293" s="4028"/>
      <c r="J293" s="3332" t="s">
        <v>60</v>
      </c>
      <c r="K293" s="5176"/>
      <c r="L293" s="5146"/>
    </row>
    <row r="294" spans="1:24" s="1291" customFormat="1" ht="13.5" customHeight="1">
      <c r="A294" s="3090"/>
      <c r="B294" s="3091"/>
      <c r="C294" s="3092"/>
      <c r="D294" s="3710" t="s">
        <v>8695</v>
      </c>
      <c r="E294" s="3343"/>
      <c r="F294" s="3202">
        <f>(4+8)</f>
        <v>12</v>
      </c>
      <c r="G294" s="3095"/>
      <c r="H294" s="3977"/>
      <c r="I294" s="4031"/>
      <c r="J294" s="3096"/>
      <c r="K294" s="5176"/>
      <c r="L294" s="5146"/>
      <c r="V294" s="1292"/>
      <c r="X294" s="1292"/>
    </row>
    <row r="295" spans="1:24" s="120" customFormat="1" ht="27" customHeight="1">
      <c r="A295" s="3329"/>
      <c r="B295" s="3330"/>
      <c r="C295" s="3343"/>
      <c r="D295" s="3343" t="s">
        <v>6703</v>
      </c>
      <c r="E295" s="3343"/>
      <c r="F295" s="3730"/>
      <c r="G295" s="3729"/>
      <c r="H295" s="3863"/>
      <c r="I295" s="4037"/>
      <c r="J295" s="3332"/>
      <c r="K295" s="5177"/>
      <c r="L295" s="5146"/>
    </row>
    <row r="296" spans="1:24" s="120" customFormat="1" ht="13.5" customHeight="1">
      <c r="A296" s="3329">
        <v>62</v>
      </c>
      <c r="B296" s="3330" t="s">
        <v>8448</v>
      </c>
      <c r="C296" s="3330" t="s">
        <v>8696</v>
      </c>
      <c r="D296" s="3330" t="s">
        <v>8697</v>
      </c>
      <c r="E296" s="3330" t="s">
        <v>155</v>
      </c>
      <c r="F296" s="2890">
        <f>ROUND(SUM(F297),3)</f>
        <v>10</v>
      </c>
      <c r="G296" s="3331"/>
      <c r="H296" s="3975">
        <f t="shared" ref="H296" si="67">ROUND(F296*G296,2)</f>
        <v>0</v>
      </c>
      <c r="I296" s="4028"/>
      <c r="J296" s="3332" t="s">
        <v>60</v>
      </c>
      <c r="K296" s="5176"/>
      <c r="L296" s="5146"/>
    </row>
    <row r="297" spans="1:24" s="1291" customFormat="1" ht="13.5" customHeight="1">
      <c r="A297" s="3090"/>
      <c r="B297" s="3091"/>
      <c r="C297" s="3092"/>
      <c r="D297" s="3710" t="s">
        <v>8698</v>
      </c>
      <c r="E297" s="3343"/>
      <c r="F297" s="3202">
        <f>(4+6)</f>
        <v>10</v>
      </c>
      <c r="G297" s="3095"/>
      <c r="H297" s="3977"/>
      <c r="I297" s="4031"/>
      <c r="J297" s="3096"/>
      <c r="K297" s="5178"/>
      <c r="V297" s="1292"/>
      <c r="X297" s="1292"/>
    </row>
    <row r="298" spans="1:24" s="120" customFormat="1" ht="27" customHeight="1">
      <c r="A298" s="3329"/>
      <c r="B298" s="3330"/>
      <c r="C298" s="3343"/>
      <c r="D298" s="3343" t="s">
        <v>6703</v>
      </c>
      <c r="E298" s="3343"/>
      <c r="F298" s="3730"/>
      <c r="G298" s="3729"/>
      <c r="H298" s="3863"/>
      <c r="I298" s="4037"/>
      <c r="J298" s="3332"/>
      <c r="K298" s="5177"/>
    </row>
    <row r="299" spans="1:24" s="120" customFormat="1" ht="13.5" customHeight="1">
      <c r="A299" s="3329">
        <v>63</v>
      </c>
      <c r="B299" s="3330" t="s">
        <v>8448</v>
      </c>
      <c r="C299" s="3330" t="s">
        <v>8699</v>
      </c>
      <c r="D299" s="3330" t="s">
        <v>6705</v>
      </c>
      <c r="E299" s="3330" t="s">
        <v>155</v>
      </c>
      <c r="F299" s="2890">
        <f>ROUND(SUM(F300),3)</f>
        <v>8</v>
      </c>
      <c r="G299" s="3331"/>
      <c r="H299" s="3975">
        <f t="shared" ref="H299" si="68">ROUND(F299*G299,2)</f>
        <v>0</v>
      </c>
      <c r="I299" s="4028"/>
      <c r="J299" s="3332" t="s">
        <v>60</v>
      </c>
      <c r="K299" s="5176"/>
      <c r="L299" s="5146"/>
    </row>
    <row r="300" spans="1:24" s="1291" customFormat="1" ht="13.5" customHeight="1">
      <c r="A300" s="3090"/>
      <c r="B300" s="3091"/>
      <c r="C300" s="3092"/>
      <c r="D300" s="3710" t="s">
        <v>8700</v>
      </c>
      <c r="E300" s="3343"/>
      <c r="F300" s="3202">
        <v>8</v>
      </c>
      <c r="G300" s="3095"/>
      <c r="H300" s="3977"/>
      <c r="I300" s="4031"/>
      <c r="J300" s="3096"/>
      <c r="K300" s="5178"/>
      <c r="V300" s="1292"/>
      <c r="X300" s="1292"/>
    </row>
    <row r="301" spans="1:24" s="120" customFormat="1" ht="27" customHeight="1">
      <c r="A301" s="3329"/>
      <c r="B301" s="3330"/>
      <c r="C301" s="3343"/>
      <c r="D301" s="3343" t="s">
        <v>6703</v>
      </c>
      <c r="E301" s="3343"/>
      <c r="F301" s="3730"/>
      <c r="G301" s="3729"/>
      <c r="H301" s="3863"/>
      <c r="I301" s="4037"/>
      <c r="J301" s="3332"/>
      <c r="K301" s="5177"/>
    </row>
    <row r="302" spans="1:24" s="120" customFormat="1" ht="13.5" customHeight="1">
      <c r="A302" s="3329">
        <v>64</v>
      </c>
      <c r="B302" s="3330" t="s">
        <v>8448</v>
      </c>
      <c r="C302" s="3330" t="s">
        <v>8701</v>
      </c>
      <c r="D302" s="3330" t="s">
        <v>8702</v>
      </c>
      <c r="E302" s="3330" t="s">
        <v>23</v>
      </c>
      <c r="F302" s="2890">
        <f>ROUND(SUM(F303),3)</f>
        <v>2</v>
      </c>
      <c r="G302" s="3331"/>
      <c r="H302" s="3975">
        <f t="shared" ref="H302" si="69">ROUND(F302*G302,2)</f>
        <v>0</v>
      </c>
      <c r="I302" s="4028"/>
      <c r="J302" s="3332" t="s">
        <v>60</v>
      </c>
      <c r="K302" s="5179"/>
      <c r="N302" s="278"/>
      <c r="Q302" s="278"/>
    </row>
    <row r="303" spans="1:24" s="1291" customFormat="1" ht="13.5" customHeight="1">
      <c r="A303" s="3090"/>
      <c r="B303" s="3091"/>
      <c r="C303" s="3092"/>
      <c r="D303" s="3710" t="s">
        <v>8703</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8704</v>
      </c>
      <c r="E304" s="3343"/>
      <c r="F304" s="3730"/>
      <c r="G304" s="3729"/>
      <c r="H304" s="3863"/>
      <c r="I304" s="4037"/>
      <c r="J304" s="3096"/>
      <c r="K304" s="2873"/>
      <c r="L304" s="5179"/>
      <c r="M304" s="233"/>
    </row>
    <row r="305" spans="1:24" s="120" customFormat="1" ht="13.5" customHeight="1">
      <c r="A305" s="3329">
        <v>65</v>
      </c>
      <c r="B305" s="3330" t="s">
        <v>8448</v>
      </c>
      <c r="C305" s="3330" t="s">
        <v>8705</v>
      </c>
      <c r="D305" s="3330" t="s">
        <v>8706</v>
      </c>
      <c r="E305" s="3330" t="s">
        <v>23</v>
      </c>
      <c r="F305" s="2890">
        <f>ROUND(SUM(F306),3)</f>
        <v>2</v>
      </c>
      <c r="G305" s="3331"/>
      <c r="H305" s="3975">
        <f t="shared" ref="H305" si="70">ROUND(F305*G305,2)</f>
        <v>0</v>
      </c>
      <c r="I305" s="4028"/>
      <c r="J305" s="3332" t="s">
        <v>60</v>
      </c>
      <c r="K305" s="5179"/>
      <c r="N305" s="278"/>
      <c r="Q305" s="278"/>
    </row>
    <row r="306" spans="1:24" s="1291" customFormat="1" ht="13.5" customHeight="1">
      <c r="A306" s="3090"/>
      <c r="B306" s="3091"/>
      <c r="C306" s="3092"/>
      <c r="D306" s="3710" t="s">
        <v>8707</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8704</v>
      </c>
      <c r="E307" s="3343"/>
      <c r="F307" s="3730"/>
      <c r="G307" s="3729"/>
      <c r="H307" s="3863"/>
      <c r="I307" s="4037"/>
      <c r="J307" s="3096"/>
      <c r="K307" s="5176"/>
      <c r="L307" s="5146"/>
      <c r="N307" s="278"/>
      <c r="Q307" s="278"/>
    </row>
    <row r="308" spans="1:24" s="120" customFormat="1" ht="13.5" customHeight="1">
      <c r="A308" s="3329">
        <v>66</v>
      </c>
      <c r="B308" s="3330" t="s">
        <v>8448</v>
      </c>
      <c r="C308" s="3330" t="s">
        <v>8708</v>
      </c>
      <c r="D308" s="3330" t="s">
        <v>8709</v>
      </c>
      <c r="E308" s="3330" t="s">
        <v>155</v>
      </c>
      <c r="F308" s="2890">
        <f>ROUND(SUM(F309:F310),3)</f>
        <v>62</v>
      </c>
      <c r="G308" s="3331"/>
      <c r="H308" s="3975">
        <f t="shared" ref="H308" si="71">ROUND(F308*G308,2)</f>
        <v>0</v>
      </c>
      <c r="I308" s="4028"/>
      <c r="J308" s="3332" t="s">
        <v>60</v>
      </c>
      <c r="K308" s="5180"/>
      <c r="L308" s="5176"/>
      <c r="Q308" s="5180"/>
    </row>
    <row r="309" spans="1:24" s="1291" customFormat="1" ht="13.5" customHeight="1">
      <c r="A309" s="3090"/>
      <c r="B309" s="3091"/>
      <c r="C309" s="3092"/>
      <c r="D309" s="3710" t="s">
        <v>8710</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8711</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8712</v>
      </c>
      <c r="E311" s="3343"/>
      <c r="F311" s="3202"/>
      <c r="G311" s="3095"/>
      <c r="H311" s="3977"/>
      <c r="I311" s="4031"/>
      <c r="J311" s="3096"/>
      <c r="K311" s="2873"/>
      <c r="L311" s="2931"/>
      <c r="V311" s="1292"/>
      <c r="X311" s="1292"/>
    </row>
    <row r="312" spans="1:24" s="120" customFormat="1" ht="13.5" customHeight="1">
      <c r="A312" s="3329">
        <v>67</v>
      </c>
      <c r="B312" s="3330" t="s">
        <v>8448</v>
      </c>
      <c r="C312" s="3330" t="s">
        <v>8713</v>
      </c>
      <c r="D312" s="3330" t="s">
        <v>8714</v>
      </c>
      <c r="E312" s="3330" t="s">
        <v>155</v>
      </c>
      <c r="F312" s="2890">
        <f>ROUND(SUM(F313),3)</f>
        <v>2</v>
      </c>
      <c r="G312" s="3331"/>
      <c r="H312" s="3975">
        <f t="shared" ref="H312" si="72">ROUND(F312*G312,2)</f>
        <v>0</v>
      </c>
      <c r="I312" s="4028"/>
      <c r="J312" s="3332" t="s">
        <v>60</v>
      </c>
      <c r="K312" s="5180"/>
      <c r="L312" s="5176"/>
      <c r="Q312" s="5180"/>
    </row>
    <row r="313" spans="1:24" s="1291" customFormat="1" ht="13.5" customHeight="1">
      <c r="A313" s="3090"/>
      <c r="B313" s="3091"/>
      <c r="C313" s="3092"/>
      <c r="D313" s="3710" t="s">
        <v>8715</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8712</v>
      </c>
      <c r="E314" s="3343"/>
      <c r="F314" s="3202"/>
      <c r="G314" s="3095"/>
      <c r="H314" s="3977"/>
      <c r="I314" s="4031"/>
      <c r="J314" s="3096"/>
      <c r="K314" s="2873"/>
      <c r="L314" s="2931"/>
      <c r="V314" s="1292"/>
      <c r="X314" s="1292"/>
    </row>
    <row r="315" spans="1:24" s="120" customFormat="1" ht="13.5" customHeight="1">
      <c r="A315" s="3329">
        <v>68</v>
      </c>
      <c r="B315" s="3330" t="s">
        <v>8448</v>
      </c>
      <c r="C315" s="3330" t="s">
        <v>8716</v>
      </c>
      <c r="D315" s="3330" t="s">
        <v>8717</v>
      </c>
      <c r="E315" s="3330" t="s">
        <v>155</v>
      </c>
      <c r="F315" s="2890">
        <f>ROUND(SUM(F316),3)</f>
        <v>7</v>
      </c>
      <c r="G315" s="3331"/>
      <c r="H315" s="3975">
        <f t="shared" ref="H315" si="73">ROUND(F315*G315,2)</f>
        <v>0</v>
      </c>
      <c r="I315" s="4028"/>
      <c r="J315" s="3332" t="s">
        <v>60</v>
      </c>
      <c r="K315" s="5180"/>
      <c r="R315" s="5181"/>
    </row>
    <row r="316" spans="1:24" s="1291" customFormat="1" ht="13.5" customHeight="1">
      <c r="A316" s="3090"/>
      <c r="B316" s="3091"/>
      <c r="C316" s="3092"/>
      <c r="D316" s="3710" t="s">
        <v>8718</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6669</v>
      </c>
      <c r="E317" s="3343"/>
      <c r="F317" s="3202"/>
      <c r="G317" s="3095"/>
      <c r="H317" s="3977"/>
      <c r="I317" s="4031"/>
      <c r="J317" s="3096"/>
      <c r="K317" s="2687"/>
      <c r="L317" s="2931"/>
      <c r="R317" s="5183"/>
      <c r="S317" s="5184"/>
      <c r="V317" s="1292"/>
      <c r="X317" s="1292"/>
    </row>
    <row r="318" spans="1:24" s="120" customFormat="1" ht="13.5" customHeight="1">
      <c r="A318" s="3329">
        <v>69</v>
      </c>
      <c r="B318" s="3330" t="s">
        <v>8448</v>
      </c>
      <c r="C318" s="3330" t="s">
        <v>8719</v>
      </c>
      <c r="D318" s="3330" t="s">
        <v>8720</v>
      </c>
      <c r="E318" s="3330" t="s">
        <v>155</v>
      </c>
      <c r="F318" s="2890">
        <f>ROUND(SUM(F319),3)</f>
        <v>2</v>
      </c>
      <c r="G318" s="3331"/>
      <c r="H318" s="3975">
        <f t="shared" ref="H318" si="74">ROUND(F318*G318,2)</f>
        <v>0</v>
      </c>
      <c r="I318" s="4028"/>
      <c r="J318" s="3332" t="s">
        <v>60</v>
      </c>
      <c r="K318" s="5180"/>
      <c r="R318" s="5181"/>
    </row>
    <row r="319" spans="1:24" s="1291" customFormat="1" ht="13.5" customHeight="1">
      <c r="A319" s="3090"/>
      <c r="B319" s="3091"/>
      <c r="C319" s="3092"/>
      <c r="D319" s="3710" t="s">
        <v>8721</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6669</v>
      </c>
      <c r="E320" s="3343"/>
      <c r="F320" s="3202"/>
      <c r="G320" s="3095"/>
      <c r="H320" s="3977"/>
      <c r="I320" s="4031"/>
      <c r="J320" s="3096"/>
      <c r="K320" s="2687"/>
      <c r="L320" s="2931"/>
      <c r="R320" s="5183"/>
      <c r="S320" s="5184"/>
      <c r="V320" s="1292"/>
      <c r="X320" s="1292"/>
    </row>
    <row r="321" spans="1:24" s="120" customFormat="1" ht="13.5" customHeight="1">
      <c r="A321" s="3329">
        <v>70</v>
      </c>
      <c r="B321" s="3330" t="s">
        <v>8448</v>
      </c>
      <c r="C321" s="3330" t="s">
        <v>8722</v>
      </c>
      <c r="D321" s="3330" t="s">
        <v>8723</v>
      </c>
      <c r="E321" s="3330" t="s">
        <v>155</v>
      </c>
      <c r="F321" s="2890">
        <f>ROUND(SUM(F322),3)</f>
        <v>3</v>
      </c>
      <c r="G321" s="3331"/>
      <c r="H321" s="3975">
        <f t="shared" ref="H321" si="75">ROUND(F321*G321,2)</f>
        <v>0</v>
      </c>
      <c r="I321" s="4028"/>
      <c r="J321" s="3332" t="s">
        <v>60</v>
      </c>
      <c r="K321" s="5180"/>
      <c r="R321" s="5181"/>
    </row>
    <row r="322" spans="1:24" s="1291" customFormat="1" ht="13.5" customHeight="1">
      <c r="A322" s="3090"/>
      <c r="B322" s="3091"/>
      <c r="C322" s="3092"/>
      <c r="D322" s="3710" t="s">
        <v>8724</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6669</v>
      </c>
      <c r="E323" s="3343"/>
      <c r="F323" s="3202"/>
      <c r="G323" s="3095"/>
      <c r="H323" s="3977"/>
      <c r="I323" s="4031"/>
      <c r="J323" s="3096"/>
      <c r="K323" s="2687"/>
      <c r="L323" s="2931"/>
      <c r="R323" s="5183"/>
      <c r="S323" s="5184"/>
      <c r="V323" s="1292"/>
      <c r="X323" s="1292"/>
    </row>
    <row r="324" spans="1:24" s="120" customFormat="1" ht="13.5" customHeight="1">
      <c r="A324" s="3329">
        <v>71</v>
      </c>
      <c r="B324" s="3330" t="s">
        <v>8448</v>
      </c>
      <c r="C324" s="3330" t="s">
        <v>8725</v>
      </c>
      <c r="D324" s="3330" t="s">
        <v>8726</v>
      </c>
      <c r="E324" s="3330" t="s">
        <v>155</v>
      </c>
      <c r="F324" s="2890">
        <f>ROUND(SUM(F325),3)</f>
        <v>4</v>
      </c>
      <c r="G324" s="3331"/>
      <c r="H324" s="3975">
        <f t="shared" ref="H324" si="76">ROUND(F324*G324,2)</f>
        <v>0</v>
      </c>
      <c r="I324" s="4028"/>
      <c r="J324" s="3332" t="s">
        <v>60</v>
      </c>
      <c r="K324" s="5180"/>
      <c r="R324" s="5181"/>
    </row>
    <row r="325" spans="1:24" s="1291" customFormat="1" ht="13.5" customHeight="1">
      <c r="A325" s="3090"/>
      <c r="B325" s="3091"/>
      <c r="C325" s="3092"/>
      <c r="D325" s="3710" t="s">
        <v>8727</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6669</v>
      </c>
      <c r="E326" s="3343"/>
      <c r="F326" s="3202"/>
      <c r="G326" s="3095"/>
      <c r="H326" s="3977"/>
      <c r="I326" s="4031"/>
      <c r="J326" s="3096"/>
      <c r="K326" s="2687"/>
      <c r="L326" s="2931"/>
      <c r="R326" s="5183"/>
      <c r="S326" s="5184"/>
      <c r="V326" s="1292"/>
      <c r="X326" s="1292"/>
    </row>
    <row r="327" spans="1:24" s="120" customFormat="1" ht="13.5" customHeight="1">
      <c r="A327" s="3329">
        <v>72</v>
      </c>
      <c r="B327" s="3330" t="s">
        <v>8448</v>
      </c>
      <c r="C327" s="3330" t="s">
        <v>8728</v>
      </c>
      <c r="D327" s="3330" t="s">
        <v>8729</v>
      </c>
      <c r="E327" s="3330" t="s">
        <v>155</v>
      </c>
      <c r="F327" s="2890">
        <f>ROUND(SUM(F328),3)</f>
        <v>2</v>
      </c>
      <c r="G327" s="3331"/>
      <c r="H327" s="3975">
        <f t="shared" ref="H327" si="77">ROUND(F327*G327,2)</f>
        <v>0</v>
      </c>
      <c r="I327" s="4028"/>
      <c r="J327" s="3332" t="s">
        <v>60</v>
      </c>
      <c r="K327" s="5180"/>
      <c r="R327" s="5181"/>
    </row>
    <row r="328" spans="1:24" s="1291" customFormat="1" ht="13.5" customHeight="1">
      <c r="A328" s="3090"/>
      <c r="B328" s="3091"/>
      <c r="C328" s="3092"/>
      <c r="D328" s="3710" t="s">
        <v>8730</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6669</v>
      </c>
      <c r="E329" s="3343"/>
      <c r="F329" s="3202"/>
      <c r="G329" s="3095"/>
      <c r="H329" s="3977"/>
      <c r="I329" s="4031"/>
      <c r="J329" s="3096"/>
      <c r="K329" s="2687"/>
      <c r="L329" s="2931"/>
      <c r="R329" s="5183"/>
      <c r="S329" s="5184"/>
      <c r="V329" s="1292"/>
      <c r="X329" s="1292"/>
    </row>
    <row r="330" spans="1:24" s="120" customFormat="1" ht="13.5" customHeight="1">
      <c r="A330" s="3329">
        <v>73</v>
      </c>
      <c r="B330" s="3330" t="s">
        <v>8448</v>
      </c>
      <c r="C330" s="3330" t="s">
        <v>8731</v>
      </c>
      <c r="D330" s="3330" t="s">
        <v>8732</v>
      </c>
      <c r="E330" s="3330" t="s">
        <v>155</v>
      </c>
      <c r="F330" s="2890">
        <f>ROUND(SUM(F331),3)</f>
        <v>3</v>
      </c>
      <c r="G330" s="3331"/>
      <c r="H330" s="3975">
        <f t="shared" ref="H330" si="78">ROUND(F330*G330,2)</f>
        <v>0</v>
      </c>
      <c r="I330" s="4028"/>
      <c r="J330" s="3332" t="s">
        <v>60</v>
      </c>
      <c r="K330" s="5180"/>
      <c r="R330" s="5181"/>
    </row>
    <row r="331" spans="1:24" s="1291" customFormat="1" ht="13.5" customHeight="1">
      <c r="A331" s="3090"/>
      <c r="B331" s="3091"/>
      <c r="C331" s="3092"/>
      <c r="D331" s="3710" t="s">
        <v>8733</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6669</v>
      </c>
      <c r="E332" s="3343"/>
      <c r="F332" s="3202"/>
      <c r="G332" s="3095"/>
      <c r="H332" s="3977"/>
      <c r="I332" s="4031"/>
      <c r="J332" s="3096"/>
      <c r="K332" s="2687"/>
      <c r="L332" s="2931"/>
      <c r="R332" s="5183"/>
      <c r="S332" s="5184"/>
      <c r="V332" s="1292"/>
      <c r="X332" s="1292"/>
    </row>
    <row r="333" spans="1:24" s="120" customFormat="1" ht="13.5" customHeight="1">
      <c r="A333" s="3329">
        <v>74</v>
      </c>
      <c r="B333" s="3330" t="s">
        <v>8448</v>
      </c>
      <c r="C333" s="3330" t="s">
        <v>8734</v>
      </c>
      <c r="D333" s="3330" t="s">
        <v>8735</v>
      </c>
      <c r="E333" s="3330" t="s">
        <v>155</v>
      </c>
      <c r="F333" s="2890">
        <f>ROUND(SUM(F334),3)</f>
        <v>2</v>
      </c>
      <c r="G333" s="3331"/>
      <c r="H333" s="3975">
        <f t="shared" ref="H333" si="79">ROUND(F333*G333,2)</f>
        <v>0</v>
      </c>
      <c r="I333" s="4028"/>
      <c r="J333" s="3332" t="s">
        <v>60</v>
      </c>
      <c r="K333" s="5180"/>
      <c r="R333" s="5181"/>
    </row>
    <row r="334" spans="1:24" s="1291" customFormat="1" ht="13.5" customHeight="1">
      <c r="A334" s="3090"/>
      <c r="B334" s="3091"/>
      <c r="C334" s="3092"/>
      <c r="D334" s="3710" t="s">
        <v>8736</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8737</v>
      </c>
      <c r="E335" s="3343"/>
      <c r="F335" s="3202"/>
      <c r="G335" s="3095"/>
      <c r="H335" s="3977"/>
      <c r="I335" s="4031"/>
      <c r="J335" s="3096"/>
      <c r="K335" s="2687"/>
      <c r="L335" s="2701"/>
      <c r="R335" s="5183"/>
      <c r="S335" s="5184"/>
      <c r="V335" s="1292"/>
      <c r="X335" s="1292"/>
    </row>
    <row r="336" spans="1:24" s="120" customFormat="1" ht="13.5" customHeight="1">
      <c r="A336" s="3329">
        <v>75</v>
      </c>
      <c r="B336" s="3330" t="s">
        <v>8448</v>
      </c>
      <c r="C336" s="3330" t="s">
        <v>8738</v>
      </c>
      <c r="D336" s="3330" t="s">
        <v>8739</v>
      </c>
      <c r="E336" s="3330" t="s">
        <v>155</v>
      </c>
      <c r="F336" s="2890">
        <f>ROUND(SUM(F337),3)</f>
        <v>2</v>
      </c>
      <c r="G336" s="3331"/>
      <c r="H336" s="3975">
        <f t="shared" ref="H336" si="80">ROUND(F336*G336,2)</f>
        <v>0</v>
      </c>
      <c r="I336" s="4028"/>
      <c r="J336" s="3332" t="s">
        <v>60</v>
      </c>
      <c r="K336" s="5180"/>
      <c r="L336" s="5176"/>
      <c r="R336" s="5186"/>
      <c r="S336" s="579"/>
    </row>
    <row r="337" spans="1:24" s="1291" customFormat="1" ht="13.5" customHeight="1">
      <c r="A337" s="3090"/>
      <c r="B337" s="3091"/>
      <c r="C337" s="3092"/>
      <c r="D337" s="3710" t="s">
        <v>8740</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8741</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8448</v>
      </c>
      <c r="C339" s="3330" t="s">
        <v>8742</v>
      </c>
      <c r="D339" s="3330" t="s">
        <v>8743</v>
      </c>
      <c r="E339" s="3330" t="s">
        <v>155</v>
      </c>
      <c r="F339" s="2890">
        <f>ROUND(SUM(F340),3)</f>
        <v>4</v>
      </c>
      <c r="G339" s="3331"/>
      <c r="H339" s="3975">
        <f t="shared" ref="H339" si="81">ROUND(F339*G339,2)</f>
        <v>0</v>
      </c>
      <c r="I339" s="4028"/>
      <c r="J339" s="3332" t="s">
        <v>60</v>
      </c>
      <c r="K339" s="5180"/>
      <c r="L339" s="5176"/>
      <c r="R339" s="5186"/>
      <c r="S339" s="579"/>
    </row>
    <row r="340" spans="1:24" s="1291" customFormat="1" ht="13.5" customHeight="1">
      <c r="A340" s="3090"/>
      <c r="B340" s="3091"/>
      <c r="C340" s="3092"/>
      <c r="D340" s="3710" t="s">
        <v>8744</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8741</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8448</v>
      </c>
      <c r="C342" s="3330" t="s">
        <v>8745</v>
      </c>
      <c r="D342" s="3330" t="s">
        <v>8746</v>
      </c>
      <c r="E342" s="3330" t="s">
        <v>155</v>
      </c>
      <c r="F342" s="2890">
        <f>ROUND(SUM(F343),3)</f>
        <v>3</v>
      </c>
      <c r="G342" s="3331"/>
      <c r="H342" s="3975">
        <f t="shared" ref="H342" si="82">ROUND(F342*G342,2)</f>
        <v>0</v>
      </c>
      <c r="I342" s="4028"/>
      <c r="J342" s="3332" t="s">
        <v>60</v>
      </c>
      <c r="K342" s="5180"/>
      <c r="L342" s="5176"/>
      <c r="R342" s="5186"/>
      <c r="S342" s="579"/>
    </row>
    <row r="343" spans="1:24" s="1291" customFormat="1" ht="13.5" customHeight="1">
      <c r="A343" s="3090"/>
      <c r="B343" s="3091"/>
      <c r="C343" s="3092"/>
      <c r="D343" s="3710" t="s">
        <v>8747</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8741</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8448</v>
      </c>
      <c r="C345" s="3330" t="s">
        <v>8748</v>
      </c>
      <c r="D345" s="3330" t="s">
        <v>8749</v>
      </c>
      <c r="E345" s="3330" t="s">
        <v>155</v>
      </c>
      <c r="F345" s="2890">
        <f>ROUND(SUM(F346),3)</f>
        <v>1</v>
      </c>
      <c r="G345" s="3331"/>
      <c r="H345" s="3975">
        <f t="shared" ref="H345" si="83">ROUND(F345*G345,2)</f>
        <v>0</v>
      </c>
      <c r="I345" s="4028"/>
      <c r="J345" s="3332" t="s">
        <v>60</v>
      </c>
      <c r="K345" s="5180"/>
      <c r="L345" s="5176"/>
      <c r="R345" s="5186"/>
      <c r="S345" s="579"/>
    </row>
    <row r="346" spans="1:24" s="1291" customFormat="1" ht="13.5" customHeight="1">
      <c r="A346" s="3090"/>
      <c r="B346" s="3091"/>
      <c r="C346" s="3092"/>
      <c r="D346" s="3710" t="s">
        <v>8750</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8741</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8448</v>
      </c>
      <c r="C348" s="3330" t="s">
        <v>8751</v>
      </c>
      <c r="D348" s="3330" t="s">
        <v>8752</v>
      </c>
      <c r="E348" s="3330" t="s">
        <v>155</v>
      </c>
      <c r="F348" s="2890">
        <f>ROUND(SUM(F349),3)</f>
        <v>2</v>
      </c>
      <c r="G348" s="3331"/>
      <c r="H348" s="3975">
        <f t="shared" ref="H348" si="84">ROUND(F348*G348,2)</f>
        <v>0</v>
      </c>
      <c r="I348" s="4028"/>
      <c r="J348" s="3332" t="s">
        <v>60</v>
      </c>
      <c r="K348" s="5180"/>
      <c r="L348" s="5176"/>
      <c r="R348" s="5186"/>
      <c r="S348" s="579"/>
    </row>
    <row r="349" spans="1:24" s="1291" customFormat="1" ht="13.5" customHeight="1">
      <c r="A349" s="3090"/>
      <c r="B349" s="3091"/>
      <c r="C349" s="3092"/>
      <c r="D349" s="3710" t="s">
        <v>8753</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8741</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8448</v>
      </c>
      <c r="C351" s="3330" t="s">
        <v>8754</v>
      </c>
      <c r="D351" s="3330" t="s">
        <v>8755</v>
      </c>
      <c r="E351" s="3330" t="s">
        <v>155</v>
      </c>
      <c r="F351" s="2890">
        <f>ROUND(SUM(F352),3)</f>
        <v>1</v>
      </c>
      <c r="G351" s="3331"/>
      <c r="H351" s="3975">
        <f t="shared" ref="H351" si="85">ROUND(F351*G351,2)</f>
        <v>0</v>
      </c>
      <c r="I351" s="4028"/>
      <c r="J351" s="3332" t="s">
        <v>60</v>
      </c>
      <c r="K351" s="5180"/>
      <c r="L351" s="5176"/>
      <c r="R351" s="5186"/>
      <c r="S351" s="579"/>
    </row>
    <row r="352" spans="1:24" s="1291" customFormat="1" ht="13.5" customHeight="1">
      <c r="A352" s="3090"/>
      <c r="B352" s="3091"/>
      <c r="C352" s="3092"/>
      <c r="D352" s="3710" t="s">
        <v>8756</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8757</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8448</v>
      </c>
      <c r="C354" s="3330" t="s">
        <v>8758</v>
      </c>
      <c r="D354" s="3330" t="s">
        <v>8759</v>
      </c>
      <c r="E354" s="3330" t="s">
        <v>155</v>
      </c>
      <c r="F354" s="2890">
        <f>ROUND(SUM(F355:F356),3)</f>
        <v>58</v>
      </c>
      <c r="G354" s="3331"/>
      <c r="H354" s="3975">
        <f t="shared" ref="H354" si="86">ROUND(F354*G354,2)</f>
        <v>0</v>
      </c>
      <c r="I354" s="4028"/>
      <c r="J354" s="3332" t="s">
        <v>60</v>
      </c>
      <c r="K354" s="5180"/>
      <c r="L354" s="5189"/>
      <c r="R354" s="5186"/>
      <c r="S354" s="579"/>
    </row>
    <row r="355" spans="1:24" s="1291" customFormat="1" ht="13.5" customHeight="1">
      <c r="A355" s="3090"/>
      <c r="B355" s="3091"/>
      <c r="C355" s="3092"/>
      <c r="D355" s="3710" t="s">
        <v>8760</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8761</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8762</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8448</v>
      </c>
      <c r="C358" s="3330" t="s">
        <v>8763</v>
      </c>
      <c r="D358" s="3330" t="s">
        <v>8764</v>
      </c>
      <c r="E358" s="3330" t="s">
        <v>155</v>
      </c>
      <c r="F358" s="2890">
        <f>ROUND(SUM(F359:F360),3)</f>
        <v>66</v>
      </c>
      <c r="G358" s="3331"/>
      <c r="H358" s="3975">
        <f t="shared" ref="H358" si="87">ROUND(F358*G358,2)</f>
        <v>0</v>
      </c>
      <c r="I358" s="4028"/>
      <c r="J358" s="3332" t="s">
        <v>60</v>
      </c>
      <c r="K358" s="2873"/>
      <c r="L358" s="5176"/>
      <c r="R358" s="5186"/>
      <c r="S358" s="579"/>
    </row>
    <row r="359" spans="1:24" s="1291" customFormat="1" ht="13.5" customHeight="1">
      <c r="A359" s="3090"/>
      <c r="B359" s="3091"/>
      <c r="C359" s="3092"/>
      <c r="D359" s="3710" t="s">
        <v>8765</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8766</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8767</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8448</v>
      </c>
      <c r="C362" s="3330" t="s">
        <v>8768</v>
      </c>
      <c r="D362" s="3330" t="s">
        <v>8769</v>
      </c>
      <c r="E362" s="3330" t="s">
        <v>155</v>
      </c>
      <c r="F362" s="2890">
        <f>ROUND(SUM(F363),3)</f>
        <v>2</v>
      </c>
      <c r="G362" s="3331"/>
      <c r="H362" s="3975">
        <f t="shared" ref="H362" si="88">ROUND(F362*G362,2)</f>
        <v>0</v>
      </c>
      <c r="I362" s="4028"/>
      <c r="J362" s="3332" t="s">
        <v>60</v>
      </c>
      <c r="K362" s="2873"/>
      <c r="L362" s="5176"/>
      <c r="R362" s="5186"/>
      <c r="S362" s="579"/>
    </row>
    <row r="363" spans="1:24" s="1291" customFormat="1" ht="13.5" customHeight="1">
      <c r="A363" s="3090"/>
      <c r="B363" s="3091"/>
      <c r="C363" s="3092"/>
      <c r="D363" s="3710" t="s">
        <v>8770</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8767</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8448</v>
      </c>
      <c r="C365" s="3330" t="s">
        <v>8771</v>
      </c>
      <c r="D365" s="3330" t="s">
        <v>8772</v>
      </c>
      <c r="E365" s="3330" t="s">
        <v>155</v>
      </c>
      <c r="F365" s="2890">
        <f>ROUND(SUM(F366:F367),3)</f>
        <v>59</v>
      </c>
      <c r="G365" s="3331"/>
      <c r="H365" s="3975">
        <f t="shared" ref="H365" si="89">ROUND(F365*G365,2)</f>
        <v>0</v>
      </c>
      <c r="I365" s="4028"/>
      <c r="J365" s="3332" t="s">
        <v>60</v>
      </c>
      <c r="K365" s="2873"/>
      <c r="L365" s="5176"/>
      <c r="R365" s="5186"/>
      <c r="S365" s="579"/>
    </row>
    <row r="366" spans="1:24" s="1291" customFormat="1" ht="13.5" customHeight="1">
      <c r="A366" s="3090"/>
      <c r="B366" s="3091"/>
      <c r="C366" s="3092"/>
      <c r="D366" s="3710" t="s">
        <v>8773</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8774</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8775</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8448</v>
      </c>
      <c r="C369" s="3330" t="s">
        <v>8776</v>
      </c>
      <c r="D369" s="3330" t="s">
        <v>8777</v>
      </c>
      <c r="E369" s="3330" t="s">
        <v>155</v>
      </c>
      <c r="F369" s="2890">
        <f>ROUND(SUM(F370),3)</f>
        <v>2</v>
      </c>
      <c r="G369" s="3331"/>
      <c r="H369" s="3975">
        <f t="shared" ref="H369" si="90">ROUND(F369*G369,2)</f>
        <v>0</v>
      </c>
      <c r="I369" s="4028"/>
      <c r="J369" s="3332" t="s">
        <v>60</v>
      </c>
      <c r="K369" s="2873"/>
      <c r="L369" s="5176"/>
      <c r="R369" s="5186"/>
      <c r="S369" s="579"/>
    </row>
    <row r="370" spans="1:24" s="1291" customFormat="1" ht="13.5" customHeight="1">
      <c r="A370" s="3090"/>
      <c r="B370" s="3091"/>
      <c r="C370" s="3092"/>
      <c r="D370" s="3710" t="s">
        <v>8778</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8775</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8448</v>
      </c>
      <c r="C372" s="3330" t="s">
        <v>8779</v>
      </c>
      <c r="D372" s="3330" t="s">
        <v>8780</v>
      </c>
      <c r="E372" s="3330" t="s">
        <v>155</v>
      </c>
      <c r="F372" s="2890">
        <f>ROUND(SUM(F373),3)</f>
        <v>1</v>
      </c>
      <c r="G372" s="3331"/>
      <c r="H372" s="3975">
        <f t="shared" ref="H372" si="91">ROUND(F372*G372,2)</f>
        <v>0</v>
      </c>
      <c r="I372" s="4028"/>
      <c r="J372" s="3332" t="s">
        <v>60</v>
      </c>
      <c r="K372" s="5180"/>
      <c r="L372" s="5189"/>
      <c r="N372" s="278"/>
      <c r="Q372" s="278"/>
    </row>
    <row r="373" spans="1:24" s="1291" customFormat="1" ht="13.5" customHeight="1">
      <c r="A373" s="3090"/>
      <c r="B373" s="3091"/>
      <c r="C373" s="3092"/>
      <c r="D373" s="3710" t="s">
        <v>8781</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8782</v>
      </c>
      <c r="E374" s="3343"/>
      <c r="F374" s="3730"/>
      <c r="G374" s="3729"/>
      <c r="H374" s="3863"/>
      <c r="I374" s="4037"/>
      <c r="J374" s="3096"/>
      <c r="K374" s="5176"/>
      <c r="L374" s="5146"/>
    </row>
    <row r="375" spans="1:24" s="120" customFormat="1" ht="13.5" customHeight="1">
      <c r="A375" s="3329">
        <v>87</v>
      </c>
      <c r="B375" s="3330" t="s">
        <v>8448</v>
      </c>
      <c r="C375" s="3330" t="s">
        <v>8783</v>
      </c>
      <c r="D375" s="3330" t="s">
        <v>8784</v>
      </c>
      <c r="E375" s="3330" t="s">
        <v>155</v>
      </c>
      <c r="F375" s="2890">
        <f>ROUND(SUM(F376),3)</f>
        <v>2</v>
      </c>
      <c r="G375" s="3331"/>
      <c r="H375" s="3975">
        <f t="shared" ref="H375" si="92">ROUND(F375*G375,2)</f>
        <v>0</v>
      </c>
      <c r="I375" s="4028"/>
      <c r="J375" s="3332" t="s">
        <v>60</v>
      </c>
      <c r="K375" s="5180"/>
      <c r="L375" s="5189"/>
      <c r="N375" s="278"/>
      <c r="Q375" s="278"/>
    </row>
    <row r="376" spans="1:24" s="1291" customFormat="1" ht="13.5" customHeight="1">
      <c r="A376" s="3090"/>
      <c r="B376" s="3091"/>
      <c r="C376" s="3092"/>
      <c r="D376" s="3710" t="s">
        <v>8785</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8782</v>
      </c>
      <c r="E377" s="3343"/>
      <c r="F377" s="3730"/>
      <c r="G377" s="3729"/>
      <c r="H377" s="3863"/>
      <c r="I377" s="4037"/>
      <c r="J377" s="3096"/>
      <c r="K377" s="5176"/>
      <c r="L377" s="5146"/>
    </row>
    <row r="378" spans="1:24" s="120" customFormat="1" ht="13.5" customHeight="1">
      <c r="A378" s="3329">
        <v>88</v>
      </c>
      <c r="B378" s="3330" t="s">
        <v>8448</v>
      </c>
      <c r="C378" s="3330" t="s">
        <v>8786</v>
      </c>
      <c r="D378" s="3330" t="s">
        <v>8787</v>
      </c>
      <c r="E378" s="3330" t="s">
        <v>155</v>
      </c>
      <c r="F378" s="2890">
        <f>ROUND(SUM(F379),3)</f>
        <v>4</v>
      </c>
      <c r="G378" s="3331"/>
      <c r="H378" s="3975">
        <f t="shared" ref="H378" si="93">ROUND(F378*G378,2)</f>
        <v>0</v>
      </c>
      <c r="I378" s="4028"/>
      <c r="J378" s="3332" t="s">
        <v>60</v>
      </c>
      <c r="K378" s="5180"/>
      <c r="L378" s="5189"/>
      <c r="N378" s="278"/>
      <c r="Q378" s="278"/>
    </row>
    <row r="379" spans="1:24" s="1291" customFormat="1" ht="13.5" customHeight="1">
      <c r="A379" s="3090"/>
      <c r="B379" s="3091"/>
      <c r="C379" s="3092"/>
      <c r="D379" s="3710" t="s">
        <v>8788</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8782</v>
      </c>
      <c r="E380" s="3343"/>
      <c r="F380" s="3730"/>
      <c r="G380" s="3729"/>
      <c r="H380" s="3863"/>
      <c r="I380" s="4037"/>
      <c r="J380" s="3096"/>
      <c r="K380" s="5176"/>
      <c r="L380" s="5146"/>
    </row>
    <row r="381" spans="1:24" s="120" customFormat="1" ht="13.5" customHeight="1">
      <c r="A381" s="3329">
        <v>89</v>
      </c>
      <c r="B381" s="3330" t="s">
        <v>8448</v>
      </c>
      <c r="C381" s="3330" t="s">
        <v>8789</v>
      </c>
      <c r="D381" s="3330" t="s">
        <v>8790</v>
      </c>
      <c r="E381" s="3330" t="s">
        <v>155</v>
      </c>
      <c r="F381" s="2890">
        <f>ROUND(SUM(F382),3)</f>
        <v>4</v>
      </c>
      <c r="G381" s="3331"/>
      <c r="H381" s="3975">
        <f t="shared" ref="H381" si="94">ROUND(F381*G381,2)</f>
        <v>0</v>
      </c>
      <c r="I381" s="4028"/>
      <c r="J381" s="3332" t="s">
        <v>60</v>
      </c>
      <c r="K381" s="5180"/>
      <c r="L381" s="5189"/>
      <c r="N381" s="278"/>
      <c r="Q381" s="278"/>
    </row>
    <row r="382" spans="1:24" s="1291" customFormat="1" ht="13.5" customHeight="1">
      <c r="A382" s="3090"/>
      <c r="B382" s="3091"/>
      <c r="C382" s="3092"/>
      <c r="D382" s="3710" t="s">
        <v>8791</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8782</v>
      </c>
      <c r="E383" s="3343"/>
      <c r="F383" s="3730"/>
      <c r="G383" s="3729"/>
      <c r="H383" s="3863"/>
      <c r="I383" s="4037"/>
      <c r="J383" s="3096"/>
      <c r="K383" s="5176"/>
      <c r="L383" s="5146"/>
    </row>
    <row r="384" spans="1:24" s="120" customFormat="1" ht="13.5" customHeight="1">
      <c r="A384" s="3329">
        <v>90</v>
      </c>
      <c r="B384" s="3330" t="s">
        <v>8448</v>
      </c>
      <c r="C384" s="3330" t="s">
        <v>8792</v>
      </c>
      <c r="D384" s="3330" t="s">
        <v>8793</v>
      </c>
      <c r="E384" s="3330" t="s">
        <v>155</v>
      </c>
      <c r="F384" s="2890">
        <f>ROUND(SUM(F385),3)</f>
        <v>1</v>
      </c>
      <c r="G384" s="3331"/>
      <c r="H384" s="3975">
        <f t="shared" ref="H384" si="95">ROUND(F384*G384,2)</f>
        <v>0</v>
      </c>
      <c r="I384" s="4028"/>
      <c r="J384" s="3332" t="s">
        <v>60</v>
      </c>
      <c r="K384" s="5180"/>
      <c r="L384" s="5189"/>
      <c r="N384" s="278"/>
      <c r="Q384" s="278"/>
    </row>
    <row r="385" spans="1:24" s="1291" customFormat="1" ht="13.5" customHeight="1">
      <c r="A385" s="3090"/>
      <c r="B385" s="3091"/>
      <c r="C385" s="3092"/>
      <c r="D385" s="3710" t="s">
        <v>8794</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8782</v>
      </c>
      <c r="E386" s="3343"/>
      <c r="F386" s="3730"/>
      <c r="G386" s="3729"/>
      <c r="H386" s="3863"/>
      <c r="I386" s="4037"/>
      <c r="J386" s="3096"/>
      <c r="K386" s="5176"/>
      <c r="L386" s="5146"/>
    </row>
    <row r="387" spans="1:24" s="120" customFormat="1" ht="13.5" customHeight="1">
      <c r="A387" s="3329">
        <v>91</v>
      </c>
      <c r="B387" s="3330" t="s">
        <v>8448</v>
      </c>
      <c r="C387" s="3330" t="s">
        <v>8795</v>
      </c>
      <c r="D387" s="3330" t="s">
        <v>8796</v>
      </c>
      <c r="E387" s="3330" t="s">
        <v>155</v>
      </c>
      <c r="F387" s="2890">
        <f>ROUND(SUM(F388),3)</f>
        <v>1</v>
      </c>
      <c r="G387" s="3331"/>
      <c r="H387" s="3975">
        <f t="shared" ref="H387" si="96">ROUND(F387*G387,2)</f>
        <v>0</v>
      </c>
      <c r="I387" s="4028"/>
      <c r="J387" s="3332" t="s">
        <v>60</v>
      </c>
      <c r="K387" s="5180"/>
      <c r="L387" s="5189"/>
      <c r="N387" s="278"/>
      <c r="Q387" s="278"/>
    </row>
    <row r="388" spans="1:24" s="1291" customFormat="1" ht="13.5" customHeight="1">
      <c r="A388" s="3090"/>
      <c r="B388" s="3091"/>
      <c r="C388" s="3092"/>
      <c r="D388" s="3710" t="s">
        <v>8797</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8782</v>
      </c>
      <c r="E389" s="3343"/>
      <c r="F389" s="3730"/>
      <c r="G389" s="3729"/>
      <c r="H389" s="3863"/>
      <c r="I389" s="4037"/>
      <c r="J389" s="3096"/>
      <c r="K389" s="5176"/>
      <c r="L389" s="5146"/>
    </row>
    <row r="390" spans="1:24" s="120" customFormat="1" ht="13.5" customHeight="1">
      <c r="A390" s="3329">
        <v>92</v>
      </c>
      <c r="B390" s="3330" t="s">
        <v>8448</v>
      </c>
      <c r="C390" s="3330" t="s">
        <v>8798</v>
      </c>
      <c r="D390" s="3330" t="s">
        <v>8799</v>
      </c>
      <c r="E390" s="3330" t="s">
        <v>155</v>
      </c>
      <c r="F390" s="2890">
        <f>ROUND(SUM(F391),3)</f>
        <v>1</v>
      </c>
      <c r="G390" s="3331"/>
      <c r="H390" s="3975">
        <f t="shared" ref="H390" si="97">ROUND(F390*G390,2)</f>
        <v>0</v>
      </c>
      <c r="I390" s="4028"/>
      <c r="J390" s="3332" t="s">
        <v>60</v>
      </c>
      <c r="K390" s="2873"/>
      <c r="L390" s="5176"/>
      <c r="R390" s="5186"/>
      <c r="S390" s="579"/>
    </row>
    <row r="391" spans="1:24" s="1291" customFormat="1" ht="13.5" customHeight="1">
      <c r="A391" s="3090"/>
      <c r="B391" s="3091"/>
      <c r="C391" s="3092"/>
      <c r="D391" s="3710" t="s">
        <v>8800</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8801</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8448</v>
      </c>
      <c r="C393" s="3330" t="s">
        <v>8802</v>
      </c>
      <c r="D393" s="3330" t="s">
        <v>8803</v>
      </c>
      <c r="E393" s="3330" t="s">
        <v>155</v>
      </c>
      <c r="F393" s="2890">
        <f>ROUND(SUM(F394),3)</f>
        <v>1</v>
      </c>
      <c r="G393" s="3331"/>
      <c r="H393" s="3975">
        <f t="shared" ref="H393" si="98">ROUND(F393*G393,2)</f>
        <v>0</v>
      </c>
      <c r="I393" s="4028"/>
      <c r="J393" s="3332" t="s">
        <v>60</v>
      </c>
      <c r="K393" s="2873"/>
      <c r="L393" s="5176"/>
      <c r="R393" s="5186"/>
      <c r="S393" s="579"/>
    </row>
    <row r="394" spans="1:24" s="1291" customFormat="1" ht="13.5" customHeight="1">
      <c r="A394" s="3090"/>
      <c r="B394" s="3091"/>
      <c r="C394" s="3092"/>
      <c r="D394" s="3710" t="s">
        <v>8804</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8801</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8448</v>
      </c>
      <c r="C396" s="3330" t="s">
        <v>8805</v>
      </c>
      <c r="D396" s="3330" t="s">
        <v>8806</v>
      </c>
      <c r="E396" s="3330" t="s">
        <v>155</v>
      </c>
      <c r="F396" s="2890">
        <f>ROUND(SUM(F397),3)</f>
        <v>1</v>
      </c>
      <c r="G396" s="3331"/>
      <c r="H396" s="3975">
        <f t="shared" ref="H396" si="99">ROUND(F396*G396,2)</f>
        <v>0</v>
      </c>
      <c r="I396" s="4028"/>
      <c r="J396" s="3332" t="s">
        <v>60</v>
      </c>
      <c r="K396" s="2873"/>
      <c r="L396" s="5176"/>
      <c r="R396" s="5186"/>
      <c r="S396" s="579"/>
    </row>
    <row r="397" spans="1:24" s="1291" customFormat="1" ht="13.5" customHeight="1">
      <c r="A397" s="3090"/>
      <c r="B397" s="3091"/>
      <c r="C397" s="3092"/>
      <c r="D397" s="3710" t="s">
        <v>8807</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8808</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8448</v>
      </c>
      <c r="C399" s="3330" t="s">
        <v>8809</v>
      </c>
      <c r="D399" s="3330" t="s">
        <v>8810</v>
      </c>
      <c r="E399" s="3330" t="s">
        <v>155</v>
      </c>
      <c r="F399" s="2890">
        <f>ROUND(SUM(F400),3)</f>
        <v>2</v>
      </c>
      <c r="G399" s="3331"/>
      <c r="H399" s="3975">
        <f t="shared" ref="H399" si="100">ROUND(F399*G399,2)</f>
        <v>0</v>
      </c>
      <c r="I399" s="4028"/>
      <c r="J399" s="3332" t="s">
        <v>60</v>
      </c>
      <c r="K399" s="5180"/>
      <c r="L399" s="5176"/>
      <c r="P399" s="1291"/>
      <c r="Q399" s="1291"/>
      <c r="R399" s="5187"/>
      <c r="S399" s="5184"/>
    </row>
    <row r="400" spans="1:24" s="1291" customFormat="1" ht="13.5" customHeight="1">
      <c r="A400" s="3090"/>
      <c r="B400" s="3091"/>
      <c r="C400" s="3092"/>
      <c r="D400" s="3710" t="s">
        <v>8811</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8812</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8448</v>
      </c>
      <c r="C402" s="2919" t="s">
        <v>8813</v>
      </c>
      <c r="D402" s="2919" t="s">
        <v>8814</v>
      </c>
      <c r="E402" s="2919" t="s">
        <v>155</v>
      </c>
      <c r="F402" s="2751">
        <f>ROUND(SUM(F403),3)</f>
        <v>2</v>
      </c>
      <c r="G402" s="2920"/>
      <c r="H402" s="3956">
        <f t="shared" ref="H402" si="101">ROUND(F402*G402,2)</f>
        <v>0</v>
      </c>
      <c r="I402" s="4009"/>
      <c r="J402" s="2911" t="s">
        <v>60</v>
      </c>
      <c r="K402" s="5191"/>
      <c r="L402" s="5176"/>
      <c r="P402" s="1291"/>
      <c r="Q402" s="1291"/>
      <c r="R402" s="5187"/>
      <c r="S402" s="5184"/>
    </row>
    <row r="403" spans="1:24" s="1291" customFormat="1" ht="13.5" customHeight="1">
      <c r="A403" s="2924"/>
      <c r="B403" s="2925"/>
      <c r="C403" s="2926"/>
      <c r="D403" s="2927" t="s">
        <v>8815</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8812</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8448</v>
      </c>
      <c r="C405" s="2919" t="s">
        <v>8816</v>
      </c>
      <c r="D405" s="2919" t="s">
        <v>8817</v>
      </c>
      <c r="E405" s="2919" t="s">
        <v>155</v>
      </c>
      <c r="F405" s="2751">
        <f>ROUND(SUM(F406),3)</f>
        <v>6</v>
      </c>
      <c r="G405" s="2920"/>
      <c r="H405" s="3956">
        <f t="shared" ref="H405" si="102">ROUND(F405*G405,2)</f>
        <v>0</v>
      </c>
      <c r="I405" s="4009"/>
      <c r="J405" s="2911" t="s">
        <v>60</v>
      </c>
      <c r="K405" s="5191"/>
      <c r="L405" s="5193"/>
      <c r="P405" s="1291"/>
      <c r="Q405" s="1291"/>
      <c r="R405" s="5187"/>
      <c r="S405" s="5184"/>
    </row>
    <row r="406" spans="1:24" s="1291" customFormat="1" ht="13.5" customHeight="1">
      <c r="A406" s="2924"/>
      <c r="B406" s="2925"/>
      <c r="C406" s="2926"/>
      <c r="D406" s="2927" t="s">
        <v>8818</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8448</v>
      </c>
      <c r="C407" s="2919" t="s">
        <v>8819</v>
      </c>
      <c r="D407" s="2919" t="s">
        <v>8820</v>
      </c>
      <c r="E407" s="2919" t="s">
        <v>155</v>
      </c>
      <c r="F407" s="2751">
        <f>ROUND(SUM(F408),3)</f>
        <v>18</v>
      </c>
      <c r="G407" s="2920"/>
      <c r="H407" s="3956">
        <f t="shared" ref="H407" si="103">ROUND(F407*G407,2)</f>
        <v>0</v>
      </c>
      <c r="I407" s="4009"/>
      <c r="J407" s="2911" t="s">
        <v>60</v>
      </c>
      <c r="K407" s="2694"/>
      <c r="L407" s="2932"/>
      <c r="M407" s="5146"/>
      <c r="N407" s="278"/>
      <c r="Q407" s="278"/>
      <c r="T407" s="562"/>
    </row>
    <row r="408" spans="1:24" s="1291" customFormat="1" ht="13.5" customHeight="1">
      <c r="A408" s="2924"/>
      <c r="B408" s="2925"/>
      <c r="C408" s="2926"/>
      <c r="D408" s="2927" t="s">
        <v>8821</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8822</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8448</v>
      </c>
      <c r="C410" s="2919" t="s">
        <v>8823</v>
      </c>
      <c r="D410" s="2919" t="s">
        <v>8824</v>
      </c>
      <c r="E410" s="2919" t="s">
        <v>23</v>
      </c>
      <c r="F410" s="2751">
        <f>ROUND(SUM(F411),3)</f>
        <v>18</v>
      </c>
      <c r="G410" s="2920"/>
      <c r="H410" s="3956">
        <f t="shared" ref="H410" si="104">ROUND(F410*G410,2)</f>
        <v>0</v>
      </c>
      <c r="I410" s="4009"/>
      <c r="J410" s="2911" t="s">
        <v>60</v>
      </c>
      <c r="K410" s="2694"/>
      <c r="L410" s="2902"/>
      <c r="O410" s="1291"/>
      <c r="P410" s="1291"/>
      <c r="R410" s="5187"/>
      <c r="S410" s="5184"/>
    </row>
    <row r="411" spans="1:24" s="1291" customFormat="1" ht="13.5" customHeight="1">
      <c r="A411" s="2924"/>
      <c r="B411" s="2925"/>
      <c r="C411" s="2926"/>
      <c r="D411" s="2927" t="s">
        <v>8825</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8826</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8827</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5575">
        <v>100</v>
      </c>
      <c r="B414" s="2919" t="s">
        <v>8448</v>
      </c>
      <c r="C414" s="2919" t="s">
        <v>8828</v>
      </c>
      <c r="D414" s="5576" t="s">
        <v>11678</v>
      </c>
      <c r="E414" s="2919" t="s">
        <v>155</v>
      </c>
      <c r="F414" s="2751">
        <f>ROUND(SUM(F415),3)</f>
        <v>1</v>
      </c>
      <c r="G414" s="2920"/>
      <c r="H414" s="3956">
        <f t="shared" ref="H414" si="105">ROUND(F414*G414,2)</f>
        <v>0</v>
      </c>
      <c r="I414" s="4009"/>
      <c r="J414" s="2911" t="s">
        <v>60</v>
      </c>
      <c r="K414" s="5191"/>
      <c r="L414" s="2902"/>
      <c r="O414" s="1291"/>
      <c r="P414" s="5197"/>
      <c r="R414" s="5187"/>
      <c r="S414" s="5184"/>
    </row>
    <row r="415" spans="1:24" s="1291" customFormat="1" ht="27" customHeight="1">
      <c r="A415" s="2924"/>
      <c r="B415" s="2925"/>
      <c r="C415" s="2926"/>
      <c r="D415" s="5577" t="s">
        <v>11679</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5577" t="s">
        <v>8829</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8830</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8448</v>
      </c>
      <c r="C418" s="2919" t="s">
        <v>8831</v>
      </c>
      <c r="D418" s="2919" t="s">
        <v>8832</v>
      </c>
      <c r="E418" s="2919" t="s">
        <v>155</v>
      </c>
      <c r="F418" s="2751">
        <f>ROUND(SUM(F419),3)</f>
        <v>1</v>
      </c>
      <c r="G418" s="2920"/>
      <c r="H418" s="3956">
        <f t="shared" ref="H418" si="106">ROUND(F418*G418,2)</f>
        <v>0</v>
      </c>
      <c r="I418" s="4009"/>
      <c r="J418" s="2911" t="s">
        <v>60</v>
      </c>
      <c r="K418" s="5191"/>
      <c r="L418" s="2902"/>
      <c r="O418" s="1291"/>
      <c r="P418" s="5197"/>
      <c r="R418" s="5187"/>
      <c r="S418" s="5184"/>
    </row>
    <row r="419" spans="1:24" s="1291" customFormat="1" ht="27" customHeight="1">
      <c r="A419" s="2924"/>
      <c r="B419" s="2925"/>
      <c r="C419" s="2926"/>
      <c r="D419" s="2927" t="s">
        <v>8833</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8829</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8830</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5575">
        <v>102</v>
      </c>
      <c r="B422" s="2919" t="s">
        <v>8448</v>
      </c>
      <c r="C422" s="2919" t="s">
        <v>8834</v>
      </c>
      <c r="D422" s="5576" t="s">
        <v>11677</v>
      </c>
      <c r="E422" s="2919" t="s">
        <v>155</v>
      </c>
      <c r="F422" s="2751">
        <f>ROUND(SUM(F423),3)</f>
        <v>1</v>
      </c>
      <c r="G422" s="2920"/>
      <c r="H422" s="3956">
        <f t="shared" ref="H422" si="107">ROUND(F422*G422,2)</f>
        <v>0</v>
      </c>
      <c r="I422" s="4009"/>
      <c r="J422" s="2911" t="s">
        <v>60</v>
      </c>
      <c r="K422" s="5191"/>
      <c r="L422" s="2902"/>
      <c r="O422" s="1291"/>
      <c r="P422" s="5197"/>
      <c r="R422" s="5187"/>
      <c r="S422" s="5184"/>
    </row>
    <row r="423" spans="1:24" s="1291" customFormat="1" ht="27" customHeight="1">
      <c r="A423" s="2924"/>
      <c r="B423" s="2925"/>
      <c r="C423" s="2926"/>
      <c r="D423" s="2927" t="s">
        <v>8835</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8829</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8830</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8448</v>
      </c>
      <c r="C426" s="2919" t="s">
        <v>8836</v>
      </c>
      <c r="D426" s="2919" t="s">
        <v>8837</v>
      </c>
      <c r="E426" s="2919" t="s">
        <v>155</v>
      </c>
      <c r="F426" s="2751">
        <f>ROUND(SUM(F427),3)</f>
        <v>1</v>
      </c>
      <c r="G426" s="2920"/>
      <c r="H426" s="3956">
        <f t="shared" ref="H426" si="108">ROUND(F426*G426,2)</f>
        <v>0</v>
      </c>
      <c r="I426" s="4009"/>
      <c r="J426" s="2911" t="s">
        <v>60</v>
      </c>
      <c r="K426" s="5191"/>
      <c r="L426" s="2902"/>
      <c r="O426" s="1291"/>
      <c r="P426" s="5197"/>
      <c r="R426" s="5187"/>
      <c r="S426" s="5184"/>
    </row>
    <row r="427" spans="1:24" s="1291" customFormat="1" ht="13.5" customHeight="1">
      <c r="A427" s="2924"/>
      <c r="B427" s="2925"/>
      <c r="C427" s="2926"/>
      <c r="D427" s="2927" t="s">
        <v>8838</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8839</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8830</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8840</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8448</v>
      </c>
      <c r="C431" s="2919" t="s">
        <v>8841</v>
      </c>
      <c r="D431" s="2919" t="s">
        <v>8842</v>
      </c>
      <c r="E431" s="2919" t="s">
        <v>155</v>
      </c>
      <c r="F431" s="2751">
        <f>ROUND(SUM(F432),3)</f>
        <v>1</v>
      </c>
      <c r="G431" s="2920"/>
      <c r="H431" s="3956">
        <f t="shared" ref="H431" si="109">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8843</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8844</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8830</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8448</v>
      </c>
      <c r="C435" s="2919" t="s">
        <v>8845</v>
      </c>
      <c r="D435" s="2919" t="s">
        <v>8846</v>
      </c>
      <c r="E435" s="2919" t="s">
        <v>155</v>
      </c>
      <c r="F435" s="2751">
        <f>ROUND(SUM(F436),3)</f>
        <v>1</v>
      </c>
      <c r="G435" s="2920"/>
      <c r="H435" s="3956">
        <f t="shared" ref="H435" si="110">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8847</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8844</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8830</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8448</v>
      </c>
      <c r="C439" s="2919" t="s">
        <v>8848</v>
      </c>
      <c r="D439" s="2919" t="s">
        <v>8849</v>
      </c>
      <c r="E439" s="2919" t="s">
        <v>155</v>
      </c>
      <c r="F439" s="2751">
        <f>ROUND(SUM(F440),3)</f>
        <v>1</v>
      </c>
      <c r="G439" s="2920"/>
      <c r="H439" s="3956">
        <f t="shared" ref="H439" si="111">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8850</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8844</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8830</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8448</v>
      </c>
      <c r="C443" s="2919" t="s">
        <v>8851</v>
      </c>
      <c r="D443" s="2919" t="s">
        <v>8852</v>
      </c>
      <c r="E443" s="2919" t="s">
        <v>155</v>
      </c>
      <c r="F443" s="2751">
        <f>ROUND(SUM(F444),3)</f>
        <v>1</v>
      </c>
      <c r="G443" s="2920"/>
      <c r="H443" s="3956">
        <f t="shared" ref="H443" si="112">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8853</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8844</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8830</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8448</v>
      </c>
      <c r="C447" s="2919" t="s">
        <v>8854</v>
      </c>
      <c r="D447" s="2919" t="s">
        <v>8855</v>
      </c>
      <c r="E447" s="2919" t="s">
        <v>155</v>
      </c>
      <c r="F447" s="2751">
        <f>ROUND(SUM(F448),3)</f>
        <v>1</v>
      </c>
      <c r="G447" s="2920"/>
      <c r="H447" s="3956">
        <f t="shared" ref="H447" si="113">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8856</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8844</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8830</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8448</v>
      </c>
      <c r="C451" s="2919" t="s">
        <v>8857</v>
      </c>
      <c r="D451" s="2919" t="s">
        <v>8858</v>
      </c>
      <c r="E451" s="2919" t="s">
        <v>155</v>
      </c>
      <c r="F451" s="2751">
        <f>ROUND(SUM(F452),3)</f>
        <v>1</v>
      </c>
      <c r="G451" s="2920"/>
      <c r="H451" s="3956">
        <f t="shared" ref="H451" si="114">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8859</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8844</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8830</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8860</v>
      </c>
      <c r="D455" s="2913" t="s">
        <v>8861</v>
      </c>
      <c r="E455" s="2913" t="s">
        <v>155</v>
      </c>
      <c r="F455" s="2751">
        <f>SUM(F456)</f>
        <v>1</v>
      </c>
      <c r="G455" s="2916"/>
      <c r="H455" s="3956">
        <f t="shared" ref="H455" si="115">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8862</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8863</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8864</v>
      </c>
      <c r="D458" s="2913" t="s">
        <v>8865</v>
      </c>
      <c r="E458" s="2913" t="s">
        <v>155</v>
      </c>
      <c r="F458" s="2751">
        <f>SUM(F459)</f>
        <v>1</v>
      </c>
      <c r="G458" s="2916"/>
      <c r="H458" s="3956">
        <f t="shared" ref="H458" si="116">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8866</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8863</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8867</v>
      </c>
      <c r="D461" s="2913" t="s">
        <v>8868</v>
      </c>
      <c r="E461" s="2913" t="s">
        <v>155</v>
      </c>
      <c r="F461" s="2751">
        <f>SUM(F462)</f>
        <v>1</v>
      </c>
      <c r="G461" s="2916"/>
      <c r="H461" s="3956">
        <f t="shared" ref="H461" si="117">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8869</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8863</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8870</v>
      </c>
      <c r="D464" s="2913" t="s">
        <v>8871</v>
      </c>
      <c r="E464" s="2913" t="s">
        <v>155</v>
      </c>
      <c r="F464" s="2751">
        <f>SUM(F465)</f>
        <v>1</v>
      </c>
      <c r="G464" s="2916"/>
      <c r="H464" s="3956">
        <f t="shared" ref="H464" si="118">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8872</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8863</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8873</v>
      </c>
      <c r="D467" s="2913" t="s">
        <v>8874</v>
      </c>
      <c r="E467" s="2913" t="s">
        <v>155</v>
      </c>
      <c r="F467" s="2751">
        <f>SUM(F468)</f>
        <v>1</v>
      </c>
      <c r="G467" s="2916"/>
      <c r="H467" s="3956">
        <f t="shared" ref="H467" si="119">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8875</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8863</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8876</v>
      </c>
      <c r="D470" s="2913" t="s">
        <v>8877</v>
      </c>
      <c r="E470" s="2913" t="s">
        <v>155</v>
      </c>
      <c r="F470" s="2751">
        <f>SUM(F471)</f>
        <v>1</v>
      </c>
      <c r="G470" s="2916"/>
      <c r="H470" s="3956">
        <f t="shared" ref="H470" si="120">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8878</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8863</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8879</v>
      </c>
      <c r="D473" s="2913" t="s">
        <v>8880</v>
      </c>
      <c r="E473" s="2913" t="s">
        <v>155</v>
      </c>
      <c r="F473" s="2751">
        <f>SUM(F474)</f>
        <v>1</v>
      </c>
      <c r="G473" s="2916"/>
      <c r="H473" s="3956">
        <f t="shared" ref="H473" si="121">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8881</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8882</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8883</v>
      </c>
      <c r="D476" s="2913" t="s">
        <v>8884</v>
      </c>
      <c r="E476" s="2913" t="s">
        <v>155</v>
      </c>
      <c r="F476" s="2751">
        <f>SUM(F477)</f>
        <v>1</v>
      </c>
      <c r="G476" s="2916"/>
      <c r="H476" s="3956">
        <f t="shared" ref="H476" si="122">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8885</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8882</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8886</v>
      </c>
      <c r="D479" s="2913" t="s">
        <v>8887</v>
      </c>
      <c r="E479" s="2913" t="s">
        <v>155</v>
      </c>
      <c r="F479" s="2751">
        <f>SUM(F480)</f>
        <v>1</v>
      </c>
      <c r="G479" s="2916"/>
      <c r="H479" s="3956">
        <f t="shared" ref="H479" si="123">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8888</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8882</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8889</v>
      </c>
      <c r="D482" s="2913" t="s">
        <v>8890</v>
      </c>
      <c r="E482" s="2913" t="s">
        <v>155</v>
      </c>
      <c r="F482" s="2751">
        <f>SUM(F483)</f>
        <v>1</v>
      </c>
      <c r="G482" s="2916"/>
      <c r="H482" s="3956">
        <f t="shared" ref="H482" si="124">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8891</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8882</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8892</v>
      </c>
      <c r="D485" s="2913" t="s">
        <v>8893</v>
      </c>
      <c r="E485" s="2913" t="s">
        <v>155</v>
      </c>
      <c r="F485" s="2751">
        <f>SUM(F486)</f>
        <v>1</v>
      </c>
      <c r="G485" s="2916"/>
      <c r="H485" s="3956">
        <f t="shared" ref="H485" si="125">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8894</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8882</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8895</v>
      </c>
      <c r="D488" s="2913" t="s">
        <v>8896</v>
      </c>
      <c r="E488" s="2913" t="s">
        <v>155</v>
      </c>
      <c r="F488" s="2751">
        <f>SUM(F489)</f>
        <v>1</v>
      </c>
      <c r="G488" s="2916"/>
      <c r="H488" s="3956">
        <f t="shared" ref="H488" si="126">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8897</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8882</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8898</v>
      </c>
      <c r="D491" s="2913" t="s">
        <v>8899</v>
      </c>
      <c r="E491" s="2913" t="s">
        <v>155</v>
      </c>
      <c r="F491" s="2751">
        <f>SUM(F492)</f>
        <v>1</v>
      </c>
      <c r="G491" s="2916"/>
      <c r="H491" s="3956">
        <f t="shared" ref="H491" si="127">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8900</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8882</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8901</v>
      </c>
      <c r="D494" s="2913" t="s">
        <v>8902</v>
      </c>
      <c r="E494" s="2913" t="s">
        <v>155</v>
      </c>
      <c r="F494" s="2751">
        <f>SUM(F495)</f>
        <v>1</v>
      </c>
      <c r="G494" s="2916"/>
      <c r="H494" s="3956">
        <f t="shared" ref="H494" si="128">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8903</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8882</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8904</v>
      </c>
      <c r="D497" s="2913" t="s">
        <v>8905</v>
      </c>
      <c r="E497" s="2913" t="s">
        <v>155</v>
      </c>
      <c r="F497" s="2751">
        <f>SUM(F498)</f>
        <v>1</v>
      </c>
      <c r="G497" s="2916"/>
      <c r="H497" s="3956">
        <f t="shared" ref="H497" si="129">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8906</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8882</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8907</v>
      </c>
      <c r="D500" s="2913" t="s">
        <v>8908</v>
      </c>
      <c r="E500" s="2913" t="s">
        <v>155</v>
      </c>
      <c r="F500" s="2751">
        <f>SUM(F501)</f>
        <v>1</v>
      </c>
      <c r="G500" s="2916"/>
      <c r="H500" s="3956">
        <f t="shared" ref="H500" si="130">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8909</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8882</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8910</v>
      </c>
      <c r="D503" s="2913" t="s">
        <v>8911</v>
      </c>
      <c r="E503" s="2913" t="s">
        <v>155</v>
      </c>
      <c r="F503" s="2751">
        <f>SUM(F504)</f>
        <v>1</v>
      </c>
      <c r="G503" s="2916"/>
      <c r="H503" s="3956">
        <f t="shared" ref="H503" si="131">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8912</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8882</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8913</v>
      </c>
      <c r="D506" s="2913" t="s">
        <v>8914</v>
      </c>
      <c r="E506" s="2913" t="s">
        <v>155</v>
      </c>
      <c r="F506" s="2751">
        <f>SUM(F507)</f>
        <v>1</v>
      </c>
      <c r="G506" s="2916"/>
      <c r="H506" s="3956">
        <f t="shared" ref="H506" si="132">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8915</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8882</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8916</v>
      </c>
      <c r="D509" s="2913" t="s">
        <v>8917</v>
      </c>
      <c r="E509" s="2913" t="s">
        <v>155</v>
      </c>
      <c r="F509" s="2751">
        <f>SUM(F510)</f>
        <v>1</v>
      </c>
      <c r="G509" s="2916"/>
      <c r="H509" s="3956">
        <f t="shared" ref="H509" si="133">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8918</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8882</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8919</v>
      </c>
      <c r="D512" s="2913" t="s">
        <v>8920</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6421</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10678</v>
      </c>
      <c r="B514" s="2958"/>
      <c r="C514" s="2959" t="s">
        <v>8921</v>
      </c>
      <c r="D514" s="2914" t="s">
        <v>8922</v>
      </c>
      <c r="E514" s="2959" t="s">
        <v>155</v>
      </c>
      <c r="F514" s="2915">
        <f>F512</f>
        <v>5</v>
      </c>
      <c r="G514" s="2960"/>
      <c r="H514" s="3987">
        <f t="shared" ref="H514:H517" si="134">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10679</v>
      </c>
      <c r="B515" s="2958"/>
      <c r="C515" s="2959" t="s">
        <v>8923</v>
      </c>
      <c r="D515" s="2914" t="s">
        <v>8924</v>
      </c>
      <c r="E515" s="2959" t="s">
        <v>155</v>
      </c>
      <c r="F515" s="2915">
        <f>F512</f>
        <v>5</v>
      </c>
      <c r="G515" s="2960"/>
      <c r="H515" s="3987">
        <f t="shared" si="134"/>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10680</v>
      </c>
      <c r="B516" s="2963"/>
      <c r="C516" s="2964" t="s">
        <v>8925</v>
      </c>
      <c r="D516" s="2965" t="s">
        <v>8926</v>
      </c>
      <c r="E516" s="2964" t="s">
        <v>155</v>
      </c>
      <c r="F516" s="2966">
        <f>F512</f>
        <v>5</v>
      </c>
      <c r="G516" s="2967"/>
      <c r="H516" s="3988">
        <f t="shared" si="134"/>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10681</v>
      </c>
      <c r="B517" s="2958"/>
      <c r="C517" s="2959" t="s">
        <v>6432</v>
      </c>
      <c r="D517" s="2914" t="s">
        <v>8927</v>
      </c>
      <c r="E517" s="2959" t="s">
        <v>23</v>
      </c>
      <c r="F517" s="2915">
        <f>F512</f>
        <v>5</v>
      </c>
      <c r="G517" s="2960"/>
      <c r="H517" s="3987">
        <f t="shared" si="134"/>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8928</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8929</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8930</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6435</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8448</v>
      </c>
      <c r="C522" s="2972" t="s">
        <v>8931</v>
      </c>
      <c r="D522" s="2973" t="s">
        <v>8932</v>
      </c>
      <c r="E522" s="2974" t="s">
        <v>23</v>
      </c>
      <c r="F522" s="2975">
        <f>SUM(F523)</f>
        <v>1</v>
      </c>
      <c r="G522" s="2730"/>
      <c r="H522" s="3952">
        <f t="shared" ref="H522" si="135">ROUND(F522*G522,2)</f>
        <v>0</v>
      </c>
      <c r="I522" s="4005"/>
      <c r="J522" s="2976" t="s">
        <v>60</v>
      </c>
    </row>
    <row r="523" spans="1:41" s="2356" customFormat="1" ht="27" customHeight="1">
      <c r="A523" s="2977"/>
      <c r="B523" s="2978"/>
      <c r="C523" s="2978"/>
      <c r="D523" s="2979" t="s">
        <v>8933</v>
      </c>
      <c r="E523" s="2980"/>
      <c r="F523" s="2981">
        <v>1</v>
      </c>
      <c r="G523" s="2982"/>
      <c r="H523" s="3989"/>
      <c r="I523" s="4045"/>
      <c r="J523" s="2983"/>
      <c r="K523" s="4858"/>
      <c r="L523" s="5211"/>
    </row>
    <row r="524" spans="1:41" s="2356" customFormat="1" ht="54" customHeight="1">
      <c r="A524" s="2984"/>
      <c r="B524" s="2985"/>
      <c r="C524" s="2986"/>
      <c r="D524" s="2987" t="s">
        <v>8934</v>
      </c>
      <c r="E524" s="2979"/>
      <c r="F524" s="2988"/>
      <c r="G524" s="2989"/>
      <c r="H524" s="3990"/>
      <c r="I524" s="4046"/>
      <c r="J524" s="2990"/>
      <c r="K524" s="5212"/>
      <c r="L524" s="5213"/>
      <c r="M524" s="5214"/>
      <c r="N524" s="5214"/>
    </row>
    <row r="525" spans="1:41" s="120" customFormat="1" ht="13.5" customHeight="1">
      <c r="A525" s="2991">
        <v>131</v>
      </c>
      <c r="B525" s="2992" t="s">
        <v>8448</v>
      </c>
      <c r="C525" s="2992">
        <v>998734203</v>
      </c>
      <c r="D525" s="2992" t="s">
        <v>8935</v>
      </c>
      <c r="E525" s="2992" t="s">
        <v>8</v>
      </c>
      <c r="F525" s="2993">
        <v>0.3</v>
      </c>
      <c r="G525" s="2994"/>
      <c r="H525" s="3952">
        <f t="shared" ref="H525:H526" si="136">ROUND(F525*G525,2)</f>
        <v>0</v>
      </c>
      <c r="I525" s="4005"/>
      <c r="J525" s="2995" t="s">
        <v>142</v>
      </c>
      <c r="K525" s="2996"/>
    </row>
    <row r="526" spans="1:41" s="120" customFormat="1" ht="13.5" customHeight="1">
      <c r="A526" s="2991">
        <v>132</v>
      </c>
      <c r="B526" s="2992" t="s">
        <v>188</v>
      </c>
      <c r="C526" s="2992" t="s">
        <v>8586</v>
      </c>
      <c r="D526" s="2992" t="s">
        <v>8587</v>
      </c>
      <c r="E526" s="2992" t="s">
        <v>191</v>
      </c>
      <c r="F526" s="2722">
        <f>ROUND(SUM(F527),3)</f>
        <v>20</v>
      </c>
      <c r="G526" s="2994"/>
      <c r="H526" s="3952">
        <f t="shared" si="136"/>
        <v>0</v>
      </c>
      <c r="I526" s="4005"/>
      <c r="J526" s="2995" t="s">
        <v>142</v>
      </c>
      <c r="K526" s="2903"/>
    </row>
    <row r="527" spans="1:41" s="1291" customFormat="1" ht="13.5" customHeight="1">
      <c r="A527" s="2997"/>
      <c r="B527" s="2998"/>
      <c r="C527" s="2999"/>
      <c r="D527" s="3000" t="s">
        <v>8936</v>
      </c>
      <c r="E527" s="3001"/>
      <c r="F527" s="3002">
        <v>20</v>
      </c>
      <c r="G527" s="3003"/>
      <c r="H527" s="3991"/>
      <c r="I527" s="4047"/>
      <c r="J527" s="3004"/>
      <c r="K527" s="1290"/>
      <c r="V527" s="1292"/>
      <c r="X527" s="1292"/>
    </row>
    <row r="528" spans="1:41" s="1291" customFormat="1" ht="13.5" customHeight="1">
      <c r="A528" s="2997"/>
      <c r="B528" s="2998"/>
      <c r="C528" s="2999"/>
      <c r="D528" s="3000" t="s">
        <v>8937</v>
      </c>
      <c r="E528" s="3001"/>
      <c r="F528" s="3002"/>
      <c r="G528" s="3003"/>
      <c r="H528" s="3991"/>
      <c r="I528" s="4047"/>
      <c r="J528" s="3004"/>
      <c r="K528" s="1290"/>
      <c r="V528" s="1292"/>
      <c r="X528" s="1292"/>
    </row>
    <row r="529" spans="1:25" s="120" customFormat="1" ht="13.5" customHeight="1">
      <c r="A529" s="2991"/>
      <c r="B529" s="2992"/>
      <c r="C529" s="3005">
        <v>735</v>
      </c>
      <c r="D529" s="3005" t="s">
        <v>8938</v>
      </c>
      <c r="E529" s="3005"/>
      <c r="F529" s="3006"/>
      <c r="G529" s="3007"/>
      <c r="H529" s="3992">
        <f>SUM(H530:H597)</f>
        <v>0</v>
      </c>
      <c r="I529" s="4048">
        <f>SUM(I530:I597)</f>
        <v>0</v>
      </c>
      <c r="J529" s="2995"/>
      <c r="K529" s="562"/>
    </row>
    <row r="530" spans="1:25" s="120" customFormat="1" ht="13.5" customHeight="1">
      <c r="A530" s="2991">
        <v>133</v>
      </c>
      <c r="B530" s="2992">
        <v>731</v>
      </c>
      <c r="C530" s="2992" t="s">
        <v>8939</v>
      </c>
      <c r="D530" s="2992" t="s">
        <v>8940</v>
      </c>
      <c r="E530" s="2992" t="s">
        <v>611</v>
      </c>
      <c r="F530" s="2993">
        <v>53.929000000000002</v>
      </c>
      <c r="G530" s="2994"/>
      <c r="H530" s="3952">
        <f t="shared" ref="H530:H537" si="137">ROUND(F530*G530,2)</f>
        <v>0</v>
      </c>
      <c r="I530" s="4005"/>
      <c r="J530" s="2995" t="s">
        <v>60</v>
      </c>
      <c r="K530" s="5215"/>
      <c r="L530" s="5215"/>
      <c r="M530" s="5216"/>
    </row>
    <row r="531" spans="1:25" s="120" customFormat="1" ht="13.5" customHeight="1">
      <c r="A531" s="2991">
        <v>134</v>
      </c>
      <c r="B531" s="2992">
        <v>731</v>
      </c>
      <c r="C531" s="2992" t="s">
        <v>8941</v>
      </c>
      <c r="D531" s="2992" t="s">
        <v>8942</v>
      </c>
      <c r="E531" s="2992" t="s">
        <v>611</v>
      </c>
      <c r="F531" s="2993">
        <v>53.929000000000002</v>
      </c>
      <c r="G531" s="2994"/>
      <c r="H531" s="3952">
        <f t="shared" si="137"/>
        <v>0</v>
      </c>
      <c r="I531" s="4005"/>
      <c r="J531" s="2995" t="s">
        <v>60</v>
      </c>
      <c r="K531" s="5217"/>
      <c r="L531" s="5218"/>
      <c r="M531" s="5219"/>
    </row>
    <row r="532" spans="1:25" s="120" customFormat="1" ht="13.5" customHeight="1">
      <c r="A532" s="2991">
        <v>135</v>
      </c>
      <c r="B532" s="2992">
        <v>731</v>
      </c>
      <c r="C532" s="2992">
        <v>735191905</v>
      </c>
      <c r="D532" s="2992" t="s">
        <v>8943</v>
      </c>
      <c r="E532" s="2992" t="s">
        <v>155</v>
      </c>
      <c r="F532" s="2993">
        <v>59</v>
      </c>
      <c r="G532" s="2994"/>
      <c r="H532" s="3952">
        <f t="shared" si="137"/>
        <v>0</v>
      </c>
      <c r="I532" s="4005"/>
      <c r="J532" s="2995" t="s">
        <v>863</v>
      </c>
      <c r="K532" s="2903"/>
      <c r="L532" s="5220"/>
      <c r="M532" s="5216"/>
    </row>
    <row r="533" spans="1:25" s="120" customFormat="1" ht="13.5" customHeight="1">
      <c r="A533" s="2991">
        <v>136</v>
      </c>
      <c r="B533" s="2992">
        <v>731</v>
      </c>
      <c r="C533" s="2992">
        <v>735191910</v>
      </c>
      <c r="D533" s="2992" t="s">
        <v>8944</v>
      </c>
      <c r="E533" s="2992" t="s">
        <v>611</v>
      </c>
      <c r="F533" s="2993">
        <v>53.929000000000002</v>
      </c>
      <c r="G533" s="2994"/>
      <c r="H533" s="3952">
        <f t="shared" si="137"/>
        <v>0</v>
      </c>
      <c r="I533" s="4005"/>
      <c r="J533" s="2995" t="s">
        <v>863</v>
      </c>
      <c r="K533" s="2903"/>
    </row>
    <row r="534" spans="1:25" s="120" customFormat="1" ht="13.5" customHeight="1">
      <c r="A534" s="2991">
        <v>137</v>
      </c>
      <c r="B534" s="2992">
        <v>731</v>
      </c>
      <c r="C534" s="2992" t="s">
        <v>8945</v>
      </c>
      <c r="D534" s="2992" t="s">
        <v>8946</v>
      </c>
      <c r="E534" s="2992" t="s">
        <v>155</v>
      </c>
      <c r="F534" s="2993">
        <v>59</v>
      </c>
      <c r="G534" s="2994"/>
      <c r="H534" s="3952">
        <f t="shared" si="137"/>
        <v>0</v>
      </c>
      <c r="I534" s="4005"/>
      <c r="J534" s="2995" t="s">
        <v>60</v>
      </c>
      <c r="K534" s="2903"/>
      <c r="R534" s="369"/>
    </row>
    <row r="535" spans="1:25" s="120" customFormat="1" ht="13.5" customHeight="1">
      <c r="A535" s="2991">
        <v>138</v>
      </c>
      <c r="B535" s="2992">
        <v>731</v>
      </c>
      <c r="C535" s="2992" t="s">
        <v>8947</v>
      </c>
      <c r="D535" s="2992" t="s">
        <v>8948</v>
      </c>
      <c r="E535" s="2992" t="s">
        <v>191</v>
      </c>
      <c r="F535" s="2993">
        <v>72</v>
      </c>
      <c r="G535" s="2994"/>
      <c r="H535" s="3952">
        <f t="shared" si="137"/>
        <v>0</v>
      </c>
      <c r="I535" s="4005"/>
      <c r="J535" s="2995" t="s">
        <v>60</v>
      </c>
      <c r="K535" s="2903"/>
      <c r="R535" s="369"/>
    </row>
    <row r="536" spans="1:25" s="120" customFormat="1" ht="13.5" customHeight="1">
      <c r="A536" s="2991">
        <v>139</v>
      </c>
      <c r="B536" s="2992">
        <v>731</v>
      </c>
      <c r="C536" s="2992" t="s">
        <v>8949</v>
      </c>
      <c r="D536" s="2992" t="s">
        <v>8950</v>
      </c>
      <c r="E536" s="2992" t="s">
        <v>23</v>
      </c>
      <c r="F536" s="2993">
        <v>1</v>
      </c>
      <c r="G536" s="2994"/>
      <c r="H536" s="3952">
        <f t="shared" si="137"/>
        <v>0</v>
      </c>
      <c r="I536" s="4005"/>
      <c r="J536" s="2995" t="s">
        <v>60</v>
      </c>
      <c r="K536" s="2903"/>
      <c r="R536" s="369"/>
    </row>
    <row r="537" spans="1:25" s="120" customFormat="1" ht="13.5" customHeight="1">
      <c r="A537" s="2991">
        <v>140</v>
      </c>
      <c r="B537" s="2992">
        <v>731</v>
      </c>
      <c r="C537" s="2992" t="s">
        <v>8951</v>
      </c>
      <c r="D537" s="2992" t="s">
        <v>8952</v>
      </c>
      <c r="E537" s="2992" t="s">
        <v>155</v>
      </c>
      <c r="F537" s="2722">
        <f>ROUND(SUM(F539:F541),3)</f>
        <v>36</v>
      </c>
      <c r="G537" s="2994"/>
      <c r="H537" s="3952">
        <f t="shared" si="137"/>
        <v>0</v>
      </c>
      <c r="I537" s="4005"/>
      <c r="J537" s="2995" t="s">
        <v>60</v>
      </c>
      <c r="K537" s="5221"/>
    </row>
    <row r="538" spans="1:25" s="2268" customFormat="1" ht="27" customHeight="1">
      <c r="A538" s="2984"/>
      <c r="B538" s="3008"/>
      <c r="C538" s="3009"/>
      <c r="D538" s="3010" t="s">
        <v>8953</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6528</v>
      </c>
      <c r="E539" s="2979"/>
      <c r="F539" s="2981">
        <v>7</v>
      </c>
      <c r="G539" s="3015"/>
      <c r="H539" s="3994"/>
      <c r="I539" s="4050"/>
      <c r="J539" s="2976"/>
      <c r="K539" s="3016"/>
      <c r="S539" s="4884"/>
    </row>
    <row r="540" spans="1:25" s="2356" customFormat="1" ht="13.5" customHeight="1">
      <c r="A540" s="3014"/>
      <c r="B540" s="2979"/>
      <c r="C540" s="2979"/>
      <c r="D540" s="2979" t="s">
        <v>6529</v>
      </c>
      <c r="E540" s="2979"/>
      <c r="F540" s="2981">
        <v>15</v>
      </c>
      <c r="G540" s="3015"/>
      <c r="H540" s="3994"/>
      <c r="I540" s="4050"/>
      <c r="J540" s="2976"/>
      <c r="K540" s="3016"/>
      <c r="S540" s="4884"/>
    </row>
    <row r="541" spans="1:25" s="2356" customFormat="1" ht="13.5" customHeight="1">
      <c r="A541" s="3014"/>
      <c r="B541" s="2979"/>
      <c r="C541" s="2979"/>
      <c r="D541" s="2979" t="s">
        <v>6530</v>
      </c>
      <c r="E541" s="2979"/>
      <c r="F541" s="2981">
        <v>14</v>
      </c>
      <c r="G541" s="3015"/>
      <c r="H541" s="3994"/>
      <c r="I541" s="4050"/>
      <c r="J541" s="2976"/>
      <c r="K541" s="3016"/>
      <c r="S541" s="4884"/>
    </row>
    <row r="542" spans="1:25" s="3023" customFormat="1" ht="40.5" customHeight="1">
      <c r="A542" s="3017"/>
      <c r="B542" s="3018"/>
      <c r="C542" s="3018"/>
      <c r="D542" s="3019" t="s">
        <v>8954</v>
      </c>
      <c r="E542" s="3018"/>
      <c r="F542" s="3020"/>
      <c r="G542" s="3021"/>
      <c r="H542" s="3995"/>
      <c r="I542" s="4051"/>
      <c r="J542" s="3022"/>
      <c r="K542" s="5225"/>
      <c r="L542" s="5226"/>
      <c r="N542" s="5227"/>
      <c r="O542" s="5228"/>
    </row>
    <row r="543" spans="1:25" s="3023" customFormat="1" ht="13.5" customHeight="1">
      <c r="A543" s="3017"/>
      <c r="B543" s="3018"/>
      <c r="C543" s="3018"/>
      <c r="D543" s="3019" t="s">
        <v>8955</v>
      </c>
      <c r="E543" s="3018"/>
      <c r="F543" s="3020"/>
      <c r="G543" s="3021"/>
      <c r="H543" s="3995"/>
      <c r="I543" s="4051"/>
      <c r="J543" s="3022"/>
      <c r="K543" s="5229"/>
      <c r="L543" s="5229"/>
    </row>
    <row r="544" spans="1:25" s="120" customFormat="1" ht="13.5" customHeight="1">
      <c r="A544" s="2991">
        <v>141</v>
      </c>
      <c r="B544" s="2992">
        <v>731</v>
      </c>
      <c r="C544" s="2992" t="s">
        <v>8956</v>
      </c>
      <c r="D544" s="2992" t="s">
        <v>8957</v>
      </c>
      <c r="E544" s="2992" t="s">
        <v>155</v>
      </c>
      <c r="F544" s="2722">
        <f>ROUND(SUM(F546),3)</f>
        <v>3</v>
      </c>
      <c r="G544" s="2994"/>
      <c r="H544" s="3952">
        <f t="shared" ref="H544" si="138">ROUND(F544*G544,2)</f>
        <v>0</v>
      </c>
      <c r="I544" s="4005"/>
      <c r="J544" s="2995" t="s">
        <v>60</v>
      </c>
      <c r="K544" s="5221"/>
    </row>
    <row r="545" spans="1:25" s="2268" customFormat="1" ht="27" customHeight="1">
      <c r="A545" s="2984"/>
      <c r="B545" s="3008"/>
      <c r="C545" s="3009"/>
      <c r="D545" s="3010" t="s">
        <v>8953</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6532</v>
      </c>
      <c r="E546" s="2979"/>
      <c r="F546" s="2981">
        <v>3</v>
      </c>
      <c r="G546" s="3015"/>
      <c r="H546" s="3994"/>
      <c r="I546" s="4050"/>
      <c r="J546" s="2976"/>
      <c r="K546" s="3016"/>
      <c r="S546" s="4884"/>
    </row>
    <row r="547" spans="1:25" s="3023" customFormat="1" ht="40.5" customHeight="1">
      <c r="A547" s="3017"/>
      <c r="B547" s="3018"/>
      <c r="C547" s="3018"/>
      <c r="D547" s="3019" t="s">
        <v>8954</v>
      </c>
      <c r="E547" s="3018"/>
      <c r="F547" s="3020"/>
      <c r="G547" s="3021"/>
      <c r="H547" s="3995"/>
      <c r="I547" s="4051"/>
      <c r="J547" s="3022"/>
      <c r="K547" s="5225"/>
      <c r="L547" s="5226"/>
      <c r="N547" s="5227"/>
      <c r="O547" s="5228"/>
    </row>
    <row r="548" spans="1:25" s="3023" customFormat="1" ht="13.5" customHeight="1">
      <c r="A548" s="3017"/>
      <c r="B548" s="3018"/>
      <c r="C548" s="3018"/>
      <c r="D548" s="3019" t="s">
        <v>8955</v>
      </c>
      <c r="E548" s="3018"/>
      <c r="F548" s="3020"/>
      <c r="G548" s="3021"/>
      <c r="H548" s="3995"/>
      <c r="I548" s="4051"/>
      <c r="J548" s="3022"/>
      <c r="K548" s="5229"/>
      <c r="L548" s="5229"/>
    </row>
    <row r="549" spans="1:25" s="120" customFormat="1" ht="13.5" customHeight="1">
      <c r="A549" s="2991">
        <v>142</v>
      </c>
      <c r="B549" s="2992">
        <v>731</v>
      </c>
      <c r="C549" s="2992" t="s">
        <v>8958</v>
      </c>
      <c r="D549" s="2992" t="s">
        <v>8959</v>
      </c>
      <c r="E549" s="2992" t="s">
        <v>155</v>
      </c>
      <c r="F549" s="2722">
        <f>ROUND(SUM(F551),3)</f>
        <v>13</v>
      </c>
      <c r="G549" s="2994"/>
      <c r="H549" s="3952">
        <f t="shared" ref="H549" si="139">ROUND(F549*G549,2)</f>
        <v>0</v>
      </c>
      <c r="I549" s="4005"/>
      <c r="J549" s="2995" t="s">
        <v>60</v>
      </c>
      <c r="K549" s="5221"/>
    </row>
    <row r="550" spans="1:25" s="2268" customFormat="1" ht="27" customHeight="1">
      <c r="A550" s="2984"/>
      <c r="B550" s="3008"/>
      <c r="C550" s="3009"/>
      <c r="D550" s="3010" t="s">
        <v>8960</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6532</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8961</v>
      </c>
      <c r="E552" s="2978"/>
      <c r="F552" s="2722"/>
      <c r="G552" s="2982"/>
      <c r="H552" s="3989"/>
      <c r="I552" s="4045"/>
      <c r="J552" s="3022"/>
      <c r="K552" s="5230"/>
      <c r="L552" s="5231"/>
      <c r="M552" s="2686"/>
      <c r="N552" s="2938"/>
    </row>
    <row r="553" spans="1:25" s="3023" customFormat="1" ht="13.5" customHeight="1">
      <c r="A553" s="3017"/>
      <c r="B553" s="3018"/>
      <c r="C553" s="3018"/>
      <c r="D553" s="3019" t="s">
        <v>8955</v>
      </c>
      <c r="E553" s="3018"/>
      <c r="F553" s="3020"/>
      <c r="G553" s="3021"/>
      <c r="H553" s="3995"/>
      <c r="I553" s="4051"/>
      <c r="J553" s="3022"/>
      <c r="K553" s="5232"/>
      <c r="L553" s="5229"/>
      <c r="M553" s="5229"/>
    </row>
    <row r="554" spans="1:25" s="120" customFormat="1" ht="13.5" customHeight="1">
      <c r="A554" s="2991">
        <v>143</v>
      </c>
      <c r="B554" s="2992">
        <v>731</v>
      </c>
      <c r="C554" s="2992" t="s">
        <v>8962</v>
      </c>
      <c r="D554" s="2992" t="s">
        <v>8963</v>
      </c>
      <c r="E554" s="2992" t="s">
        <v>155</v>
      </c>
      <c r="F554" s="2722">
        <f>ROUND(SUM(F556),3)</f>
        <v>4</v>
      </c>
      <c r="G554" s="2994"/>
      <c r="H554" s="3952">
        <f t="shared" ref="H554" si="140">ROUND(F554*G554,2)</f>
        <v>0</v>
      </c>
      <c r="I554" s="4005"/>
      <c r="J554" s="2995" t="s">
        <v>60</v>
      </c>
      <c r="K554" s="5221"/>
    </row>
    <row r="555" spans="1:25" s="2268" customFormat="1" ht="27" customHeight="1">
      <c r="A555" s="2984"/>
      <c r="B555" s="3008"/>
      <c r="C555" s="3009"/>
      <c r="D555" s="3010" t="s">
        <v>8960</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6532</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8961</v>
      </c>
      <c r="E557" s="2978"/>
      <c r="F557" s="2722"/>
      <c r="G557" s="2982"/>
      <c r="H557" s="3989"/>
      <c r="I557" s="4045"/>
      <c r="J557" s="3022"/>
      <c r="K557" s="5230"/>
      <c r="L557" s="5231"/>
      <c r="M557" s="2686"/>
      <c r="N557" s="2938"/>
    </row>
    <row r="558" spans="1:25" s="3023" customFormat="1" ht="13.5" customHeight="1">
      <c r="A558" s="3017"/>
      <c r="B558" s="3018"/>
      <c r="C558" s="3018"/>
      <c r="D558" s="3019" t="s">
        <v>8955</v>
      </c>
      <c r="E558" s="3018"/>
      <c r="F558" s="3020"/>
      <c r="G558" s="3021"/>
      <c r="H558" s="3995"/>
      <c r="I558" s="4051"/>
      <c r="J558" s="3022"/>
      <c r="K558" s="5232"/>
      <c r="L558" s="5229"/>
      <c r="M558" s="5229"/>
    </row>
    <row r="559" spans="1:25" s="120" customFormat="1" ht="13.5" customHeight="1">
      <c r="A559" s="2991">
        <v>144</v>
      </c>
      <c r="B559" s="2992">
        <v>731</v>
      </c>
      <c r="C559" s="2992" t="s">
        <v>8964</v>
      </c>
      <c r="D559" s="2992" t="s">
        <v>8965</v>
      </c>
      <c r="E559" s="2992" t="s">
        <v>155</v>
      </c>
      <c r="F559" s="2722">
        <f>ROUND(SUM(F561),3)</f>
        <v>1</v>
      </c>
      <c r="G559" s="2994"/>
      <c r="H559" s="3952">
        <f t="shared" ref="H559" si="141">ROUND(F559*G559,2)</f>
        <v>0</v>
      </c>
      <c r="I559" s="4005"/>
      <c r="J559" s="2995" t="s">
        <v>60</v>
      </c>
      <c r="K559" s="5221"/>
    </row>
    <row r="560" spans="1:25" s="2268" customFormat="1" ht="27" customHeight="1">
      <c r="A560" s="2984"/>
      <c r="B560" s="3008"/>
      <c r="C560" s="3009"/>
      <c r="D560" s="3010" t="s">
        <v>8960</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6532</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8961</v>
      </c>
      <c r="E562" s="2978"/>
      <c r="F562" s="2722"/>
      <c r="G562" s="2982"/>
      <c r="H562" s="3989"/>
      <c r="I562" s="4045"/>
      <c r="J562" s="3022"/>
      <c r="K562" s="5230"/>
      <c r="L562" s="5231"/>
      <c r="M562" s="2686"/>
      <c r="N562" s="2938"/>
    </row>
    <row r="563" spans="1:25" s="3023" customFormat="1" ht="13.5" customHeight="1">
      <c r="A563" s="3017"/>
      <c r="B563" s="3018"/>
      <c r="C563" s="3018"/>
      <c r="D563" s="3019" t="s">
        <v>8955</v>
      </c>
      <c r="E563" s="3018"/>
      <c r="F563" s="3020"/>
      <c r="G563" s="3021"/>
      <c r="H563" s="3995"/>
      <c r="I563" s="4051"/>
      <c r="J563" s="3022"/>
      <c r="K563" s="5232"/>
      <c r="L563" s="5229"/>
      <c r="M563" s="5229"/>
    </row>
    <row r="564" spans="1:25" s="120" customFormat="1" ht="13.5" customHeight="1">
      <c r="A564" s="2991">
        <v>145</v>
      </c>
      <c r="B564" s="2992">
        <v>731</v>
      </c>
      <c r="C564" s="2992" t="s">
        <v>8966</v>
      </c>
      <c r="D564" s="2992" t="s">
        <v>8967</v>
      </c>
      <c r="E564" s="2992" t="s">
        <v>155</v>
      </c>
      <c r="F564" s="2722">
        <f>ROUND(SUM(F566),3)</f>
        <v>1</v>
      </c>
      <c r="G564" s="2994"/>
      <c r="H564" s="3952">
        <f t="shared" ref="H564" si="142">ROUND(F564*G564,2)</f>
        <v>0</v>
      </c>
      <c r="I564" s="4005"/>
      <c r="J564" s="2995" t="s">
        <v>60</v>
      </c>
      <c r="K564" s="5221"/>
    </row>
    <row r="565" spans="1:25" s="2268" customFormat="1" ht="27" customHeight="1">
      <c r="A565" s="2984"/>
      <c r="B565" s="3008"/>
      <c r="C565" s="3009"/>
      <c r="D565" s="3010" t="s">
        <v>8960</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6532</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8961</v>
      </c>
      <c r="E567" s="2978"/>
      <c r="F567" s="2722"/>
      <c r="G567" s="2982"/>
      <c r="H567" s="3989"/>
      <c r="I567" s="4045"/>
      <c r="J567" s="3022"/>
      <c r="K567" s="5230"/>
      <c r="L567" s="5231"/>
      <c r="M567" s="2686"/>
      <c r="N567" s="2938"/>
    </row>
    <row r="568" spans="1:25" s="3023" customFormat="1" ht="13.5" customHeight="1">
      <c r="A568" s="3017"/>
      <c r="B568" s="3018"/>
      <c r="C568" s="3018"/>
      <c r="D568" s="3019" t="s">
        <v>8955</v>
      </c>
      <c r="E568" s="3018"/>
      <c r="F568" s="3020"/>
      <c r="G568" s="3021"/>
      <c r="H568" s="3995"/>
      <c r="I568" s="4051"/>
      <c r="J568" s="3022"/>
      <c r="K568" s="5232"/>
      <c r="L568" s="5229"/>
      <c r="M568" s="5229"/>
    </row>
    <row r="569" spans="1:25" s="120" customFormat="1" ht="13.5" customHeight="1">
      <c r="A569" s="2991">
        <v>146</v>
      </c>
      <c r="B569" s="2992">
        <v>731</v>
      </c>
      <c r="C569" s="2992" t="s">
        <v>8968</v>
      </c>
      <c r="D569" s="2992" t="s">
        <v>8969</v>
      </c>
      <c r="E569" s="2992" t="s">
        <v>155</v>
      </c>
      <c r="F569" s="2722">
        <f>ROUND(SUM(F571),3)</f>
        <v>1</v>
      </c>
      <c r="G569" s="2994"/>
      <c r="H569" s="3952">
        <f t="shared" ref="H569" si="143">ROUND(F569*G569,2)</f>
        <v>0</v>
      </c>
      <c r="I569" s="4005"/>
      <c r="J569" s="2995" t="s">
        <v>60</v>
      </c>
      <c r="K569" s="5221"/>
    </row>
    <row r="570" spans="1:25" s="2268" customFormat="1" ht="27" customHeight="1">
      <c r="A570" s="2984"/>
      <c r="B570" s="3008"/>
      <c r="C570" s="3009"/>
      <c r="D570" s="3010" t="s">
        <v>8960</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6532</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8961</v>
      </c>
      <c r="E572" s="2978"/>
      <c r="F572" s="2722"/>
      <c r="G572" s="2982"/>
      <c r="H572" s="3989"/>
      <c r="I572" s="4045"/>
      <c r="J572" s="3022"/>
      <c r="K572" s="5230"/>
      <c r="L572" s="5231"/>
      <c r="M572" s="2686"/>
      <c r="N572" s="2938"/>
    </row>
    <row r="573" spans="1:25" s="3023" customFormat="1" ht="13.5" customHeight="1">
      <c r="A573" s="3017"/>
      <c r="B573" s="3018"/>
      <c r="C573" s="3018"/>
      <c r="D573" s="3019" t="s">
        <v>8955</v>
      </c>
      <c r="E573" s="3018"/>
      <c r="F573" s="3020"/>
      <c r="G573" s="3021"/>
      <c r="H573" s="3995"/>
      <c r="I573" s="4051"/>
      <c r="J573" s="3022"/>
      <c r="K573" s="5232"/>
      <c r="L573" s="5229"/>
      <c r="M573" s="5229"/>
    </row>
    <row r="574" spans="1:25" s="2291" customFormat="1" ht="13.5" customHeight="1">
      <c r="A574" s="3026">
        <v>147</v>
      </c>
      <c r="B574" s="3027" t="s">
        <v>8448</v>
      </c>
      <c r="C574" s="3018" t="s">
        <v>8970</v>
      </c>
      <c r="D574" s="3028" t="s">
        <v>8971</v>
      </c>
      <c r="E574" s="3028" t="s">
        <v>155</v>
      </c>
      <c r="F574" s="2722">
        <f>ROUND(SUM(F576),3)</f>
        <v>1</v>
      </c>
      <c r="G574" s="3029"/>
      <c r="H574" s="3952">
        <f t="shared" ref="H574" si="144">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8972</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8973</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8974</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8448</v>
      </c>
      <c r="C578" s="3018" t="s">
        <v>8975</v>
      </c>
      <c r="D578" s="3028" t="s">
        <v>8976</v>
      </c>
      <c r="E578" s="3028" t="s">
        <v>155</v>
      </c>
      <c r="F578" s="2722">
        <f>ROUND(SUM(F580),3)</f>
        <v>4</v>
      </c>
      <c r="G578" s="3029"/>
      <c r="H578" s="3952">
        <f t="shared" ref="H578" si="145">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8977</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8978</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8974</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8448</v>
      </c>
      <c r="C582" s="2992" t="s">
        <v>8979</v>
      </c>
      <c r="D582" s="2992" t="s">
        <v>8980</v>
      </c>
      <c r="E582" s="2992" t="s">
        <v>23</v>
      </c>
      <c r="F582" s="2993">
        <f>F583</f>
        <v>1</v>
      </c>
      <c r="G582" s="2994"/>
      <c r="H582" s="3952">
        <f t="shared" ref="H582" si="146">ROUND(F582*G582,2)</f>
        <v>0</v>
      </c>
      <c r="I582" s="4005"/>
      <c r="J582" s="2995" t="s">
        <v>60</v>
      </c>
      <c r="K582" s="2903"/>
      <c r="R582" s="369"/>
    </row>
    <row r="583" spans="1:68" s="1291" customFormat="1" ht="13.5" customHeight="1">
      <c r="A583" s="2997"/>
      <c r="B583" s="2998"/>
      <c r="C583" s="2999"/>
      <c r="D583" s="3000" t="s">
        <v>6926</v>
      </c>
      <c r="E583" s="3001"/>
      <c r="F583" s="3002">
        <v>1</v>
      </c>
      <c r="G583" s="3003"/>
      <c r="H583" s="3991"/>
      <c r="I583" s="4047"/>
      <c r="J583" s="3004"/>
      <c r="K583" s="1290"/>
      <c r="V583" s="1292"/>
      <c r="X583" s="1292"/>
    </row>
    <row r="584" spans="1:68" s="2595" customFormat="1" ht="13.5" customHeight="1">
      <c r="A584" s="741">
        <v>150</v>
      </c>
      <c r="B584" s="2992" t="s">
        <v>8448</v>
      </c>
      <c r="C584" s="2992" t="s">
        <v>10410</v>
      </c>
      <c r="D584" s="2550" t="s">
        <v>10411</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10412</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10418</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8448</v>
      </c>
      <c r="C587" s="2992" t="s">
        <v>8981</v>
      </c>
      <c r="D587" s="2992" t="s">
        <v>8982</v>
      </c>
      <c r="E587" s="2992" t="s">
        <v>23</v>
      </c>
      <c r="F587" s="2993">
        <f>F588</f>
        <v>1</v>
      </c>
      <c r="G587" s="2994"/>
      <c r="H587" s="3952">
        <f t="shared" ref="H587" si="147">ROUND(F587*G587,2)</f>
        <v>0</v>
      </c>
      <c r="I587" s="4005"/>
      <c r="J587" s="2995" t="s">
        <v>60</v>
      </c>
      <c r="K587" s="3034"/>
      <c r="R587" s="369"/>
    </row>
    <row r="588" spans="1:68" s="1291" customFormat="1" ht="13.5" customHeight="1">
      <c r="A588" s="2997"/>
      <c r="B588" s="2998"/>
      <c r="C588" s="2999"/>
      <c r="D588" s="3035" t="s">
        <v>8983</v>
      </c>
      <c r="E588" s="3001"/>
      <c r="F588" s="3002">
        <v>1</v>
      </c>
      <c r="G588" s="3003"/>
      <c r="H588" s="3991"/>
      <c r="I588" s="4047"/>
      <c r="J588" s="3004"/>
      <c r="K588" s="1290"/>
      <c r="V588" s="1292"/>
      <c r="X588" s="1292"/>
    </row>
    <row r="589" spans="1:68" s="120" customFormat="1" ht="13.5" customHeight="1">
      <c r="A589" s="2991">
        <v>152</v>
      </c>
      <c r="B589" s="2992" t="s">
        <v>8448</v>
      </c>
      <c r="C589" s="2992" t="s">
        <v>8981</v>
      </c>
      <c r="D589" s="2992" t="s">
        <v>8984</v>
      </c>
      <c r="E589" s="2992" t="s">
        <v>23</v>
      </c>
      <c r="F589" s="2993">
        <f>F590</f>
        <v>1</v>
      </c>
      <c r="G589" s="2994"/>
      <c r="H589" s="3952">
        <f t="shared" ref="H589" si="148">ROUND(F589*G589,2)</f>
        <v>0</v>
      </c>
      <c r="I589" s="4005"/>
      <c r="J589" s="2995" t="s">
        <v>60</v>
      </c>
      <c r="K589" s="3034"/>
      <c r="R589" s="369"/>
    </row>
    <row r="590" spans="1:68" s="1291" customFormat="1" ht="13.5" customHeight="1">
      <c r="A590" s="2997"/>
      <c r="B590" s="2998"/>
      <c r="C590" s="2999"/>
      <c r="D590" s="3035" t="s">
        <v>8985</v>
      </c>
      <c r="E590" s="3001"/>
      <c r="F590" s="3002">
        <v>1</v>
      </c>
      <c r="G590" s="3003"/>
      <c r="H590" s="3991"/>
      <c r="I590" s="4047"/>
      <c r="J590" s="3004"/>
      <c r="K590" s="1290"/>
      <c r="V590" s="1292"/>
      <c r="X590" s="1292"/>
    </row>
    <row r="591" spans="1:68" s="120" customFormat="1" ht="13.5" customHeight="1">
      <c r="A591" s="2991">
        <v>153</v>
      </c>
      <c r="B591" s="2992" t="s">
        <v>8448</v>
      </c>
      <c r="C591" s="2992" t="s">
        <v>8986</v>
      </c>
      <c r="D591" s="3036" t="s">
        <v>8987</v>
      </c>
      <c r="E591" s="2992" t="s">
        <v>23</v>
      </c>
      <c r="F591" s="2993">
        <f>F592</f>
        <v>1</v>
      </c>
      <c r="G591" s="2994"/>
      <c r="H591" s="3952">
        <f t="shared" ref="H591" si="149">ROUND(F591*G591,2)</f>
        <v>0</v>
      </c>
      <c r="I591" s="4005"/>
      <c r="J591" s="2995" t="s">
        <v>60</v>
      </c>
      <c r="K591" s="3034"/>
      <c r="R591" s="369"/>
    </row>
    <row r="592" spans="1:68" s="1291" customFormat="1" ht="13.5" customHeight="1">
      <c r="A592" s="2997"/>
      <c r="B592" s="2998"/>
      <c r="C592" s="2999"/>
      <c r="D592" s="3037" t="s">
        <v>8988</v>
      </c>
      <c r="E592" s="3001"/>
      <c r="F592" s="3002">
        <v>1</v>
      </c>
      <c r="G592" s="3003"/>
      <c r="H592" s="3991"/>
      <c r="I592" s="4047"/>
      <c r="J592" s="3004"/>
      <c r="K592" s="1290"/>
      <c r="V592" s="1292"/>
      <c r="X592" s="1292"/>
    </row>
    <row r="593" spans="1:24" s="1291" customFormat="1" ht="27" customHeight="1">
      <c r="A593" s="2997"/>
      <c r="B593" s="2998"/>
      <c r="C593" s="2999"/>
      <c r="D593" s="3037" t="s">
        <v>8989</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8990</v>
      </c>
      <c r="E594" s="2992" t="s">
        <v>8</v>
      </c>
      <c r="F594" s="2993">
        <v>2.39</v>
      </c>
      <c r="G594" s="2994"/>
      <c r="H594" s="3952">
        <f t="shared" ref="H594:H595" si="150">ROUND(F594*G594,2)</f>
        <v>0</v>
      </c>
      <c r="I594" s="4005"/>
      <c r="J594" s="2995" t="s">
        <v>142</v>
      </c>
      <c r="K594" s="2921"/>
    </row>
    <row r="595" spans="1:24" s="120" customFormat="1" ht="13.5" customHeight="1">
      <c r="A595" s="2991">
        <v>155</v>
      </c>
      <c r="B595" s="2992" t="s">
        <v>188</v>
      </c>
      <c r="C595" s="2992" t="s">
        <v>8586</v>
      </c>
      <c r="D595" s="2992" t="s">
        <v>8587</v>
      </c>
      <c r="E595" s="2992" t="s">
        <v>191</v>
      </c>
      <c r="F595" s="2993">
        <f>F596</f>
        <v>15</v>
      </c>
      <c r="G595" s="2994"/>
      <c r="H595" s="3952">
        <f t="shared" si="150"/>
        <v>0</v>
      </c>
      <c r="I595" s="4005"/>
      <c r="J595" s="2995" t="s">
        <v>142</v>
      </c>
      <c r="K595" s="2903"/>
    </row>
    <row r="596" spans="1:24" s="1291" customFormat="1" ht="13.5" customHeight="1">
      <c r="A596" s="2997"/>
      <c r="B596" s="2998"/>
      <c r="C596" s="2999"/>
      <c r="D596" s="3000" t="s">
        <v>8991</v>
      </c>
      <c r="E596" s="3001"/>
      <c r="F596" s="3002">
        <v>15</v>
      </c>
      <c r="G596" s="3003"/>
      <c r="H596" s="3991"/>
      <c r="I596" s="4047"/>
      <c r="J596" s="3004"/>
      <c r="K596" s="1290"/>
      <c r="V596" s="1292"/>
      <c r="X596" s="1292"/>
    </row>
    <row r="597" spans="1:24" s="1291" customFormat="1" ht="13.5" customHeight="1">
      <c r="A597" s="2997"/>
      <c r="B597" s="2998"/>
      <c r="C597" s="2999"/>
      <c r="D597" s="3000" t="s">
        <v>8937</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724" t="s">
        <v>99</v>
      </c>
      <c r="B600" s="5725"/>
      <c r="C600" s="5726"/>
      <c r="D600" s="2412" t="s">
        <v>10519</v>
      </c>
      <c r="E600" s="2413"/>
      <c r="F600" s="3040"/>
      <c r="G600" s="2415"/>
      <c r="H600" s="3852">
        <f>H598</f>
        <v>0</v>
      </c>
      <c r="I600" s="3853"/>
      <c r="J600" s="48"/>
    </row>
    <row r="601" spans="1:24" ht="13.5" customHeight="1">
      <c r="A601" s="5724" t="s">
        <v>99</v>
      </c>
      <c r="B601" s="5725"/>
      <c r="C601" s="5726"/>
      <c r="D601" s="2412" t="s">
        <v>10518</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650" t="s">
        <v>308</v>
      </c>
      <c r="B604" s="5650"/>
      <c r="C604" s="5650"/>
      <c r="D604" s="5650"/>
      <c r="E604" s="5650"/>
      <c r="F604" s="5650"/>
      <c r="G604" s="5650"/>
      <c r="H604" s="48"/>
      <c r="I604" s="48"/>
      <c r="J604" s="2366"/>
    </row>
    <row r="605" spans="1:24" ht="93.75" customHeight="1">
      <c r="A605" s="5650" t="s">
        <v>26</v>
      </c>
      <c r="B605" s="5650"/>
      <c r="C605" s="5650"/>
      <c r="D605" s="5650"/>
      <c r="E605" s="5650"/>
      <c r="F605" s="5650"/>
      <c r="G605" s="5650"/>
      <c r="H605" s="48"/>
      <c r="I605" s="48"/>
      <c r="J605" s="48"/>
    </row>
    <row r="606" spans="1:24" ht="13.5" customHeight="1">
      <c r="A606" s="5650" t="s">
        <v>27</v>
      </c>
      <c r="B606" s="5650"/>
      <c r="C606" s="5650"/>
      <c r="D606" s="5650"/>
      <c r="E606" s="5650"/>
      <c r="F606" s="5650"/>
      <c r="G606" s="5650"/>
      <c r="H606" s="318"/>
      <c r="I606" s="318"/>
      <c r="J606" s="318"/>
    </row>
    <row r="607" spans="1:24" ht="13.5" customHeight="1">
      <c r="A607" s="5650" t="s">
        <v>28</v>
      </c>
      <c r="B607" s="5650"/>
      <c r="C607" s="5650"/>
      <c r="D607" s="5650"/>
      <c r="E607" s="5650"/>
      <c r="F607" s="5650"/>
      <c r="G607" s="5650"/>
      <c r="H607" s="318"/>
      <c r="I607" s="318"/>
      <c r="J607" s="318"/>
    </row>
    <row r="608" spans="1:24" ht="40.5" customHeight="1">
      <c r="A608" s="5652" t="s">
        <v>61</v>
      </c>
      <c r="B608" s="5652"/>
      <c r="C608" s="5652"/>
      <c r="D608" s="5652"/>
      <c r="E608" s="5652"/>
      <c r="F608" s="5652"/>
      <c r="G608" s="5652"/>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734" t="s">
        <v>112</v>
      </c>
      <c r="B2" s="5735"/>
      <c r="C2" s="5735"/>
      <c r="D2" s="5735"/>
      <c r="E2" s="5735"/>
      <c r="F2" s="5735"/>
      <c r="G2" s="5735"/>
      <c r="H2" s="5735"/>
      <c r="I2" s="5735"/>
      <c r="J2" s="5007"/>
    </row>
    <row r="3" spans="1:98" ht="13.5" customHeight="1">
      <c r="A3" s="2531" t="s">
        <v>7709</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10501</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H8+H262+H393+H426</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7710</v>
      </c>
      <c r="E8" s="1267"/>
      <c r="F8" s="2593"/>
      <c r="G8" s="1269"/>
      <c r="H8" s="4061">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7711</v>
      </c>
      <c r="D9" s="1057" t="s">
        <v>7712</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7713</v>
      </c>
      <c r="E10" s="1449"/>
      <c r="F10" s="1063">
        <v>1</v>
      </c>
      <c r="G10" s="1561"/>
      <c r="H10" s="4062"/>
      <c r="I10" s="4368"/>
      <c r="J10" s="4855"/>
      <c r="L10" s="2526"/>
      <c r="Q10" s="5019"/>
    </row>
    <row r="11" spans="1:98" s="2595" customFormat="1" ht="27" customHeight="1">
      <c r="A11" s="1336"/>
      <c r="B11" s="1057"/>
      <c r="C11" s="1057"/>
      <c r="D11" s="1119" t="s">
        <v>7714</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7715</v>
      </c>
      <c r="E12" s="1449"/>
      <c r="F12" s="1063"/>
      <c r="G12" s="1561"/>
      <c r="H12" s="4062"/>
      <c r="I12" s="1087"/>
      <c r="J12" s="5029"/>
    </row>
    <row r="13" spans="1:98" s="1277" customFormat="1" ht="38.25" customHeight="1">
      <c r="A13" s="1560"/>
      <c r="B13" s="1449"/>
      <c r="C13" s="1449"/>
      <c r="D13" s="2597" t="s">
        <v>7716</v>
      </c>
      <c r="E13" s="1449"/>
      <c r="F13" s="1063"/>
      <c r="G13" s="1561"/>
      <c r="H13" s="4062"/>
      <c r="I13" s="4467"/>
      <c r="J13" s="1562"/>
    </row>
    <row r="14" spans="1:98" s="1102" customFormat="1" ht="27" customHeight="1">
      <c r="A14" s="1336">
        <v>2</v>
      </c>
      <c r="B14" s="1057">
        <v>751</v>
      </c>
      <c r="C14" s="1057" t="s">
        <v>7717</v>
      </c>
      <c r="D14" s="1057" t="s">
        <v>7718</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7719</v>
      </c>
      <c r="E15" s="1449"/>
      <c r="F15" s="1063">
        <v>1</v>
      </c>
      <c r="G15" s="1561"/>
      <c r="H15" s="4062"/>
      <c r="I15" s="4368"/>
      <c r="J15" s="4855"/>
      <c r="L15" s="2526"/>
      <c r="Q15" s="5019"/>
    </row>
    <row r="16" spans="1:98" s="2595" customFormat="1" ht="27" customHeight="1">
      <c r="A16" s="1336"/>
      <c r="B16" s="1057"/>
      <c r="C16" s="1057"/>
      <c r="D16" s="1119" t="s">
        <v>7720</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7715</v>
      </c>
      <c r="E17" s="1449"/>
      <c r="F17" s="1063"/>
      <c r="G17" s="1561"/>
      <c r="H17" s="4062"/>
      <c r="I17" s="1087"/>
      <c r="J17" s="5029"/>
    </row>
    <row r="18" spans="1:98" s="1277" customFormat="1" ht="38.25" customHeight="1">
      <c r="A18" s="1560"/>
      <c r="B18" s="1449"/>
      <c r="C18" s="1449"/>
      <c r="D18" s="2597" t="s">
        <v>7716</v>
      </c>
      <c r="E18" s="1449"/>
      <c r="F18" s="1063"/>
      <c r="G18" s="1561"/>
      <c r="H18" s="4062"/>
      <c r="I18" s="4467"/>
      <c r="J18" s="1061"/>
    </row>
    <row r="19" spans="1:98" s="1102" customFormat="1" ht="27" customHeight="1">
      <c r="A19" s="1336">
        <v>3</v>
      </c>
      <c r="B19" s="1057">
        <v>751</v>
      </c>
      <c r="C19" s="1057" t="s">
        <v>7721</v>
      </c>
      <c r="D19" s="1057" t="s">
        <v>7722</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7723</v>
      </c>
      <c r="E20" s="1449"/>
      <c r="F20" s="1063">
        <v>1</v>
      </c>
      <c r="G20" s="1561"/>
      <c r="H20" s="4062"/>
      <c r="I20" s="4368"/>
      <c r="J20" s="4855"/>
      <c r="L20" s="2526"/>
      <c r="Q20" s="5019"/>
    </row>
    <row r="21" spans="1:98" s="2595" customFormat="1" ht="27" customHeight="1">
      <c r="A21" s="1336"/>
      <c r="B21" s="1057"/>
      <c r="C21" s="1057"/>
      <c r="D21" s="1119" t="s">
        <v>7724</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7715</v>
      </c>
      <c r="E22" s="1449"/>
      <c r="F22" s="1063"/>
      <c r="G22" s="1561"/>
      <c r="H22" s="4062"/>
      <c r="I22" s="1087"/>
      <c r="J22" s="5029"/>
    </row>
    <row r="23" spans="1:98" s="1277" customFormat="1" ht="38.25" customHeight="1">
      <c r="A23" s="1560"/>
      <c r="B23" s="1449"/>
      <c r="C23" s="1449"/>
      <c r="D23" s="2597" t="s">
        <v>7716</v>
      </c>
      <c r="E23" s="1449"/>
      <c r="F23" s="1063"/>
      <c r="G23" s="1561"/>
      <c r="H23" s="4062"/>
      <c r="I23" s="4467"/>
      <c r="J23" s="1061"/>
    </row>
    <row r="24" spans="1:98" s="1102" customFormat="1" ht="27" customHeight="1">
      <c r="A24" s="1336">
        <v>4</v>
      </c>
      <c r="B24" s="1057">
        <v>751</v>
      </c>
      <c r="C24" s="1057" t="s">
        <v>7725</v>
      </c>
      <c r="D24" s="1057" t="s">
        <v>7726</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7727</v>
      </c>
      <c r="E25" s="1449"/>
      <c r="F25" s="1063">
        <v>1</v>
      </c>
      <c r="G25" s="1561"/>
      <c r="H25" s="4062"/>
      <c r="I25" s="4368"/>
      <c r="J25" s="4855"/>
      <c r="L25" s="2526"/>
      <c r="Q25" s="5019"/>
    </row>
    <row r="26" spans="1:98" s="2595" customFormat="1" ht="27" customHeight="1">
      <c r="A26" s="1336"/>
      <c r="B26" s="1057"/>
      <c r="C26" s="1057"/>
      <c r="D26" s="1119" t="s">
        <v>7714</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7715</v>
      </c>
      <c r="E27" s="1449"/>
      <c r="F27" s="1063"/>
      <c r="G27" s="1561"/>
      <c r="H27" s="4062"/>
      <c r="I27" s="1087"/>
      <c r="J27" s="5029"/>
    </row>
    <row r="28" spans="1:98" s="1277" customFormat="1" ht="38.25" customHeight="1">
      <c r="A28" s="1560"/>
      <c r="B28" s="1449"/>
      <c r="C28" s="1449"/>
      <c r="D28" s="2597" t="s">
        <v>7716</v>
      </c>
      <c r="E28" s="1449"/>
      <c r="F28" s="1063"/>
      <c r="G28" s="1561"/>
      <c r="H28" s="4062"/>
      <c r="I28" s="4467"/>
      <c r="J28" s="1061"/>
    </row>
    <row r="29" spans="1:98" s="1102" customFormat="1" ht="27" customHeight="1">
      <c r="A29" s="1336">
        <v>5</v>
      </c>
      <c r="B29" s="1057">
        <v>751</v>
      </c>
      <c r="C29" s="1057" t="s">
        <v>7728</v>
      </c>
      <c r="D29" s="1057" t="s">
        <v>7729</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7730</v>
      </c>
      <c r="E30" s="1449"/>
      <c r="F30" s="1063">
        <v>1</v>
      </c>
      <c r="G30" s="1561"/>
      <c r="H30" s="4062"/>
      <c r="I30" s="4368"/>
      <c r="J30" s="4855"/>
      <c r="L30" s="2526"/>
      <c r="Q30" s="5019"/>
    </row>
    <row r="31" spans="1:98" s="2595" customFormat="1" ht="27" customHeight="1">
      <c r="A31" s="1336"/>
      <c r="B31" s="1057"/>
      <c r="C31" s="1057"/>
      <c r="D31" s="1119" t="s">
        <v>7731</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7715</v>
      </c>
      <c r="E32" s="1449"/>
      <c r="F32" s="1063"/>
      <c r="G32" s="1561"/>
      <c r="H32" s="4062"/>
      <c r="I32" s="1087"/>
      <c r="J32" s="5029"/>
    </row>
    <row r="33" spans="1:98" s="1277" customFormat="1" ht="38.25" customHeight="1">
      <c r="A33" s="1560"/>
      <c r="B33" s="1449"/>
      <c r="C33" s="1449"/>
      <c r="D33" s="2597" t="s">
        <v>7716</v>
      </c>
      <c r="E33" s="1449"/>
      <c r="F33" s="1063"/>
      <c r="G33" s="1561"/>
      <c r="H33" s="4062"/>
      <c r="I33" s="4467"/>
      <c r="J33" s="1061"/>
    </row>
    <row r="34" spans="1:98" s="1102" customFormat="1" ht="27" customHeight="1">
      <c r="A34" s="1336">
        <v>6</v>
      </c>
      <c r="B34" s="1057">
        <v>751</v>
      </c>
      <c r="C34" s="1057" t="s">
        <v>7732</v>
      </c>
      <c r="D34" s="1057" t="s">
        <v>7733</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7734</v>
      </c>
      <c r="E35" s="1449"/>
      <c r="F35" s="1063">
        <v>1</v>
      </c>
      <c r="G35" s="1561"/>
      <c r="H35" s="4062"/>
      <c r="I35" s="4368"/>
      <c r="J35" s="4855"/>
      <c r="L35" s="2526"/>
      <c r="Q35" s="5019"/>
    </row>
    <row r="36" spans="1:98" s="2595" customFormat="1" ht="27" customHeight="1">
      <c r="A36" s="1336"/>
      <c r="B36" s="1057"/>
      <c r="C36" s="1057"/>
      <c r="D36" s="1119" t="s">
        <v>7735</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7715</v>
      </c>
      <c r="E37" s="1449"/>
      <c r="F37" s="1063"/>
      <c r="G37" s="1561"/>
      <c r="H37" s="4062"/>
      <c r="I37" s="1087"/>
      <c r="J37" s="5029"/>
    </row>
    <row r="38" spans="1:98" s="1277" customFormat="1" ht="38.25" customHeight="1">
      <c r="A38" s="1560"/>
      <c r="B38" s="1449"/>
      <c r="C38" s="1449"/>
      <c r="D38" s="2597" t="s">
        <v>7716</v>
      </c>
      <c r="E38" s="1449"/>
      <c r="F38" s="1063"/>
      <c r="G38" s="1561"/>
      <c r="H38" s="4062"/>
      <c r="I38" s="4467"/>
      <c r="J38" s="1061"/>
    </row>
    <row r="39" spans="1:98" s="1102" customFormat="1" ht="13.5" customHeight="1">
      <c r="A39" s="5573">
        <v>7</v>
      </c>
      <c r="B39" s="1057">
        <v>751</v>
      </c>
      <c r="C39" s="1057" t="s">
        <v>7736</v>
      </c>
      <c r="D39" s="1057" t="s">
        <v>7737</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7738</v>
      </c>
      <c r="E40" s="1449"/>
      <c r="F40" s="1063">
        <v>1</v>
      </c>
      <c r="G40" s="1561"/>
      <c r="H40" s="4062"/>
      <c r="I40" s="4368"/>
      <c r="J40" s="4855"/>
      <c r="L40" s="1563"/>
      <c r="Q40" s="5019"/>
    </row>
    <row r="41" spans="1:98" s="2595" customFormat="1" ht="27" customHeight="1">
      <c r="A41" s="1336"/>
      <c r="B41" s="1057"/>
      <c r="C41" s="1057"/>
      <c r="D41" s="1119" t="s">
        <v>11651</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95" customFormat="1" ht="13.5" customHeight="1">
      <c r="A42" s="3525"/>
      <c r="B42" s="3536"/>
      <c r="C42" s="3536"/>
      <c r="D42" s="5572" t="s">
        <v>11650</v>
      </c>
      <c r="E42" s="3536"/>
      <c r="F42" s="3530"/>
      <c r="G42" s="3528"/>
      <c r="H42" s="3905"/>
      <c r="I42" s="3535"/>
      <c r="J42" s="5029"/>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96" t="s">
        <v>7715</v>
      </c>
      <c r="E43" s="1449"/>
      <c r="F43" s="1063"/>
      <c r="G43" s="1561"/>
      <c r="H43" s="4062"/>
      <c r="I43" s="1087"/>
      <c r="J43" s="5029"/>
    </row>
    <row r="44" spans="1:98" s="1277" customFormat="1" ht="38.25" customHeight="1">
      <c r="A44" s="1560"/>
      <c r="B44" s="1449"/>
      <c r="C44" s="1449"/>
      <c r="D44" s="2597" t="s">
        <v>7716</v>
      </c>
      <c r="E44" s="1449"/>
      <c r="F44" s="1063"/>
      <c r="G44" s="1561"/>
      <c r="H44" s="4062"/>
      <c r="I44" s="4467"/>
      <c r="J44" s="1061"/>
    </row>
    <row r="45" spans="1:98" s="1102" customFormat="1" ht="27" customHeight="1">
      <c r="A45" s="5573">
        <v>8</v>
      </c>
      <c r="B45" s="1057">
        <v>751</v>
      </c>
      <c r="C45" s="1057" t="s">
        <v>7739</v>
      </c>
      <c r="D45" s="1057" t="s">
        <v>7740</v>
      </c>
      <c r="E45" s="1057" t="s">
        <v>155</v>
      </c>
      <c r="F45" s="1071">
        <f>ROUND(SUM(F46),3)</f>
        <v>1</v>
      </c>
      <c r="G45" s="1081"/>
      <c r="H45" s="3789">
        <f>ROUND(F45*G45,2)</f>
        <v>0</v>
      </c>
      <c r="I45" s="1059" t="s">
        <v>60</v>
      </c>
      <c r="J45" s="5251"/>
      <c r="K45" s="5026"/>
      <c r="L45" s="5252"/>
      <c r="M45" s="5252"/>
      <c r="N45" s="1061"/>
      <c r="O45" s="1061"/>
      <c r="P45" s="1061"/>
      <c r="Q45" s="1061"/>
      <c r="R45" s="1061"/>
      <c r="S45" s="1061"/>
      <c r="T45" s="5028"/>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94" t="s">
        <v>7741</v>
      </c>
      <c r="E46" s="1449"/>
      <c r="F46" s="1063">
        <v>1</v>
      </c>
      <c r="G46" s="1561"/>
      <c r="H46" s="4062"/>
      <c r="I46" s="4368"/>
      <c r="J46" s="4855"/>
      <c r="L46" s="1563"/>
      <c r="Q46" s="5019"/>
    </row>
    <row r="47" spans="1:98" s="2595" customFormat="1" ht="27" customHeight="1">
      <c r="A47" s="1336"/>
      <c r="B47" s="1057"/>
      <c r="C47" s="1057"/>
      <c r="D47" s="1119" t="s">
        <v>7742</v>
      </c>
      <c r="E47" s="1057"/>
      <c r="F47" s="1063"/>
      <c r="G47" s="1058"/>
      <c r="H47" s="4063"/>
      <c r="I47" s="4368"/>
      <c r="J47" s="5029"/>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95" customFormat="1" ht="13.5" customHeight="1">
      <c r="A48" s="3525"/>
      <c r="B48" s="3536"/>
      <c r="C48" s="3536"/>
      <c r="D48" s="5572" t="s">
        <v>11650</v>
      </c>
      <c r="E48" s="3536"/>
      <c r="F48" s="3530"/>
      <c r="G48" s="3528"/>
      <c r="H48" s="3905"/>
      <c r="I48" s="3535"/>
      <c r="J48" s="5029"/>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96" t="s">
        <v>7715</v>
      </c>
      <c r="E49" s="1449"/>
      <c r="F49" s="1063"/>
      <c r="G49" s="1561"/>
      <c r="H49" s="4062"/>
      <c r="I49" s="1087"/>
      <c r="J49" s="5029"/>
    </row>
    <row r="50" spans="1:98" s="1277" customFormat="1" ht="38.25" customHeight="1">
      <c r="A50" s="1560"/>
      <c r="B50" s="1449"/>
      <c r="C50" s="1449"/>
      <c r="D50" s="2597" t="s">
        <v>7716</v>
      </c>
      <c r="E50" s="1449"/>
      <c r="F50" s="1063"/>
      <c r="G50" s="1561"/>
      <c r="H50" s="4062"/>
      <c r="I50" s="4467"/>
      <c r="J50" s="1061"/>
    </row>
    <row r="51" spans="1:98" s="1102" customFormat="1" ht="27" customHeight="1">
      <c r="A51" s="1336">
        <v>9</v>
      </c>
      <c r="B51" s="1057">
        <v>751</v>
      </c>
      <c r="C51" s="1057" t="s">
        <v>7743</v>
      </c>
      <c r="D51" s="1057" t="s">
        <v>7744</v>
      </c>
      <c r="E51" s="1057" t="s">
        <v>155</v>
      </c>
      <c r="F51" s="1071">
        <f>ROUND(SUM(F52),3)</f>
        <v>1</v>
      </c>
      <c r="G51" s="1081"/>
      <c r="H51" s="3789">
        <f>ROUND(F51*G51,2)</f>
        <v>0</v>
      </c>
      <c r="I51" s="1059" t="s">
        <v>60</v>
      </c>
      <c r="J51" s="5251"/>
      <c r="K51" s="5026"/>
      <c r="L51" s="5252"/>
      <c r="M51" s="5252"/>
      <c r="N51" s="1061"/>
      <c r="O51" s="1061"/>
      <c r="P51" s="1061"/>
      <c r="Q51" s="1061"/>
      <c r="R51" s="1061"/>
      <c r="S51" s="1061"/>
      <c r="T51" s="5028"/>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94" t="s">
        <v>7745</v>
      </c>
      <c r="E52" s="1449"/>
      <c r="F52" s="1063">
        <v>1</v>
      </c>
      <c r="G52" s="1561"/>
      <c r="H52" s="4062"/>
      <c r="I52" s="4368"/>
      <c r="J52" s="4855"/>
      <c r="L52" s="1563"/>
      <c r="Q52" s="5019"/>
    </row>
    <row r="53" spans="1:98" s="2595" customFormat="1" ht="27" customHeight="1">
      <c r="A53" s="1336"/>
      <c r="B53" s="1057"/>
      <c r="C53" s="1057"/>
      <c r="D53" s="1119" t="s">
        <v>7746</v>
      </c>
      <c r="E53" s="1057"/>
      <c r="F53" s="1063"/>
      <c r="G53" s="1058"/>
      <c r="H53" s="4063"/>
      <c r="I53" s="4368"/>
      <c r="J53" s="5029"/>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96" t="s">
        <v>7715</v>
      </c>
      <c r="E54" s="1449"/>
      <c r="F54" s="1063"/>
      <c r="G54" s="1561"/>
      <c r="H54" s="4062"/>
      <c r="I54" s="1087"/>
      <c r="J54" s="5029"/>
    </row>
    <row r="55" spans="1:98" s="1277" customFormat="1" ht="38.25" customHeight="1">
      <c r="A55" s="1560"/>
      <c r="B55" s="1449"/>
      <c r="C55" s="1449"/>
      <c r="D55" s="2597" t="s">
        <v>7716</v>
      </c>
      <c r="E55" s="1449"/>
      <c r="F55" s="1063"/>
      <c r="G55" s="1561"/>
      <c r="H55" s="4062"/>
      <c r="I55" s="4467"/>
      <c r="J55" s="1061"/>
    </row>
    <row r="56" spans="1:98" s="1102" customFormat="1" ht="27" customHeight="1">
      <c r="A56" s="1336">
        <v>10</v>
      </c>
      <c r="B56" s="1057">
        <v>751</v>
      </c>
      <c r="C56" s="1057" t="s">
        <v>7747</v>
      </c>
      <c r="D56" s="1057" t="s">
        <v>7748</v>
      </c>
      <c r="E56" s="1057" t="s">
        <v>155</v>
      </c>
      <c r="F56" s="1071">
        <f>ROUND(SUM(F57),3)</f>
        <v>1</v>
      </c>
      <c r="G56" s="1081"/>
      <c r="H56" s="3789">
        <f>ROUND(F56*G56,2)</f>
        <v>0</v>
      </c>
      <c r="I56" s="1059" t="s">
        <v>60</v>
      </c>
      <c r="J56" s="5251"/>
      <c r="K56" s="5026"/>
      <c r="L56" s="5252"/>
      <c r="M56" s="5252"/>
      <c r="N56" s="1061"/>
      <c r="O56" s="1061"/>
      <c r="P56" s="1061"/>
      <c r="Q56" s="1061"/>
      <c r="R56" s="1061"/>
      <c r="S56" s="1061"/>
      <c r="T56" s="5028"/>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94" t="s">
        <v>7749</v>
      </c>
      <c r="E57" s="1449"/>
      <c r="F57" s="1063">
        <v>1</v>
      </c>
      <c r="G57" s="1561"/>
      <c r="H57" s="4062"/>
      <c r="I57" s="4368"/>
      <c r="J57" s="4855"/>
      <c r="L57" s="1563"/>
      <c r="Q57" s="5019"/>
    </row>
    <row r="58" spans="1:98" s="2595" customFormat="1" ht="27" customHeight="1">
      <c r="A58" s="1336"/>
      <c r="B58" s="1057"/>
      <c r="C58" s="1057"/>
      <c r="D58" s="1119" t="s">
        <v>7750</v>
      </c>
      <c r="E58" s="1057"/>
      <c r="F58" s="1063"/>
      <c r="G58" s="1058"/>
      <c r="H58" s="4063"/>
      <c r="I58" s="4368"/>
      <c r="J58" s="5029"/>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96" t="s">
        <v>7715</v>
      </c>
      <c r="E59" s="1449"/>
      <c r="F59" s="1063"/>
      <c r="G59" s="1561"/>
      <c r="H59" s="4062"/>
      <c r="I59" s="1087"/>
      <c r="J59" s="5029"/>
    </row>
    <row r="60" spans="1:98" s="1277" customFormat="1" ht="38.25" customHeight="1">
      <c r="A60" s="1560"/>
      <c r="B60" s="1449"/>
      <c r="C60" s="1449"/>
      <c r="D60" s="2597" t="s">
        <v>7716</v>
      </c>
      <c r="E60" s="1449"/>
      <c r="F60" s="1063"/>
      <c r="G60" s="1561"/>
      <c r="H60" s="4062"/>
      <c r="I60" s="4467"/>
      <c r="J60" s="1061"/>
    </row>
    <row r="61" spans="1:98" s="1102" customFormat="1" ht="27" customHeight="1">
      <c r="A61" s="1336">
        <v>11</v>
      </c>
      <c r="B61" s="1057">
        <v>751</v>
      </c>
      <c r="C61" s="1057" t="s">
        <v>7751</v>
      </c>
      <c r="D61" s="1057" t="s">
        <v>7752</v>
      </c>
      <c r="E61" s="1057" t="s">
        <v>155</v>
      </c>
      <c r="F61" s="1071">
        <f>ROUND(SUM(F62),3)</f>
        <v>1</v>
      </c>
      <c r="G61" s="1081"/>
      <c r="H61" s="3789">
        <f>ROUND(F61*G61,2)</f>
        <v>0</v>
      </c>
      <c r="I61" s="1059" t="s">
        <v>60</v>
      </c>
      <c r="J61" s="5251"/>
      <c r="K61" s="5026"/>
      <c r="L61" s="5252"/>
      <c r="M61" s="5252"/>
      <c r="N61" s="1061"/>
      <c r="O61" s="1061"/>
      <c r="P61" s="1061"/>
      <c r="Q61" s="1061"/>
      <c r="R61" s="1061"/>
      <c r="S61" s="1061"/>
      <c r="T61" s="5028"/>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94" t="s">
        <v>7753</v>
      </c>
      <c r="E62" s="1449"/>
      <c r="F62" s="1063">
        <v>1</v>
      </c>
      <c r="G62" s="1561"/>
      <c r="H62" s="4062"/>
      <c r="I62" s="4368"/>
      <c r="J62" s="4855"/>
      <c r="L62" s="1563"/>
      <c r="Q62" s="5019"/>
    </row>
    <row r="63" spans="1:98" s="2595" customFormat="1" ht="27" customHeight="1">
      <c r="A63" s="1336"/>
      <c r="B63" s="1057"/>
      <c r="C63" s="1057"/>
      <c r="D63" s="1119" t="s">
        <v>7750</v>
      </c>
      <c r="E63" s="1057"/>
      <c r="F63" s="1063"/>
      <c r="G63" s="1058"/>
      <c r="H63" s="4063"/>
      <c r="I63" s="4368"/>
      <c r="J63" s="5029"/>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96" t="s">
        <v>7715</v>
      </c>
      <c r="E64" s="1449"/>
      <c r="F64" s="1063"/>
      <c r="G64" s="1561"/>
      <c r="H64" s="4062"/>
      <c r="I64" s="1087"/>
      <c r="J64" s="5029"/>
    </row>
    <row r="65" spans="1:98" s="1277" customFormat="1" ht="38.25" customHeight="1">
      <c r="A65" s="1560"/>
      <c r="B65" s="1449"/>
      <c r="C65" s="1449"/>
      <c r="D65" s="2597" t="s">
        <v>7716</v>
      </c>
      <c r="E65" s="1449"/>
      <c r="F65" s="1063"/>
      <c r="G65" s="1561"/>
      <c r="H65" s="4062"/>
      <c r="I65" s="4467"/>
      <c r="J65" s="1061"/>
    </row>
    <row r="66" spans="1:98" s="1102" customFormat="1" ht="27" customHeight="1">
      <c r="A66" s="1336">
        <v>12</v>
      </c>
      <c r="B66" s="1057">
        <v>751</v>
      </c>
      <c r="C66" s="1057" t="s">
        <v>7754</v>
      </c>
      <c r="D66" s="1057" t="s">
        <v>7755</v>
      </c>
      <c r="E66" s="1057" t="s">
        <v>155</v>
      </c>
      <c r="F66" s="1071">
        <f>ROUND(SUM(F67),3)</f>
        <v>1</v>
      </c>
      <c r="G66" s="1081"/>
      <c r="H66" s="3789">
        <f>ROUND(F66*G66,2)</f>
        <v>0</v>
      </c>
      <c r="I66" s="1059" t="s">
        <v>60</v>
      </c>
      <c r="J66" s="5251"/>
      <c r="K66" s="5026"/>
      <c r="L66" s="5252"/>
      <c r="M66" s="5252"/>
      <c r="N66" s="1061"/>
      <c r="O66" s="1061"/>
      <c r="P66" s="1061"/>
      <c r="Q66" s="1061"/>
      <c r="R66" s="1061"/>
      <c r="S66" s="1061"/>
      <c r="T66" s="5028"/>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94" t="s">
        <v>7756</v>
      </c>
      <c r="E67" s="1449"/>
      <c r="F67" s="1063">
        <v>1</v>
      </c>
      <c r="G67" s="1561"/>
      <c r="H67" s="4062"/>
      <c r="I67" s="4368"/>
      <c r="J67" s="4855"/>
      <c r="L67" s="1563"/>
      <c r="Q67" s="5019"/>
    </row>
    <row r="68" spans="1:98" s="2595" customFormat="1" ht="27" customHeight="1">
      <c r="A68" s="1336"/>
      <c r="B68" s="1057"/>
      <c r="C68" s="1057"/>
      <c r="D68" s="1119" t="s">
        <v>7757</v>
      </c>
      <c r="E68" s="1057"/>
      <c r="F68" s="1063"/>
      <c r="G68" s="1058"/>
      <c r="H68" s="4063"/>
      <c r="I68" s="4368"/>
      <c r="J68" s="5029"/>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96" t="s">
        <v>7715</v>
      </c>
      <c r="E69" s="1449"/>
      <c r="F69" s="1063"/>
      <c r="G69" s="1561"/>
      <c r="H69" s="4062"/>
      <c r="I69" s="1087"/>
      <c r="J69" s="5029"/>
    </row>
    <row r="70" spans="1:98" s="1277" customFormat="1" ht="38.25" customHeight="1">
      <c r="A70" s="1560"/>
      <c r="B70" s="1449"/>
      <c r="C70" s="1449"/>
      <c r="D70" s="2597" t="s">
        <v>7716</v>
      </c>
      <c r="E70" s="1449"/>
      <c r="F70" s="1063"/>
      <c r="G70" s="1561"/>
      <c r="H70" s="4062"/>
      <c r="I70" s="4467"/>
      <c r="J70" s="1061"/>
    </row>
    <row r="71" spans="1:98" s="1102" customFormat="1" ht="27" customHeight="1">
      <c r="A71" s="1336">
        <v>13</v>
      </c>
      <c r="B71" s="1057">
        <v>751</v>
      </c>
      <c r="C71" s="1057" t="s">
        <v>7758</v>
      </c>
      <c r="D71" s="1057" t="s">
        <v>7759</v>
      </c>
      <c r="E71" s="1057" t="s">
        <v>155</v>
      </c>
      <c r="F71" s="1071">
        <f>ROUND(SUM(F72),3)</f>
        <v>1</v>
      </c>
      <c r="G71" s="1081"/>
      <c r="H71" s="3789">
        <f>ROUND(F71*G71,2)</f>
        <v>0</v>
      </c>
      <c r="I71" s="1059" t="s">
        <v>60</v>
      </c>
      <c r="J71" s="5251"/>
      <c r="K71" s="5026"/>
      <c r="L71" s="5252"/>
      <c r="M71" s="5252"/>
      <c r="N71" s="1061"/>
      <c r="O71" s="1061"/>
      <c r="P71" s="1061"/>
      <c r="Q71" s="1061"/>
      <c r="R71" s="1061"/>
      <c r="S71" s="1061"/>
      <c r="T71" s="5028"/>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94" t="s">
        <v>7760</v>
      </c>
      <c r="E72" s="1449"/>
      <c r="F72" s="1063">
        <v>1</v>
      </c>
      <c r="G72" s="1561"/>
      <c r="H72" s="4062"/>
      <c r="I72" s="4368"/>
      <c r="J72" s="4855"/>
      <c r="L72" s="1563"/>
      <c r="Q72" s="5019"/>
    </row>
    <row r="73" spans="1:98" s="2595" customFormat="1" ht="27" customHeight="1">
      <c r="A73" s="1336"/>
      <c r="B73" s="1057"/>
      <c r="C73" s="1057"/>
      <c r="D73" s="1119" t="s">
        <v>7757</v>
      </c>
      <c r="E73" s="1057"/>
      <c r="F73" s="1063"/>
      <c r="G73" s="1058"/>
      <c r="H73" s="4063"/>
      <c r="I73" s="4368"/>
      <c r="J73" s="5029"/>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96" t="s">
        <v>7715</v>
      </c>
      <c r="E74" s="1449"/>
      <c r="F74" s="1063"/>
      <c r="G74" s="1561"/>
      <c r="H74" s="4062"/>
      <c r="I74" s="1087"/>
      <c r="J74" s="5029"/>
    </row>
    <row r="75" spans="1:98" s="1277" customFormat="1" ht="38.25" customHeight="1">
      <c r="A75" s="1560"/>
      <c r="B75" s="1449"/>
      <c r="C75" s="1449"/>
      <c r="D75" s="2597" t="s">
        <v>7716</v>
      </c>
      <c r="E75" s="1449"/>
      <c r="F75" s="1063"/>
      <c r="G75" s="1561"/>
      <c r="H75" s="4062"/>
      <c r="I75" s="4467"/>
      <c r="J75" s="1061"/>
    </row>
    <row r="76" spans="1:98" s="1102" customFormat="1" ht="27" customHeight="1">
      <c r="A76" s="1336">
        <v>14</v>
      </c>
      <c r="B76" s="1057">
        <v>751</v>
      </c>
      <c r="C76" s="1057" t="s">
        <v>7761</v>
      </c>
      <c r="D76" s="1057" t="s">
        <v>7762</v>
      </c>
      <c r="E76" s="1057" t="s">
        <v>155</v>
      </c>
      <c r="F76" s="1071">
        <f>ROUND(SUM(F77),3)</f>
        <v>1</v>
      </c>
      <c r="G76" s="1081"/>
      <c r="H76" s="3789">
        <f>ROUND(F76*G76,2)</f>
        <v>0</v>
      </c>
      <c r="I76" s="1059" t="s">
        <v>60</v>
      </c>
      <c r="J76" s="5251"/>
      <c r="K76" s="5026"/>
      <c r="L76" s="5252"/>
      <c r="M76" s="5252"/>
      <c r="N76" s="1061"/>
      <c r="O76" s="1061"/>
      <c r="P76" s="1061"/>
      <c r="Q76" s="1061"/>
      <c r="R76" s="1061"/>
      <c r="S76" s="1061"/>
      <c r="T76" s="5028"/>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94" t="s">
        <v>7763</v>
      </c>
      <c r="E77" s="1449"/>
      <c r="F77" s="1063">
        <v>1</v>
      </c>
      <c r="G77" s="1561"/>
      <c r="H77" s="4062"/>
      <c r="I77" s="4368"/>
      <c r="J77" s="4855"/>
      <c r="L77" s="1563"/>
      <c r="Q77" s="5019"/>
    </row>
    <row r="78" spans="1:98" s="2595" customFormat="1" ht="27" customHeight="1">
      <c r="A78" s="1336"/>
      <c r="B78" s="1057"/>
      <c r="C78" s="1057"/>
      <c r="D78" s="1119" t="s">
        <v>7757</v>
      </c>
      <c r="E78" s="1057"/>
      <c r="F78" s="1063"/>
      <c r="G78" s="1058"/>
      <c r="H78" s="4063"/>
      <c r="I78" s="4368"/>
      <c r="J78" s="5029"/>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96" t="s">
        <v>7715</v>
      </c>
      <c r="E79" s="1449"/>
      <c r="F79" s="1063"/>
      <c r="G79" s="1561"/>
      <c r="H79" s="4062"/>
      <c r="I79" s="1087"/>
      <c r="J79" s="5029"/>
    </row>
    <row r="80" spans="1:98" s="1277" customFormat="1" ht="38.25" customHeight="1">
      <c r="A80" s="1560"/>
      <c r="B80" s="1449"/>
      <c r="C80" s="1449"/>
      <c r="D80" s="2597" t="s">
        <v>7716</v>
      </c>
      <c r="E80" s="1449"/>
      <c r="F80" s="1063"/>
      <c r="G80" s="1561"/>
      <c r="H80" s="4062"/>
      <c r="I80" s="4467"/>
      <c r="J80" s="1061"/>
    </row>
    <row r="81" spans="1:98" s="1102" customFormat="1" ht="27" customHeight="1">
      <c r="A81" s="1336">
        <v>15</v>
      </c>
      <c r="B81" s="1057">
        <v>751</v>
      </c>
      <c r="C81" s="1057" t="s">
        <v>7764</v>
      </c>
      <c r="D81" s="1057" t="s">
        <v>7765</v>
      </c>
      <c r="E81" s="1057" t="s">
        <v>23</v>
      </c>
      <c r="F81" s="1071">
        <f>ROUND(SUM(F82),3)</f>
        <v>1</v>
      </c>
      <c r="G81" s="1058"/>
      <c r="H81" s="3789">
        <f>ROUND(F81*G81,2)</f>
        <v>0</v>
      </c>
      <c r="I81" s="1059" t="s">
        <v>60</v>
      </c>
      <c r="J81" s="5253"/>
      <c r="K81" s="5254"/>
      <c r="L81" s="1061"/>
      <c r="M81" s="5255"/>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99" customFormat="1" ht="27" customHeight="1">
      <c r="A82" s="1336"/>
      <c r="B82" s="1056"/>
      <c r="C82" s="1057"/>
      <c r="D82" s="2598" t="s">
        <v>7766</v>
      </c>
      <c r="E82" s="1057"/>
      <c r="F82" s="1063">
        <v>1</v>
      </c>
      <c r="G82" s="1058"/>
      <c r="H82" s="4063"/>
      <c r="I82" s="4468"/>
      <c r="J82" s="5031"/>
      <c r="K82" s="2526"/>
      <c r="L82" s="1091"/>
      <c r="M82" s="4598"/>
      <c r="N82" s="1091"/>
      <c r="O82" s="1091"/>
      <c r="P82" s="1091"/>
      <c r="Q82" s="5019"/>
      <c r="R82" s="1091"/>
      <c r="S82" s="1091"/>
      <c r="T82" s="1091"/>
      <c r="U82" s="1091"/>
      <c r="V82" s="5057"/>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99" customFormat="1" ht="40.5" customHeight="1">
      <c r="A83" s="1336"/>
      <c r="B83" s="1056"/>
      <c r="C83" s="1057"/>
      <c r="D83" s="2598" t="s">
        <v>7767</v>
      </c>
      <c r="E83" s="1057"/>
      <c r="F83" s="1063"/>
      <c r="G83" s="1058"/>
      <c r="H83" s="4063"/>
      <c r="I83" s="4468"/>
      <c r="J83" s="5024"/>
      <c r="K83" s="1562"/>
      <c r="L83" s="1091"/>
      <c r="M83" s="1091"/>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7768</v>
      </c>
      <c r="D84" s="1057" t="s">
        <v>7769</v>
      </c>
      <c r="E84" s="1057" t="s">
        <v>23</v>
      </c>
      <c r="F84" s="1071">
        <f>ROUND(SUM(F85),3)</f>
        <v>1</v>
      </c>
      <c r="G84" s="1058"/>
      <c r="H84" s="3789">
        <f>ROUND(F84*G84,2)</f>
        <v>0</v>
      </c>
      <c r="I84" s="1059" t="s">
        <v>60</v>
      </c>
      <c r="J84" s="5253"/>
      <c r="K84" s="5254"/>
      <c r="L84" s="1061"/>
      <c r="M84" s="5255"/>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99" customFormat="1" ht="27" customHeight="1">
      <c r="A85" s="1336"/>
      <c r="B85" s="1056"/>
      <c r="C85" s="1057"/>
      <c r="D85" s="2598" t="s">
        <v>7770</v>
      </c>
      <c r="E85" s="1057"/>
      <c r="F85" s="1063">
        <v>1</v>
      </c>
      <c r="G85" s="1058"/>
      <c r="H85" s="4063"/>
      <c r="I85" s="4468"/>
      <c r="J85" s="5031"/>
      <c r="K85" s="2526"/>
      <c r="L85" s="1091"/>
      <c r="M85" s="4598"/>
      <c r="N85" s="1091"/>
      <c r="O85" s="1091"/>
      <c r="P85" s="1091"/>
      <c r="Q85" s="5019"/>
      <c r="R85" s="1091"/>
      <c r="S85" s="1091"/>
      <c r="T85" s="1091"/>
      <c r="U85" s="1091"/>
      <c r="V85" s="5057"/>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99" customFormat="1" ht="40.5" customHeight="1">
      <c r="A86" s="1336"/>
      <c r="B86" s="1056"/>
      <c r="C86" s="1057"/>
      <c r="D86" s="2598" t="s">
        <v>7767</v>
      </c>
      <c r="E86" s="1057"/>
      <c r="F86" s="1063"/>
      <c r="G86" s="1058"/>
      <c r="H86" s="4063"/>
      <c r="I86" s="4468"/>
      <c r="J86" s="5024"/>
      <c r="K86" s="1562"/>
      <c r="L86" s="1091"/>
      <c r="M86" s="1091"/>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7771</v>
      </c>
      <c r="D87" s="1057" t="s">
        <v>7772</v>
      </c>
      <c r="E87" s="1057" t="s">
        <v>23</v>
      </c>
      <c r="F87" s="1071">
        <f>ROUND(SUM(F88),3)</f>
        <v>1</v>
      </c>
      <c r="G87" s="1058"/>
      <c r="H87" s="3789">
        <f>ROUND(F87*G87,2)</f>
        <v>0</v>
      </c>
      <c r="I87" s="1059" t="s">
        <v>60</v>
      </c>
      <c r="J87" s="5253"/>
      <c r="K87" s="5254"/>
      <c r="L87" s="1061"/>
      <c r="M87" s="5255"/>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99" customFormat="1" ht="27" customHeight="1">
      <c r="A88" s="1336"/>
      <c r="B88" s="1056"/>
      <c r="C88" s="1057"/>
      <c r="D88" s="2598" t="s">
        <v>7773</v>
      </c>
      <c r="E88" s="1057"/>
      <c r="F88" s="1063">
        <v>1</v>
      </c>
      <c r="G88" s="1058"/>
      <c r="H88" s="4063"/>
      <c r="I88" s="4468"/>
      <c r="J88" s="5031"/>
      <c r="K88" s="2526"/>
      <c r="L88" s="1091"/>
      <c r="M88" s="4598"/>
      <c r="N88" s="1091"/>
      <c r="O88" s="1091"/>
      <c r="P88" s="1091"/>
      <c r="Q88" s="5019"/>
      <c r="R88" s="1091"/>
      <c r="S88" s="1091"/>
      <c r="T88" s="1091"/>
      <c r="U88" s="1091"/>
      <c r="V88" s="5057"/>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99" customFormat="1" ht="40.5" customHeight="1">
      <c r="A89" s="1336"/>
      <c r="B89" s="1056"/>
      <c r="C89" s="1057"/>
      <c r="D89" s="2598" t="s">
        <v>7767</v>
      </c>
      <c r="E89" s="1057"/>
      <c r="F89" s="1063"/>
      <c r="G89" s="1058"/>
      <c r="H89" s="4063"/>
      <c r="I89" s="4468"/>
      <c r="J89" s="5024"/>
      <c r="K89" s="1562"/>
      <c r="L89" s="1091"/>
      <c r="M89" s="1091"/>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7774</v>
      </c>
      <c r="D90" s="1057" t="s">
        <v>7775</v>
      </c>
      <c r="E90" s="1057" t="s">
        <v>23</v>
      </c>
      <c r="F90" s="1071">
        <f>ROUND(SUM(F91),3)</f>
        <v>1</v>
      </c>
      <c r="G90" s="1058"/>
      <c r="H90" s="3789">
        <f>ROUND(F90*G90,2)</f>
        <v>0</v>
      </c>
      <c r="I90" s="1059" t="s">
        <v>60</v>
      </c>
      <c r="J90" s="5253"/>
      <c r="K90" s="5254"/>
      <c r="L90" s="1061"/>
      <c r="M90" s="5255"/>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99" customFormat="1" ht="27" customHeight="1">
      <c r="A91" s="1336"/>
      <c r="B91" s="1056"/>
      <c r="C91" s="1057"/>
      <c r="D91" s="2598" t="s">
        <v>7776</v>
      </c>
      <c r="E91" s="1057"/>
      <c r="F91" s="1063">
        <v>1</v>
      </c>
      <c r="G91" s="1058"/>
      <c r="H91" s="4063"/>
      <c r="I91" s="4468"/>
      <c r="J91" s="5031"/>
      <c r="K91" s="2526"/>
      <c r="L91" s="1091"/>
      <c r="M91" s="4598"/>
      <c r="N91" s="1091"/>
      <c r="O91" s="1091"/>
      <c r="P91" s="1091"/>
      <c r="Q91" s="5019"/>
      <c r="R91" s="1091"/>
      <c r="S91" s="1091"/>
      <c r="T91" s="1091"/>
      <c r="U91" s="1091"/>
      <c r="V91" s="5057"/>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99" customFormat="1" ht="40.5" customHeight="1">
      <c r="A92" s="1336"/>
      <c r="B92" s="1056"/>
      <c r="C92" s="1057"/>
      <c r="D92" s="2598" t="s">
        <v>7767</v>
      </c>
      <c r="E92" s="1057"/>
      <c r="F92" s="1063"/>
      <c r="G92" s="1058"/>
      <c r="H92" s="4063"/>
      <c r="I92" s="4468"/>
      <c r="J92" s="5024"/>
      <c r="K92" s="1562"/>
      <c r="L92" s="1091"/>
      <c r="M92" s="1091"/>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7777</v>
      </c>
      <c r="D93" s="1057" t="s">
        <v>7778</v>
      </c>
      <c r="E93" s="1057" t="s">
        <v>23</v>
      </c>
      <c r="F93" s="1071">
        <f>ROUND(SUM(F94),3)</f>
        <v>1</v>
      </c>
      <c r="G93" s="1058"/>
      <c r="H93" s="3789">
        <f>ROUND(F93*G93,2)</f>
        <v>0</v>
      </c>
      <c r="I93" s="1059" t="s">
        <v>60</v>
      </c>
      <c r="J93" s="5253"/>
      <c r="K93" s="5254"/>
      <c r="L93" s="1061"/>
      <c r="M93" s="5255"/>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99" customFormat="1" ht="27" customHeight="1">
      <c r="A94" s="1336"/>
      <c r="B94" s="1056"/>
      <c r="C94" s="1057"/>
      <c r="D94" s="2598" t="s">
        <v>7779</v>
      </c>
      <c r="E94" s="1057"/>
      <c r="F94" s="1063">
        <v>1</v>
      </c>
      <c r="G94" s="1058"/>
      <c r="H94" s="4063"/>
      <c r="I94" s="4468"/>
      <c r="J94" s="5031"/>
      <c r="K94" s="2526"/>
      <c r="L94" s="1091"/>
      <c r="M94" s="4598"/>
      <c r="N94" s="1091"/>
      <c r="O94" s="1091"/>
      <c r="P94" s="1091"/>
      <c r="Q94" s="5019"/>
      <c r="R94" s="1091"/>
      <c r="S94" s="1091"/>
      <c r="T94" s="1091"/>
      <c r="U94" s="1091"/>
      <c r="V94" s="5057"/>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99" customFormat="1" ht="40.5" customHeight="1">
      <c r="A95" s="1336"/>
      <c r="B95" s="1056"/>
      <c r="C95" s="1057"/>
      <c r="D95" s="2598" t="s">
        <v>7767</v>
      </c>
      <c r="E95" s="1057"/>
      <c r="F95" s="1063"/>
      <c r="G95" s="1058"/>
      <c r="H95" s="4063"/>
      <c r="I95" s="4468"/>
      <c r="J95" s="5024"/>
      <c r="K95" s="1562"/>
      <c r="L95" s="1091"/>
      <c r="M95" s="1091"/>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7780</v>
      </c>
      <c r="D96" s="1057" t="s">
        <v>7781</v>
      </c>
      <c r="E96" s="1057" t="s">
        <v>23</v>
      </c>
      <c r="F96" s="1071">
        <f>ROUND(SUM(F97),3)</f>
        <v>1</v>
      </c>
      <c r="G96" s="1058"/>
      <c r="H96" s="3789">
        <f>ROUND(F96*G96,2)</f>
        <v>0</v>
      </c>
      <c r="I96" s="1059" t="s">
        <v>60</v>
      </c>
      <c r="J96" s="5253"/>
      <c r="K96" s="5254"/>
      <c r="L96" s="1061"/>
      <c r="M96" s="5255"/>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99" customFormat="1" ht="27" customHeight="1">
      <c r="A97" s="1336"/>
      <c r="B97" s="1056"/>
      <c r="C97" s="1057"/>
      <c r="D97" s="2598" t="s">
        <v>7782</v>
      </c>
      <c r="E97" s="1057"/>
      <c r="F97" s="1063">
        <v>1</v>
      </c>
      <c r="G97" s="1058"/>
      <c r="H97" s="4063"/>
      <c r="I97" s="4468"/>
      <c r="J97" s="5031"/>
      <c r="K97" s="2526"/>
      <c r="L97" s="1091"/>
      <c r="M97" s="4598"/>
      <c r="N97" s="1091"/>
      <c r="O97" s="1091"/>
      <c r="P97" s="1091"/>
      <c r="Q97" s="5019"/>
      <c r="R97" s="1091"/>
      <c r="S97" s="1091"/>
      <c r="T97" s="1091"/>
      <c r="U97" s="1091"/>
      <c r="V97" s="5057"/>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99" customFormat="1" ht="40.5" customHeight="1">
      <c r="A98" s="1336"/>
      <c r="B98" s="1056"/>
      <c r="C98" s="1057"/>
      <c r="D98" s="2598" t="s">
        <v>7767</v>
      </c>
      <c r="E98" s="1057"/>
      <c r="F98" s="1063"/>
      <c r="G98" s="1058"/>
      <c r="H98" s="4063"/>
      <c r="I98" s="4468"/>
      <c r="J98" s="5024"/>
      <c r="K98" s="1562"/>
      <c r="L98" s="1091"/>
      <c r="M98" s="1091"/>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7783</v>
      </c>
      <c r="D99" s="1057" t="s">
        <v>7784</v>
      </c>
      <c r="E99" s="1057" t="s">
        <v>23</v>
      </c>
      <c r="F99" s="1071">
        <f>ROUND(SUM(F100),3)</f>
        <v>1</v>
      </c>
      <c r="G99" s="1058"/>
      <c r="H99" s="3789">
        <f>ROUND(F99*G99,2)</f>
        <v>0</v>
      </c>
      <c r="I99" s="1059" t="s">
        <v>60</v>
      </c>
      <c r="J99" s="5253"/>
      <c r="K99" s="5254"/>
      <c r="L99" s="1061"/>
      <c r="M99" s="5255"/>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99" customFormat="1" ht="27" customHeight="1">
      <c r="A100" s="1336"/>
      <c r="B100" s="1056"/>
      <c r="C100" s="1057"/>
      <c r="D100" s="2598" t="s">
        <v>7785</v>
      </c>
      <c r="E100" s="1057"/>
      <c r="F100" s="1063">
        <v>1</v>
      </c>
      <c r="G100" s="1058"/>
      <c r="H100" s="4063"/>
      <c r="I100" s="4468"/>
      <c r="J100" s="5031"/>
      <c r="K100" s="2526"/>
      <c r="L100" s="1091"/>
      <c r="M100" s="4598"/>
      <c r="N100" s="1091"/>
      <c r="O100" s="1091"/>
      <c r="P100" s="1091"/>
      <c r="Q100" s="5019"/>
      <c r="R100" s="1091"/>
      <c r="S100" s="1091"/>
      <c r="T100" s="1091"/>
      <c r="U100" s="1091"/>
      <c r="V100" s="5057"/>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99" customFormat="1" ht="40.5" customHeight="1">
      <c r="A101" s="1336"/>
      <c r="B101" s="1056"/>
      <c r="C101" s="1057"/>
      <c r="D101" s="2598" t="s">
        <v>7767</v>
      </c>
      <c r="E101" s="1057"/>
      <c r="F101" s="1063"/>
      <c r="G101" s="1058"/>
      <c r="H101" s="4063"/>
      <c r="I101" s="4468"/>
      <c r="J101" s="5024"/>
      <c r="K101" s="1562"/>
      <c r="L101" s="1091"/>
      <c r="M101" s="1091"/>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7786</v>
      </c>
      <c r="D102" s="1057" t="s">
        <v>7787</v>
      </c>
      <c r="E102" s="1057" t="s">
        <v>23</v>
      </c>
      <c r="F102" s="1071">
        <f>ROUND(SUM(F103),3)</f>
        <v>1</v>
      </c>
      <c r="G102" s="1058"/>
      <c r="H102" s="3789">
        <f>ROUND(F102*G102,2)</f>
        <v>0</v>
      </c>
      <c r="I102" s="1059" t="s">
        <v>60</v>
      </c>
      <c r="J102" s="5253"/>
      <c r="K102" s="5254"/>
      <c r="L102" s="1061"/>
      <c r="M102" s="5255"/>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99" customFormat="1" ht="27" customHeight="1">
      <c r="A103" s="1336"/>
      <c r="B103" s="1056"/>
      <c r="C103" s="1057"/>
      <c r="D103" s="2598" t="s">
        <v>7788</v>
      </c>
      <c r="E103" s="1057"/>
      <c r="F103" s="1063">
        <v>1</v>
      </c>
      <c r="G103" s="1058"/>
      <c r="H103" s="4063"/>
      <c r="I103" s="4468"/>
      <c r="J103" s="5031"/>
      <c r="K103" s="2526"/>
      <c r="L103" s="1091"/>
      <c r="M103" s="4598"/>
      <c r="N103" s="1091"/>
      <c r="O103" s="1091"/>
      <c r="P103" s="1091"/>
      <c r="Q103" s="5019"/>
      <c r="R103" s="1091"/>
      <c r="S103" s="1091"/>
      <c r="T103" s="1091"/>
      <c r="U103" s="1091"/>
      <c r="V103" s="5057"/>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99" customFormat="1" ht="41.25" customHeight="1">
      <c r="A104" s="1336"/>
      <c r="B104" s="1056"/>
      <c r="C104" s="1057"/>
      <c r="D104" s="2598" t="s">
        <v>7767</v>
      </c>
      <c r="E104" s="1057"/>
      <c r="F104" s="1063"/>
      <c r="G104" s="1058"/>
      <c r="H104" s="4063"/>
      <c r="I104" s="4468"/>
      <c r="J104" s="5024"/>
      <c r="K104" s="1562"/>
      <c r="L104" s="1091"/>
      <c r="M104" s="1091"/>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7789</v>
      </c>
      <c r="D105" s="1057" t="s">
        <v>7790</v>
      </c>
      <c r="E105" s="1057" t="s">
        <v>23</v>
      </c>
      <c r="F105" s="1071">
        <f>ROUND(SUM(F106),3)</f>
        <v>1</v>
      </c>
      <c r="G105" s="1058"/>
      <c r="H105" s="3789">
        <f>ROUND(F105*G105,2)</f>
        <v>0</v>
      </c>
      <c r="I105" s="1059" t="s">
        <v>60</v>
      </c>
      <c r="J105" s="5253"/>
      <c r="K105" s="5254"/>
      <c r="L105" s="1061"/>
      <c r="M105" s="5255"/>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99" customFormat="1" ht="27" customHeight="1">
      <c r="A106" s="1336"/>
      <c r="B106" s="1056"/>
      <c r="C106" s="1057"/>
      <c r="D106" s="2598" t="s">
        <v>7791</v>
      </c>
      <c r="E106" s="1057"/>
      <c r="F106" s="1063">
        <v>1</v>
      </c>
      <c r="G106" s="1058"/>
      <c r="H106" s="4063"/>
      <c r="I106" s="4468"/>
      <c r="J106" s="5031"/>
      <c r="K106" s="2526"/>
      <c r="L106" s="1091"/>
      <c r="M106" s="4598"/>
      <c r="N106" s="1091"/>
      <c r="O106" s="1091"/>
      <c r="P106" s="1091"/>
      <c r="Q106" s="5019"/>
      <c r="R106" s="1091"/>
      <c r="S106" s="1091"/>
      <c r="T106" s="1091"/>
      <c r="U106" s="1091"/>
      <c r="V106" s="5057"/>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99" customFormat="1" ht="40.5" customHeight="1">
      <c r="A107" s="1336"/>
      <c r="B107" s="1056"/>
      <c r="C107" s="1057"/>
      <c r="D107" s="2598" t="s">
        <v>7767</v>
      </c>
      <c r="E107" s="1057"/>
      <c r="F107" s="1063"/>
      <c r="G107" s="1058"/>
      <c r="H107" s="4063"/>
      <c r="I107" s="4468"/>
      <c r="J107" s="5024"/>
      <c r="K107" s="1562"/>
      <c r="L107" s="1091"/>
      <c r="M107" s="1091"/>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7792</v>
      </c>
      <c r="D108" s="1057" t="s">
        <v>7793</v>
      </c>
      <c r="E108" s="1057" t="s">
        <v>23</v>
      </c>
      <c r="F108" s="1071">
        <f>ROUND(SUM(F109),3)</f>
        <v>1</v>
      </c>
      <c r="G108" s="1058"/>
      <c r="H108" s="3789">
        <f>ROUND(F108*G108,2)</f>
        <v>0</v>
      </c>
      <c r="I108" s="1059" t="s">
        <v>60</v>
      </c>
      <c r="J108" s="5253"/>
      <c r="K108" s="5254"/>
      <c r="L108" s="1061"/>
      <c r="M108" s="5255"/>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99" customFormat="1" ht="27" customHeight="1">
      <c r="A109" s="1336"/>
      <c r="B109" s="1056"/>
      <c r="C109" s="1057"/>
      <c r="D109" s="2598" t="s">
        <v>7794</v>
      </c>
      <c r="E109" s="1057"/>
      <c r="F109" s="1063">
        <v>1</v>
      </c>
      <c r="G109" s="1058"/>
      <c r="H109" s="4063"/>
      <c r="I109" s="4468"/>
      <c r="J109" s="5031"/>
      <c r="K109" s="2526"/>
      <c r="L109" s="1091"/>
      <c r="M109" s="4598"/>
      <c r="N109" s="1091"/>
      <c r="O109" s="1091"/>
      <c r="P109" s="1091"/>
      <c r="Q109" s="5019"/>
      <c r="R109" s="1091"/>
      <c r="S109" s="1091"/>
      <c r="T109" s="1091"/>
      <c r="U109" s="1091"/>
      <c r="V109" s="5057"/>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99" customFormat="1" ht="40.5" customHeight="1">
      <c r="A110" s="1336"/>
      <c r="B110" s="1056"/>
      <c r="C110" s="1057"/>
      <c r="D110" s="2598" t="s">
        <v>7767</v>
      </c>
      <c r="E110" s="1057"/>
      <c r="F110" s="1063"/>
      <c r="G110" s="1058"/>
      <c r="H110" s="4063"/>
      <c r="I110" s="4468"/>
      <c r="J110" s="5024"/>
      <c r="K110" s="1562"/>
      <c r="L110" s="1091"/>
      <c r="M110" s="1091"/>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7795</v>
      </c>
      <c r="D111" s="1057" t="s">
        <v>7796</v>
      </c>
      <c r="E111" s="1057" t="s">
        <v>23</v>
      </c>
      <c r="F111" s="1071">
        <f>ROUND(SUM(F112),3)</f>
        <v>1</v>
      </c>
      <c r="G111" s="1058"/>
      <c r="H111" s="3789">
        <f>ROUND(F111*G111,2)</f>
        <v>0</v>
      </c>
      <c r="I111" s="1059" t="s">
        <v>60</v>
      </c>
      <c r="J111" s="5253"/>
      <c r="K111" s="5254"/>
      <c r="L111" s="1061"/>
      <c r="M111" s="5255"/>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99" customFormat="1" ht="27" customHeight="1">
      <c r="A112" s="1336"/>
      <c r="B112" s="1056"/>
      <c r="C112" s="1057"/>
      <c r="D112" s="2598" t="s">
        <v>7797</v>
      </c>
      <c r="E112" s="1057"/>
      <c r="F112" s="1063">
        <v>1</v>
      </c>
      <c r="G112" s="1058"/>
      <c r="H112" s="4063"/>
      <c r="I112" s="4468"/>
      <c r="J112" s="5031"/>
      <c r="K112" s="2526"/>
      <c r="L112" s="1091"/>
      <c r="M112" s="4598"/>
      <c r="N112" s="1091"/>
      <c r="O112" s="1091"/>
      <c r="P112" s="1091"/>
      <c r="Q112" s="5019"/>
      <c r="R112" s="1091"/>
      <c r="S112" s="1091"/>
      <c r="T112" s="1091"/>
      <c r="U112" s="1091"/>
      <c r="V112" s="5057"/>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99" customFormat="1" ht="40.5" customHeight="1">
      <c r="A113" s="1336"/>
      <c r="B113" s="1056"/>
      <c r="C113" s="1057"/>
      <c r="D113" s="2598" t="s">
        <v>7767</v>
      </c>
      <c r="E113" s="1057"/>
      <c r="F113" s="1063"/>
      <c r="G113" s="1058"/>
      <c r="H113" s="4063"/>
      <c r="I113" s="4468"/>
      <c r="J113" s="5024"/>
      <c r="K113" s="1562"/>
      <c r="L113" s="1091"/>
      <c r="M113" s="1091"/>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7798</v>
      </c>
      <c r="D114" s="1057" t="s">
        <v>7799</v>
      </c>
      <c r="E114" s="1057" t="s">
        <v>23</v>
      </c>
      <c r="F114" s="1071">
        <f>ROUND(SUM(F115),3)</f>
        <v>1</v>
      </c>
      <c r="G114" s="1058"/>
      <c r="H114" s="3789">
        <f>ROUND(F114*G114,2)</f>
        <v>0</v>
      </c>
      <c r="I114" s="1059" t="s">
        <v>60</v>
      </c>
      <c r="J114" s="5253"/>
      <c r="K114" s="5254"/>
      <c r="L114" s="1061"/>
      <c r="M114" s="5255"/>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99" customFormat="1" ht="27" customHeight="1">
      <c r="A115" s="1336"/>
      <c r="B115" s="1056"/>
      <c r="C115" s="1057"/>
      <c r="D115" s="2598" t="s">
        <v>7800</v>
      </c>
      <c r="E115" s="1057"/>
      <c r="F115" s="1063">
        <v>1</v>
      </c>
      <c r="G115" s="1058"/>
      <c r="H115" s="4063"/>
      <c r="I115" s="4468"/>
      <c r="J115" s="5031"/>
      <c r="K115" s="2526"/>
      <c r="L115" s="1091"/>
      <c r="M115" s="4598"/>
      <c r="N115" s="1091"/>
      <c r="O115" s="1091"/>
      <c r="P115" s="1091"/>
      <c r="Q115" s="5019"/>
      <c r="R115" s="1091"/>
      <c r="S115" s="1091"/>
      <c r="T115" s="1091"/>
      <c r="U115" s="1091"/>
      <c r="V115" s="5057"/>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99" customFormat="1" ht="40.5" customHeight="1">
      <c r="A116" s="1336"/>
      <c r="B116" s="1056"/>
      <c r="C116" s="1057"/>
      <c r="D116" s="2598" t="s">
        <v>7767</v>
      </c>
      <c r="E116" s="1057"/>
      <c r="F116" s="1063"/>
      <c r="G116" s="1058"/>
      <c r="H116" s="4063"/>
      <c r="I116" s="4468"/>
      <c r="J116" s="5024"/>
      <c r="K116" s="1562"/>
      <c r="L116" s="1091"/>
      <c r="M116" s="1091"/>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7801</v>
      </c>
      <c r="D117" s="1057" t="s">
        <v>7802</v>
      </c>
      <c r="E117" s="1057" t="s">
        <v>23</v>
      </c>
      <c r="F117" s="1071">
        <f>ROUND(SUM(F118),3)</f>
        <v>1</v>
      </c>
      <c r="G117" s="1058"/>
      <c r="H117" s="3789">
        <f>ROUND(F117*G117,2)</f>
        <v>0</v>
      </c>
      <c r="I117" s="1059" t="s">
        <v>60</v>
      </c>
      <c r="J117" s="5253"/>
      <c r="K117" s="5254"/>
      <c r="L117" s="1061"/>
      <c r="M117" s="5255"/>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99" customFormat="1" ht="27" customHeight="1">
      <c r="A118" s="1336"/>
      <c r="B118" s="1056"/>
      <c r="C118" s="1057"/>
      <c r="D118" s="2598" t="s">
        <v>7803</v>
      </c>
      <c r="E118" s="1057"/>
      <c r="F118" s="1063">
        <v>1</v>
      </c>
      <c r="G118" s="1058"/>
      <c r="H118" s="4063"/>
      <c r="I118" s="4468"/>
      <c r="J118" s="5031"/>
      <c r="K118" s="2526"/>
      <c r="L118" s="1091"/>
      <c r="M118" s="4598"/>
      <c r="N118" s="1091"/>
      <c r="O118" s="1091"/>
      <c r="P118" s="1091"/>
      <c r="Q118" s="5019"/>
      <c r="R118" s="1091"/>
      <c r="S118" s="1091"/>
      <c r="T118" s="1091"/>
      <c r="U118" s="1091"/>
      <c r="V118" s="5057"/>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99" customFormat="1" ht="40.5" customHeight="1">
      <c r="A119" s="1336"/>
      <c r="B119" s="1056"/>
      <c r="C119" s="1057"/>
      <c r="D119" s="2598" t="s">
        <v>7767</v>
      </c>
      <c r="E119" s="1057"/>
      <c r="F119" s="1063"/>
      <c r="G119" s="1058"/>
      <c r="H119" s="4063"/>
      <c r="I119" s="4468"/>
      <c r="J119" s="5024"/>
      <c r="K119" s="1562"/>
      <c r="L119" s="1091"/>
      <c r="M119" s="1091"/>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7804</v>
      </c>
      <c r="D120" s="1057" t="s">
        <v>7805</v>
      </c>
      <c r="E120" s="1057" t="s">
        <v>23</v>
      </c>
      <c r="F120" s="1071">
        <f>ROUND(SUM(F121),3)</f>
        <v>1</v>
      </c>
      <c r="G120" s="1058"/>
      <c r="H120" s="3789">
        <f>ROUND(F120*G120,2)</f>
        <v>0</v>
      </c>
      <c r="I120" s="1059" t="s">
        <v>60</v>
      </c>
      <c r="J120" s="5253"/>
      <c r="K120" s="5254"/>
      <c r="L120" s="1061"/>
      <c r="M120" s="5255"/>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99" customFormat="1" ht="27" customHeight="1">
      <c r="A121" s="1336"/>
      <c r="B121" s="1056"/>
      <c r="C121" s="1057"/>
      <c r="D121" s="2598" t="s">
        <v>7806</v>
      </c>
      <c r="E121" s="1057"/>
      <c r="F121" s="1063">
        <v>1</v>
      </c>
      <c r="G121" s="1058"/>
      <c r="H121" s="4063"/>
      <c r="I121" s="4468"/>
      <c r="J121" s="5031"/>
      <c r="K121" s="2526"/>
      <c r="L121" s="1091"/>
      <c r="M121" s="4598"/>
      <c r="N121" s="1091"/>
      <c r="O121" s="1091"/>
      <c r="P121" s="1091"/>
      <c r="Q121" s="5019"/>
      <c r="R121" s="1091"/>
      <c r="S121" s="1091"/>
      <c r="T121" s="1091"/>
      <c r="U121" s="1091"/>
      <c r="V121" s="5057"/>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99" customFormat="1" ht="40.5" customHeight="1">
      <c r="A122" s="1336"/>
      <c r="B122" s="1056"/>
      <c r="C122" s="1057"/>
      <c r="D122" s="2598" t="s">
        <v>7767</v>
      </c>
      <c r="E122" s="1057"/>
      <c r="F122" s="1063"/>
      <c r="G122" s="1058"/>
      <c r="H122" s="4063"/>
      <c r="I122" s="4468"/>
      <c r="J122" s="5024"/>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7807</v>
      </c>
      <c r="D123" s="1057" t="s">
        <v>7808</v>
      </c>
      <c r="E123" s="1057" t="s">
        <v>155</v>
      </c>
      <c r="F123" s="1071">
        <f>ROUND(SUM(F125:F129),3)</f>
        <v>33</v>
      </c>
      <c r="G123" s="1081"/>
      <c r="H123" s="3789">
        <f>ROUND(F123*G123,2)</f>
        <v>0</v>
      </c>
      <c r="I123" s="1059" t="s">
        <v>60</v>
      </c>
      <c r="J123" s="5251"/>
      <c r="K123" s="5026"/>
      <c r="L123" s="1061"/>
      <c r="M123" s="1061"/>
      <c r="N123" s="1061"/>
      <c r="O123" s="1061"/>
      <c r="P123" s="1061"/>
      <c r="Q123" s="1061"/>
      <c r="R123" s="1061"/>
      <c r="S123" s="1061"/>
      <c r="T123" s="5256"/>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99" customFormat="1" ht="27" customHeight="1">
      <c r="A124" s="1336"/>
      <c r="B124" s="1056"/>
      <c r="C124" s="1057"/>
      <c r="D124" s="2598" t="s">
        <v>7809</v>
      </c>
      <c r="E124" s="1057"/>
      <c r="F124" s="1063"/>
      <c r="G124" s="1058"/>
      <c r="H124" s="4063"/>
      <c r="I124" s="4469"/>
      <c r="J124" s="5057"/>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7810</v>
      </c>
      <c r="E125" s="1057"/>
      <c r="F125" s="1063">
        <v>6</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7811</v>
      </c>
      <c r="E126" s="1057"/>
      <c r="F126" s="1063">
        <v>7</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7812</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99" customFormat="1" ht="13.5" customHeight="1">
      <c r="A128" s="1336"/>
      <c r="B128" s="1056"/>
      <c r="C128" s="1057"/>
      <c r="D128" s="2598" t="s">
        <v>7813</v>
      </c>
      <c r="E128" s="1057"/>
      <c r="F128" s="1063">
        <v>6</v>
      </c>
      <c r="G128" s="1058"/>
      <c r="H128" s="4063"/>
      <c r="I128" s="4469"/>
      <c r="J128" s="1562"/>
      <c r="K128" s="1562"/>
      <c r="L128" s="1091"/>
      <c r="M128" s="1091"/>
      <c r="N128" s="1091"/>
      <c r="O128" s="1091"/>
      <c r="P128" s="1091"/>
      <c r="Q128" s="5019"/>
      <c r="R128" s="1091"/>
      <c r="S128" s="1091"/>
      <c r="T128" s="1091"/>
      <c r="U128" s="1091"/>
      <c r="V128" s="5057"/>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99" customFormat="1" ht="13.5" customHeight="1">
      <c r="A129" s="1336"/>
      <c r="B129" s="1056"/>
      <c r="C129" s="1057"/>
      <c r="D129" s="2598" t="s">
        <v>7814</v>
      </c>
      <c r="E129" s="1057"/>
      <c r="F129" s="1063">
        <v>7</v>
      </c>
      <c r="G129" s="1058"/>
      <c r="H129" s="4063"/>
      <c r="I129" s="4469"/>
      <c r="J129" s="1562"/>
      <c r="K129" s="1562"/>
      <c r="L129" s="1091"/>
      <c r="M129" s="1091"/>
      <c r="N129" s="1091"/>
      <c r="O129" s="1091"/>
      <c r="P129" s="1091"/>
      <c r="Q129" s="5019"/>
      <c r="R129" s="1091"/>
      <c r="S129" s="1091"/>
      <c r="T129" s="1091"/>
      <c r="U129" s="1091"/>
      <c r="V129" s="5057"/>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97" t="s">
        <v>7815</v>
      </c>
      <c r="E130" s="1449"/>
      <c r="F130" s="3584"/>
      <c r="G130" s="1561"/>
      <c r="H130" s="4062"/>
      <c r="I130" s="4467"/>
      <c r="J130" s="4599"/>
      <c r="K130" s="52"/>
    </row>
    <row r="131" spans="1:98" s="1277" customFormat="1" ht="27" customHeight="1">
      <c r="A131" s="1560"/>
      <c r="B131" s="1449"/>
      <c r="C131" s="1449"/>
      <c r="D131" s="2597" t="s">
        <v>10435</v>
      </c>
      <c r="E131" s="1449"/>
      <c r="F131" s="1063"/>
      <c r="G131" s="1561"/>
      <c r="H131" s="4062"/>
      <c r="I131" s="4467"/>
      <c r="J131" s="1562"/>
    </row>
    <row r="132" spans="1:98" s="1102" customFormat="1" ht="13.5" customHeight="1">
      <c r="A132" s="1336">
        <v>30</v>
      </c>
      <c r="B132" s="1057">
        <v>751</v>
      </c>
      <c r="C132" s="1057" t="s">
        <v>7816</v>
      </c>
      <c r="D132" s="1057" t="s">
        <v>7817</v>
      </c>
      <c r="E132" s="1057" t="s">
        <v>155</v>
      </c>
      <c r="F132" s="1071">
        <f>ROUND(SUM(F134:F135),3)</f>
        <v>2</v>
      </c>
      <c r="G132" s="1081"/>
      <c r="H132" s="3789">
        <f>ROUND(F132*G132,2)</f>
        <v>0</v>
      </c>
      <c r="I132" s="1059" t="s">
        <v>60</v>
      </c>
      <c r="J132" s="5251"/>
      <c r="K132" s="5026"/>
      <c r="L132" s="1061"/>
      <c r="M132" s="1061"/>
      <c r="N132" s="1061"/>
      <c r="O132" s="1061"/>
      <c r="P132" s="1061"/>
      <c r="Q132" s="1061"/>
      <c r="R132" s="1061"/>
      <c r="S132" s="1061"/>
      <c r="T132" s="5256"/>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99" customFormat="1" ht="27" customHeight="1">
      <c r="A133" s="1336"/>
      <c r="B133" s="1056"/>
      <c r="C133" s="1057"/>
      <c r="D133" s="2598" t="s">
        <v>7818</v>
      </c>
      <c r="E133" s="1057"/>
      <c r="F133" s="1063"/>
      <c r="G133" s="1058"/>
      <c r="H133" s="4063"/>
      <c r="I133" s="4469"/>
      <c r="J133" s="5057"/>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99" customFormat="1" ht="13.5" customHeight="1">
      <c r="A134" s="1336"/>
      <c r="B134" s="1056"/>
      <c r="C134" s="1057"/>
      <c r="D134" s="2598" t="s">
        <v>7819</v>
      </c>
      <c r="E134" s="1057"/>
      <c r="F134" s="1063">
        <v>1</v>
      </c>
      <c r="G134" s="1058"/>
      <c r="H134" s="4063"/>
      <c r="I134" s="4469"/>
      <c r="J134" s="1562"/>
      <c r="K134" s="1562"/>
      <c r="L134" s="1091"/>
      <c r="M134" s="1091"/>
      <c r="N134" s="1091"/>
      <c r="O134" s="1091"/>
      <c r="P134" s="1091"/>
      <c r="Q134" s="5019"/>
      <c r="R134" s="1091"/>
      <c r="S134" s="1091"/>
      <c r="T134" s="1091"/>
      <c r="U134" s="1091"/>
      <c r="V134" s="5057"/>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99" customFormat="1" ht="13.5" customHeight="1">
      <c r="A135" s="1336"/>
      <c r="B135" s="1056"/>
      <c r="C135" s="1057"/>
      <c r="D135" s="2598" t="s">
        <v>7820</v>
      </c>
      <c r="E135" s="1057"/>
      <c r="F135" s="1063">
        <v>1</v>
      </c>
      <c r="G135" s="1058"/>
      <c r="H135" s="4063"/>
      <c r="I135" s="4469"/>
      <c r="J135" s="1562"/>
      <c r="K135" s="1562"/>
      <c r="L135" s="1091"/>
      <c r="M135" s="1091"/>
      <c r="N135" s="1091"/>
      <c r="O135" s="1091"/>
      <c r="P135" s="1091"/>
      <c r="Q135" s="5019"/>
      <c r="R135" s="1091"/>
      <c r="S135" s="1091"/>
      <c r="T135" s="1091"/>
      <c r="U135" s="1091"/>
      <c r="V135" s="5057"/>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97" t="s">
        <v>7815</v>
      </c>
      <c r="E136" s="1449"/>
      <c r="F136" s="3584"/>
      <c r="G136" s="1561"/>
      <c r="H136" s="4062"/>
      <c r="I136" s="4467"/>
      <c r="J136" s="4599"/>
      <c r="K136" s="52"/>
    </row>
    <row r="137" spans="1:98" s="1102" customFormat="1" ht="13.5" customHeight="1">
      <c r="A137" s="1336">
        <v>31</v>
      </c>
      <c r="B137" s="1057">
        <v>751</v>
      </c>
      <c r="C137" s="1057" t="s">
        <v>7821</v>
      </c>
      <c r="D137" s="1057" t="s">
        <v>7817</v>
      </c>
      <c r="E137" s="1057" t="s">
        <v>155</v>
      </c>
      <c r="F137" s="1071">
        <f>ROUND(SUM(F139:F141),3)</f>
        <v>5</v>
      </c>
      <c r="G137" s="1081"/>
      <c r="H137" s="3789">
        <f>ROUND(F137*G137,2)</f>
        <v>0</v>
      </c>
      <c r="I137" s="1059" t="s">
        <v>60</v>
      </c>
      <c r="J137" s="5251"/>
      <c r="K137" s="5026"/>
      <c r="L137" s="1061"/>
      <c r="M137" s="1061"/>
      <c r="N137" s="1061"/>
      <c r="O137" s="1061"/>
      <c r="P137" s="1061"/>
      <c r="Q137" s="1061"/>
      <c r="R137" s="1061"/>
      <c r="S137" s="1061"/>
      <c r="T137" s="5256"/>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99" customFormat="1" ht="27" customHeight="1">
      <c r="A138" s="1336"/>
      <c r="B138" s="1056"/>
      <c r="C138" s="1057"/>
      <c r="D138" s="2598" t="s">
        <v>7822</v>
      </c>
      <c r="E138" s="1057"/>
      <c r="F138" s="1063"/>
      <c r="G138" s="1058"/>
      <c r="H138" s="4063"/>
      <c r="I138" s="4469"/>
      <c r="J138" s="5057"/>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7819</v>
      </c>
      <c r="E139" s="1057"/>
      <c r="F139" s="1063">
        <v>1</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99" customFormat="1" ht="13.5" customHeight="1">
      <c r="A140" s="1336"/>
      <c r="B140" s="1056"/>
      <c r="C140" s="1057"/>
      <c r="D140" s="2598" t="s">
        <v>7823</v>
      </c>
      <c r="E140" s="1057"/>
      <c r="F140" s="1063">
        <v>2</v>
      </c>
      <c r="G140" s="1058"/>
      <c r="H140" s="4063"/>
      <c r="I140" s="4469"/>
      <c r="J140" s="1562"/>
      <c r="K140" s="1562"/>
      <c r="L140" s="1091"/>
      <c r="M140" s="1091"/>
      <c r="N140" s="1091"/>
      <c r="O140" s="1091"/>
      <c r="P140" s="1091"/>
      <c r="Q140" s="5019"/>
      <c r="R140" s="1091"/>
      <c r="S140" s="1091"/>
      <c r="T140" s="1091"/>
      <c r="U140" s="1091"/>
      <c r="V140" s="5057"/>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99" customFormat="1" ht="13.5" customHeight="1">
      <c r="A141" s="1336"/>
      <c r="B141" s="1056"/>
      <c r="C141" s="1057"/>
      <c r="D141" s="2598" t="s">
        <v>7824</v>
      </c>
      <c r="E141" s="1057"/>
      <c r="F141" s="1063">
        <v>2</v>
      </c>
      <c r="G141" s="1058"/>
      <c r="H141" s="4063"/>
      <c r="I141" s="4469"/>
      <c r="J141" s="1562"/>
      <c r="K141" s="1562"/>
      <c r="L141" s="1091"/>
      <c r="M141" s="1091"/>
      <c r="N141" s="1091"/>
      <c r="O141" s="1091"/>
      <c r="P141" s="1091"/>
      <c r="Q141" s="5019"/>
      <c r="R141" s="1091"/>
      <c r="S141" s="1091"/>
      <c r="T141" s="1091"/>
      <c r="U141" s="1091"/>
      <c r="V141" s="5057"/>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97" t="s">
        <v>7815</v>
      </c>
      <c r="E142" s="1449"/>
      <c r="F142" s="3584"/>
      <c r="G142" s="1561"/>
      <c r="H142" s="4062"/>
      <c r="I142" s="4467"/>
      <c r="J142" s="4599"/>
      <c r="K142" s="52"/>
    </row>
    <row r="143" spans="1:98" s="1102" customFormat="1" ht="13.5" customHeight="1">
      <c r="A143" s="1336">
        <v>32</v>
      </c>
      <c r="B143" s="1057">
        <v>751</v>
      </c>
      <c r="C143" s="1057" t="s">
        <v>7825</v>
      </c>
      <c r="D143" s="1057" t="s">
        <v>7826</v>
      </c>
      <c r="E143" s="1057" t="s">
        <v>155</v>
      </c>
      <c r="F143" s="1071">
        <f>ROUND(SUM(F145:F149),3)</f>
        <v>14</v>
      </c>
      <c r="G143" s="1081"/>
      <c r="H143" s="3789">
        <f>ROUND(F143*G143,2)</f>
        <v>0</v>
      </c>
      <c r="I143" s="1059" t="s">
        <v>60</v>
      </c>
      <c r="J143" s="5251"/>
      <c r="K143" s="5026"/>
      <c r="L143" s="1061"/>
      <c r="M143" s="1061"/>
      <c r="N143" s="1061"/>
      <c r="O143" s="1061"/>
      <c r="P143" s="1061"/>
      <c r="Q143" s="1061"/>
      <c r="R143" s="1061"/>
      <c r="S143" s="1061"/>
      <c r="T143" s="5256"/>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600"/>
      <c r="D144" s="2598" t="s">
        <v>7827</v>
      </c>
      <c r="E144" s="1057"/>
      <c r="F144" s="1342"/>
      <c r="G144" s="1081"/>
      <c r="H144" s="4063"/>
      <c r="I144" s="4469"/>
      <c r="J144" s="5057"/>
      <c r="K144" s="1061"/>
      <c r="L144" s="1061"/>
      <c r="M144" s="1061"/>
      <c r="N144" s="1061"/>
      <c r="O144" s="1061"/>
      <c r="P144" s="1061"/>
      <c r="Q144" s="1061"/>
      <c r="R144" s="1061"/>
      <c r="S144" s="1061"/>
      <c r="T144" s="5256"/>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7828</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7829</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7830</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98" t="s">
        <v>7831</v>
      </c>
      <c r="E148" s="1057"/>
      <c r="F148" s="1063">
        <v>1</v>
      </c>
      <c r="G148" s="1058"/>
      <c r="H148" s="4063"/>
      <c r="I148" s="4469"/>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98" t="s">
        <v>7832</v>
      </c>
      <c r="E149" s="1057"/>
      <c r="F149" s="1063">
        <v>4</v>
      </c>
      <c r="G149" s="1058"/>
      <c r="H149" s="4063"/>
      <c r="I149" s="4469"/>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97" t="s">
        <v>7815</v>
      </c>
      <c r="E150" s="1449"/>
      <c r="F150" s="2601"/>
      <c r="G150" s="1561"/>
      <c r="H150" s="4062"/>
      <c r="I150" s="4467"/>
      <c r="J150" s="4599"/>
      <c r="K150" s="52"/>
    </row>
    <row r="151" spans="1:98" s="1277" customFormat="1" ht="27" customHeight="1">
      <c r="A151" s="1560"/>
      <c r="B151" s="1449"/>
      <c r="C151" s="1449"/>
      <c r="D151" s="2597" t="s">
        <v>10435</v>
      </c>
      <c r="E151" s="1449"/>
      <c r="F151" s="1063"/>
      <c r="G151" s="1561"/>
      <c r="H151" s="4062"/>
      <c r="I151" s="4467"/>
      <c r="J151" s="1562"/>
    </row>
    <row r="152" spans="1:98" s="1102" customFormat="1" ht="13.5" customHeight="1">
      <c r="A152" s="1336">
        <v>33</v>
      </c>
      <c r="B152" s="1057">
        <v>751</v>
      </c>
      <c r="C152" s="1057" t="s">
        <v>7833</v>
      </c>
      <c r="D152" s="1057" t="s">
        <v>7826</v>
      </c>
      <c r="E152" s="1057" t="s">
        <v>155</v>
      </c>
      <c r="F152" s="1071">
        <f>ROUND(SUM(F154:F155),3)</f>
        <v>5</v>
      </c>
      <c r="G152" s="1081"/>
      <c r="H152" s="3789">
        <f>ROUND(F152*G152,2)</f>
        <v>0</v>
      </c>
      <c r="I152" s="1059" t="s">
        <v>60</v>
      </c>
      <c r="J152" s="5251"/>
      <c r="K152" s="5026"/>
      <c r="L152" s="1061"/>
      <c r="M152" s="1061"/>
      <c r="N152" s="1061"/>
      <c r="O152" s="1061"/>
      <c r="P152" s="1061"/>
      <c r="Q152" s="1061"/>
      <c r="R152" s="1061"/>
      <c r="S152" s="1061"/>
      <c r="T152" s="5256"/>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600"/>
      <c r="D153" s="2598" t="s">
        <v>7834</v>
      </c>
      <c r="E153" s="1057"/>
      <c r="F153" s="1342"/>
      <c r="G153" s="1081"/>
      <c r="H153" s="4063"/>
      <c r="I153" s="4469"/>
      <c r="J153" s="5057"/>
      <c r="K153" s="1061"/>
      <c r="L153" s="1061"/>
      <c r="M153" s="1061"/>
      <c r="N153" s="1061"/>
      <c r="O153" s="1061"/>
      <c r="P153" s="1061"/>
      <c r="Q153" s="1061"/>
      <c r="R153" s="1061"/>
      <c r="S153" s="1061"/>
      <c r="T153" s="5256"/>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98" t="s">
        <v>7835</v>
      </c>
      <c r="E154" s="1057"/>
      <c r="F154" s="1063">
        <v>2</v>
      </c>
      <c r="G154" s="1058"/>
      <c r="H154" s="4063"/>
      <c r="I154" s="4469"/>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98" t="s">
        <v>7828</v>
      </c>
      <c r="E155" s="1057"/>
      <c r="F155" s="1063">
        <v>3</v>
      </c>
      <c r="G155" s="1058"/>
      <c r="H155" s="4063"/>
      <c r="I155" s="4469"/>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97" t="s">
        <v>7815</v>
      </c>
      <c r="E156" s="1449"/>
      <c r="F156" s="2601"/>
      <c r="G156" s="1561"/>
      <c r="H156" s="4062"/>
      <c r="I156" s="4467"/>
      <c r="J156" s="4599"/>
      <c r="K156" s="52"/>
    </row>
    <row r="157" spans="1:98" s="1277" customFormat="1" ht="27" customHeight="1">
      <c r="A157" s="1560"/>
      <c r="B157" s="1449"/>
      <c r="C157" s="1449"/>
      <c r="D157" s="2597" t="s">
        <v>10435</v>
      </c>
      <c r="E157" s="1449"/>
      <c r="F157" s="1063"/>
      <c r="G157" s="1561"/>
      <c r="H157" s="4062"/>
      <c r="I157" s="4467"/>
      <c r="J157" s="1562"/>
    </row>
    <row r="158" spans="1:98" s="1102" customFormat="1" ht="13.5" customHeight="1">
      <c r="A158" s="1336">
        <v>34</v>
      </c>
      <c r="B158" s="1057">
        <v>751</v>
      </c>
      <c r="C158" s="1057" t="s">
        <v>7836</v>
      </c>
      <c r="D158" s="1057" t="s">
        <v>7837</v>
      </c>
      <c r="E158" s="1057" t="s">
        <v>155</v>
      </c>
      <c r="F158" s="1071">
        <f>ROUND(SUM(F160:F165),3)</f>
        <v>19</v>
      </c>
      <c r="G158" s="1058"/>
      <c r="H158" s="3789">
        <f>ROUND(F158*G158,2)</f>
        <v>0</v>
      </c>
      <c r="I158" s="1059" t="s">
        <v>60</v>
      </c>
      <c r="J158" s="5257"/>
      <c r="K158" s="4982"/>
      <c r="L158" s="4983"/>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7838</v>
      </c>
      <c r="E159" s="1057"/>
      <c r="F159" s="1063"/>
      <c r="G159" s="1058"/>
      <c r="H159" s="4063"/>
      <c r="I159" s="4470"/>
      <c r="J159" s="4855"/>
      <c r="K159" s="4982"/>
      <c r="L159" s="4983"/>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7839</v>
      </c>
      <c r="E160" s="1057"/>
      <c r="F160" s="1063">
        <v>2</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7840</v>
      </c>
      <c r="E161" s="1057"/>
      <c r="F161" s="1063">
        <v>7</v>
      </c>
      <c r="G161" s="1058"/>
      <c r="H161" s="4063"/>
      <c r="I161" s="4471"/>
      <c r="J161" s="2602"/>
      <c r="K161" s="4982"/>
      <c r="L161" s="4983"/>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7841</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7842</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7843</v>
      </c>
      <c r="E164" s="1057"/>
      <c r="F164" s="1063">
        <v>1</v>
      </c>
      <c r="G164" s="1058"/>
      <c r="H164" s="4063"/>
      <c r="I164" s="4470"/>
      <c r="J164" s="2602"/>
      <c r="K164" s="4982"/>
      <c r="L164" s="4983"/>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97" t="s">
        <v>7844</v>
      </c>
      <c r="E165" s="1057"/>
      <c r="F165" s="1063">
        <v>4</v>
      </c>
      <c r="G165" s="1058"/>
      <c r="H165" s="4063"/>
      <c r="I165" s="1059"/>
      <c r="J165" s="5258"/>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97" t="s">
        <v>7845</v>
      </c>
      <c r="E166" s="1057"/>
      <c r="F166" s="1063"/>
      <c r="G166" s="1058"/>
      <c r="H166" s="4063"/>
      <c r="I166" s="4467"/>
      <c r="J166" s="5258"/>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7846</v>
      </c>
      <c r="D167" s="1057" t="s">
        <v>7847</v>
      </c>
      <c r="E167" s="1057" t="s">
        <v>155</v>
      </c>
      <c r="F167" s="1071">
        <f>ROUND(SUM(F169:F182),3)</f>
        <v>67</v>
      </c>
      <c r="G167" s="1058"/>
      <c r="H167" s="3789">
        <f>ROUND(F167*G167,2)</f>
        <v>0</v>
      </c>
      <c r="I167" s="1059" t="s">
        <v>60</v>
      </c>
      <c r="J167" s="5257"/>
      <c r="K167" s="4982"/>
      <c r="L167" s="4983"/>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97" t="s">
        <v>7848</v>
      </c>
      <c r="E168" s="1057"/>
      <c r="F168" s="1063"/>
      <c r="G168" s="1058"/>
      <c r="H168" s="4063"/>
      <c r="I168" s="4471"/>
      <c r="J168" s="4855"/>
      <c r="K168" s="4982"/>
      <c r="L168" s="4983"/>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7849</v>
      </c>
      <c r="E169" s="1057"/>
      <c r="F169" s="1063">
        <v>10</v>
      </c>
      <c r="G169" s="1058"/>
      <c r="H169" s="4063"/>
      <c r="I169" s="4471"/>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7850</v>
      </c>
      <c r="E170" s="1057"/>
      <c r="F170" s="1063">
        <v>8</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7851</v>
      </c>
      <c r="E171" s="1057"/>
      <c r="F171" s="1063">
        <v>10</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7852</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7853</v>
      </c>
      <c r="E173" s="1057"/>
      <c r="F173" s="1063">
        <v>9</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7854</v>
      </c>
      <c r="E174" s="1057"/>
      <c r="F174" s="1063">
        <v>11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7855</v>
      </c>
      <c r="E175" s="1057"/>
      <c r="F175" s="1063">
        <v>1</v>
      </c>
      <c r="G175" s="1058"/>
      <c r="H175" s="4063"/>
      <c r="I175" s="4470"/>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7856</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97" t="s">
        <v>7857</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97" t="s">
        <v>7858</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97" t="s">
        <v>7859</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97" t="s">
        <v>7860</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97" t="s">
        <v>7861</v>
      </c>
      <c r="E181" s="1057"/>
      <c r="F181" s="1063">
        <v>1</v>
      </c>
      <c r="G181" s="1058"/>
      <c r="H181" s="4063"/>
      <c r="I181" s="4471"/>
      <c r="J181" s="2602"/>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97" t="s">
        <v>7862</v>
      </c>
      <c r="E182" s="1057"/>
      <c r="F182" s="1063">
        <v>1</v>
      </c>
      <c r="G182" s="1058"/>
      <c r="H182" s="4063"/>
      <c r="I182" s="4471"/>
      <c r="J182" s="2602"/>
      <c r="K182" s="4982"/>
      <c r="L182" s="4983"/>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97" t="s">
        <v>7863</v>
      </c>
      <c r="E183" s="1057"/>
      <c r="F183" s="1063"/>
      <c r="G183" s="1058"/>
      <c r="H183" s="4063"/>
      <c r="I183" s="4467"/>
      <c r="J183" s="5258"/>
      <c r="K183" s="4982"/>
      <c r="L183" s="4983"/>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7864</v>
      </c>
      <c r="D184" s="1057" t="s">
        <v>7865</v>
      </c>
      <c r="E184" s="1057" t="s">
        <v>155</v>
      </c>
      <c r="F184" s="1071">
        <f>ROUND(SUM(F186:F191),3)</f>
        <v>53</v>
      </c>
      <c r="G184" s="1058"/>
      <c r="H184" s="3789">
        <f>ROUND(F184*G184,2)</f>
        <v>0</v>
      </c>
      <c r="I184" s="1059" t="s">
        <v>60</v>
      </c>
      <c r="J184" s="5257"/>
      <c r="K184" s="4982"/>
      <c r="L184" s="4983"/>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97" t="s">
        <v>7866</v>
      </c>
      <c r="E185" s="1057"/>
      <c r="F185" s="1063"/>
      <c r="G185" s="1058"/>
      <c r="H185" s="4063"/>
      <c r="I185" s="4472"/>
      <c r="J185" s="4855"/>
      <c r="K185" s="4982"/>
      <c r="L185" s="4983"/>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97" t="s">
        <v>7867</v>
      </c>
      <c r="E186" s="1057"/>
      <c r="F186" s="1063">
        <v>9</v>
      </c>
      <c r="G186" s="1058"/>
      <c r="H186" s="4063"/>
      <c r="I186" s="4472"/>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97" t="s">
        <v>7868</v>
      </c>
      <c r="E187" s="1057"/>
      <c r="F187" s="1063">
        <v>7</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97" t="s">
        <v>7869</v>
      </c>
      <c r="E188" s="1057"/>
      <c r="F188" s="1063">
        <v>9</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97" t="s">
        <v>7870</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97" t="s">
        <v>7871</v>
      </c>
      <c r="E190" s="1057"/>
      <c r="F190" s="1063">
        <v>8</v>
      </c>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97" t="s">
        <v>7872</v>
      </c>
      <c r="E191" s="1057"/>
      <c r="F191" s="1063">
        <v>10</v>
      </c>
      <c r="G191" s="1058"/>
      <c r="H191" s="4063"/>
      <c r="I191" s="4470"/>
      <c r="J191" s="2602"/>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97" t="s">
        <v>7873</v>
      </c>
      <c r="E192" s="1057"/>
      <c r="F192" s="1063"/>
      <c r="G192" s="1058"/>
      <c r="H192" s="4063"/>
      <c r="I192" s="4470"/>
      <c r="J192" s="2602"/>
      <c r="K192" s="4982"/>
      <c r="L192" s="4983"/>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97" t="s">
        <v>7874</v>
      </c>
      <c r="E193" s="1057"/>
      <c r="F193" s="1063"/>
      <c r="G193" s="1058"/>
      <c r="H193" s="4063"/>
      <c r="I193" s="4467"/>
      <c r="J193" s="5258"/>
      <c r="K193" s="4982"/>
      <c r="L193" s="4983"/>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7875</v>
      </c>
      <c r="D194" s="1057" t="s">
        <v>7876</v>
      </c>
      <c r="E194" s="1057" t="s">
        <v>155</v>
      </c>
      <c r="F194" s="1071">
        <f>ROUND(SUM(F196:F203),3)</f>
        <v>60</v>
      </c>
      <c r="G194" s="1058"/>
      <c r="H194" s="3789">
        <f>ROUND(F194*G194,2)</f>
        <v>0</v>
      </c>
      <c r="I194" s="1059" t="s">
        <v>60</v>
      </c>
      <c r="J194" s="5257"/>
      <c r="K194" s="4982"/>
      <c r="L194" s="498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99" customFormat="1" ht="27" customHeight="1">
      <c r="A195" s="1336"/>
      <c r="B195" s="1056"/>
      <c r="C195" s="1057"/>
      <c r="D195" s="2598" t="s">
        <v>7877</v>
      </c>
      <c r="E195" s="1057"/>
      <c r="F195" s="1063"/>
      <c r="G195" s="1058"/>
      <c r="H195" s="4063"/>
      <c r="I195" s="4468"/>
      <c r="J195" s="4855"/>
      <c r="K195" s="1562"/>
      <c r="L195" s="1091"/>
      <c r="M195" s="1091"/>
      <c r="N195" s="1091"/>
      <c r="O195" s="1091"/>
      <c r="P195" s="1091"/>
      <c r="Q195" s="5019"/>
      <c r="R195" s="1091"/>
      <c r="S195" s="1091"/>
      <c r="T195" s="1091"/>
      <c r="U195" s="1091"/>
      <c r="V195" s="5057"/>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97" t="s">
        <v>7878</v>
      </c>
      <c r="E196" s="1057"/>
      <c r="F196" s="1063">
        <v>10</v>
      </c>
      <c r="G196" s="1058"/>
      <c r="H196" s="4063"/>
      <c r="I196" s="4468"/>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7879</v>
      </c>
      <c r="E197" s="1057"/>
      <c r="F197" s="1063">
        <v>7</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7880</v>
      </c>
      <c r="E198" s="1057"/>
      <c r="F198" s="1063">
        <v>10</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7881</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7882</v>
      </c>
      <c r="E200" s="1057"/>
      <c r="F200" s="1063">
        <v>9</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7883</v>
      </c>
      <c r="E201" s="1057"/>
      <c r="F201" s="1063">
        <v>11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7884</v>
      </c>
      <c r="E202" s="1057"/>
      <c r="F202" s="1063">
        <v>1</v>
      </c>
      <c r="G202" s="1058"/>
      <c r="H202" s="4063"/>
      <c r="I202" s="4470"/>
      <c r="J202" s="2602"/>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97" t="s">
        <v>7885</v>
      </c>
      <c r="E203" s="1057"/>
      <c r="F203" s="1063">
        <v>1</v>
      </c>
      <c r="G203" s="1058"/>
      <c r="H203" s="4063"/>
      <c r="I203" s="4470"/>
      <c r="J203" s="2602"/>
      <c r="K203" s="4982"/>
      <c r="L203" s="4983"/>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97" t="s">
        <v>7886</v>
      </c>
      <c r="E204" s="1057"/>
      <c r="F204" s="1063"/>
      <c r="G204" s="1058"/>
      <c r="H204" s="4063"/>
      <c r="I204" s="4467"/>
      <c r="J204" s="5258"/>
      <c r="K204" s="4982"/>
      <c r="L204" s="4983"/>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7887</v>
      </c>
      <c r="D205" s="1057" t="s">
        <v>7888</v>
      </c>
      <c r="E205" s="1057" t="s">
        <v>155</v>
      </c>
      <c r="F205" s="1071">
        <f>ROUND(SUM(F207:F209),3)</f>
        <v>3</v>
      </c>
      <c r="G205" s="1058"/>
      <c r="H205" s="3789">
        <f>ROUND(F205*G205,2)</f>
        <v>0</v>
      </c>
      <c r="I205" s="1059" t="s">
        <v>60</v>
      </c>
      <c r="J205" s="5257"/>
      <c r="K205" s="4982"/>
      <c r="L205" s="498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99" customFormat="1" ht="27" customHeight="1">
      <c r="A206" s="1336"/>
      <c r="B206" s="1056"/>
      <c r="C206" s="1057"/>
      <c r="D206" s="2598" t="s">
        <v>7889</v>
      </c>
      <c r="E206" s="1057"/>
      <c r="F206" s="1063"/>
      <c r="G206" s="1058"/>
      <c r="H206" s="4063"/>
      <c r="I206" s="4468"/>
      <c r="J206" s="4855"/>
      <c r="K206" s="1562"/>
      <c r="L206" s="1091"/>
      <c r="M206" s="1091"/>
      <c r="N206" s="1091"/>
      <c r="O206" s="1091"/>
      <c r="P206" s="1091"/>
      <c r="Q206" s="5019"/>
      <c r="R206" s="1091"/>
      <c r="S206" s="1091"/>
      <c r="T206" s="1091"/>
      <c r="U206" s="1091"/>
      <c r="V206" s="5057"/>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97" t="s">
        <v>7890</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7891</v>
      </c>
      <c r="E208" s="1057"/>
      <c r="F208" s="1063">
        <v>1</v>
      </c>
      <c r="G208" s="1058"/>
      <c r="H208" s="4063"/>
      <c r="I208" s="4468"/>
      <c r="J208" s="2602"/>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97" t="s">
        <v>7892</v>
      </c>
      <c r="E209" s="1057"/>
      <c r="F209" s="1063">
        <v>1</v>
      </c>
      <c r="G209" s="1058"/>
      <c r="H209" s="4063"/>
      <c r="I209" s="4468"/>
      <c r="J209" s="2602"/>
      <c r="K209" s="4982"/>
      <c r="L209" s="4983"/>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97" t="s">
        <v>7863</v>
      </c>
      <c r="E210" s="1057"/>
      <c r="F210" s="1063"/>
      <c r="G210" s="1058"/>
      <c r="H210" s="4063"/>
      <c r="I210" s="4467"/>
      <c r="J210" s="5258"/>
      <c r="K210" s="4982"/>
      <c r="L210" s="4983"/>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7893</v>
      </c>
      <c r="D211" s="1057" t="s">
        <v>7894</v>
      </c>
      <c r="E211" s="1057" t="s">
        <v>155</v>
      </c>
      <c r="F211" s="1071">
        <f>ROUND(SUM(F213:F215),3)</f>
        <v>3</v>
      </c>
      <c r="G211" s="1058"/>
      <c r="H211" s="3789">
        <f>ROUND(F211*G211,2)</f>
        <v>0</v>
      </c>
      <c r="I211" s="1059" t="s">
        <v>60</v>
      </c>
      <c r="J211" s="5257"/>
      <c r="K211" s="4982"/>
      <c r="L211" s="498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99" customFormat="1" ht="13.5" customHeight="1">
      <c r="A212" s="1336"/>
      <c r="B212" s="1056"/>
      <c r="C212" s="1057"/>
      <c r="D212" s="2598" t="s">
        <v>7895</v>
      </c>
      <c r="E212" s="1057"/>
      <c r="F212" s="1063"/>
      <c r="G212" s="1058"/>
      <c r="H212" s="4063"/>
      <c r="I212" s="4468"/>
      <c r="J212" s="4855"/>
      <c r="K212" s="1562"/>
      <c r="L212" s="1091"/>
      <c r="M212" s="1091"/>
      <c r="N212" s="1091"/>
      <c r="O212" s="1091"/>
      <c r="P212" s="1091"/>
      <c r="Q212" s="5019"/>
      <c r="R212" s="1091"/>
      <c r="S212" s="1091"/>
      <c r="T212" s="1091"/>
      <c r="U212" s="1091"/>
      <c r="V212" s="5057"/>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97" t="s">
        <v>7896</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7897</v>
      </c>
      <c r="E214" s="1057"/>
      <c r="F214" s="1063">
        <v>1</v>
      </c>
      <c r="G214" s="1058"/>
      <c r="H214" s="4063"/>
      <c r="I214" s="4468"/>
      <c r="J214" s="2602"/>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97" t="s">
        <v>7898</v>
      </c>
      <c r="E215" s="1057"/>
      <c r="F215" s="1063">
        <v>1</v>
      </c>
      <c r="G215" s="1058"/>
      <c r="H215" s="4063"/>
      <c r="I215" s="4468"/>
      <c r="J215" s="2602"/>
      <c r="K215" s="4982"/>
      <c r="L215" s="4983"/>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97" t="s">
        <v>7863</v>
      </c>
      <c r="E216" s="1057"/>
      <c r="F216" s="1063"/>
      <c r="G216" s="1058"/>
      <c r="H216" s="4063"/>
      <c r="I216" s="4467"/>
      <c r="J216" s="5258"/>
      <c r="K216" s="4982"/>
      <c r="L216" s="4983"/>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7899</v>
      </c>
      <c r="D217" s="1057" t="s">
        <v>7900</v>
      </c>
      <c r="E217" s="1057" t="s">
        <v>155</v>
      </c>
      <c r="F217" s="1071">
        <f>ROUND(SUM(F219:F221),3)</f>
        <v>6</v>
      </c>
      <c r="G217" s="1058"/>
      <c r="H217" s="3789">
        <f>ROUND(F217*G217,2)</f>
        <v>0</v>
      </c>
      <c r="I217" s="1059" t="s">
        <v>60</v>
      </c>
      <c r="J217" s="5257"/>
      <c r="K217" s="4982"/>
      <c r="L217" s="498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99" customFormat="1" ht="13.5" customHeight="1">
      <c r="A218" s="1336"/>
      <c r="B218" s="1056"/>
      <c r="C218" s="1057"/>
      <c r="D218" s="2598" t="s">
        <v>7901</v>
      </c>
      <c r="E218" s="1057"/>
      <c r="F218" s="2562"/>
      <c r="G218" s="1058"/>
      <c r="H218" s="4063"/>
      <c r="I218" s="1058"/>
      <c r="J218" s="4855"/>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7902</v>
      </c>
      <c r="E219" s="1057"/>
      <c r="F219" s="1063">
        <v>1</v>
      </c>
      <c r="G219" s="1058"/>
      <c r="H219" s="4063"/>
      <c r="I219" s="1058"/>
      <c r="J219" s="2602"/>
      <c r="K219" s="4982"/>
      <c r="L219" s="4983"/>
      <c r="M219"/>
      <c r="N219" s="1338"/>
      <c r="O219" s="1339"/>
      <c r="P219" s="1562"/>
      <c r="Q219" s="1061"/>
      <c r="R219" s="1340"/>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99" customFormat="1" ht="13.5" customHeight="1">
      <c r="A220" s="1336"/>
      <c r="B220" s="1056"/>
      <c r="C220" s="1057"/>
      <c r="D220" s="2598" t="s">
        <v>7903</v>
      </c>
      <c r="E220" s="1057"/>
      <c r="F220" s="1063">
        <v>2</v>
      </c>
      <c r="G220" s="1058"/>
      <c r="H220" s="4063"/>
      <c r="I220" s="4468"/>
      <c r="J220" s="1562"/>
      <c r="K220" s="1562"/>
      <c r="L220" s="1091"/>
      <c r="M220" s="1091"/>
      <c r="N220" s="1091"/>
      <c r="O220" s="1091"/>
      <c r="P220" s="1091"/>
      <c r="Q220" s="5019"/>
      <c r="R220" s="1091"/>
      <c r="S220" s="1091"/>
      <c r="T220" s="1091"/>
      <c r="U220" s="1091"/>
      <c r="V220" s="5057"/>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99" customFormat="1" ht="13.5" customHeight="1">
      <c r="A221" s="1336"/>
      <c r="B221" s="1056"/>
      <c r="C221" s="1057"/>
      <c r="D221" s="2598" t="s">
        <v>7904</v>
      </c>
      <c r="E221" s="1057"/>
      <c r="F221" s="1063">
        <v>3</v>
      </c>
      <c r="G221" s="1058"/>
      <c r="H221" s="4063"/>
      <c r="I221" s="4468"/>
      <c r="J221" s="4599"/>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94" t="s">
        <v>7905</v>
      </c>
      <c r="E222" s="1449"/>
      <c r="F222" s="1063"/>
      <c r="G222" s="1561"/>
      <c r="H222" s="4062"/>
      <c r="I222" s="4368"/>
      <c r="J222" s="4855"/>
      <c r="L222" s="2526"/>
      <c r="Q222" s="5019"/>
    </row>
    <row r="223" spans="1:98" s="2599" customFormat="1" ht="13.5" customHeight="1">
      <c r="A223" s="1336"/>
      <c r="B223" s="1056"/>
      <c r="C223" s="1057"/>
      <c r="D223" s="2597" t="s">
        <v>7863</v>
      </c>
      <c r="E223" s="1057"/>
      <c r="F223" s="1063"/>
      <c r="G223" s="1058"/>
      <c r="H223" s="4063"/>
      <c r="I223" s="4467"/>
      <c r="J223" s="1091"/>
      <c r="K223" s="1562"/>
      <c r="L223" s="1091"/>
      <c r="M223" s="1091"/>
      <c r="N223" s="1091"/>
      <c r="O223" s="1091"/>
      <c r="P223" s="1091"/>
      <c r="Q223" s="5019"/>
      <c r="R223" s="1091"/>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7906</v>
      </c>
      <c r="D224" s="1057" t="s">
        <v>7907</v>
      </c>
      <c r="E224" s="1057" t="s">
        <v>155</v>
      </c>
      <c r="F224" s="1071">
        <f>ROUND(SUM(F226:F228),3)</f>
        <v>6</v>
      </c>
      <c r="G224" s="1058"/>
      <c r="H224" s="3789">
        <f>ROUND(F224*G224,2)</f>
        <v>0</v>
      </c>
      <c r="I224" s="1059" t="s">
        <v>60</v>
      </c>
      <c r="J224" s="5257"/>
      <c r="K224" s="4982"/>
      <c r="L224" s="4983"/>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99" customFormat="1" ht="13.5" customHeight="1">
      <c r="A225" s="1336"/>
      <c r="B225" s="1056"/>
      <c r="C225" s="1057"/>
      <c r="D225" s="2598" t="s">
        <v>7908</v>
      </c>
      <c r="E225" s="1057"/>
      <c r="F225" s="2562"/>
      <c r="G225" s="1058"/>
      <c r="H225" s="4063"/>
      <c r="I225" s="4470"/>
      <c r="J225" s="4855"/>
      <c r="K225" s="4982"/>
      <c r="L225" s="4983"/>
      <c r="M225"/>
      <c r="N225" s="1338"/>
      <c r="O225" s="1339"/>
      <c r="P225" s="1061"/>
      <c r="Q225" s="1061"/>
      <c r="R225" s="1340"/>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7909</v>
      </c>
      <c r="E226" s="1057"/>
      <c r="F226" s="1063">
        <v>1</v>
      </c>
      <c r="G226" s="1058"/>
      <c r="H226" s="4063"/>
      <c r="I226" s="4470"/>
      <c r="J226" s="2602"/>
      <c r="K226" s="4982"/>
      <c r="L226" s="4983"/>
      <c r="M226"/>
      <c r="N226" s="1338"/>
      <c r="O226" s="1339"/>
      <c r="P226" s="1562"/>
      <c r="Q226" s="1061"/>
      <c r="R226" s="1340"/>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8" t="s">
        <v>7910</v>
      </c>
      <c r="E227" s="1057"/>
      <c r="F227" s="1063">
        <v>2</v>
      </c>
      <c r="G227" s="1058"/>
      <c r="H227" s="4063"/>
      <c r="I227" s="4468"/>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99" customFormat="1" ht="13.5" customHeight="1">
      <c r="A228" s="1336"/>
      <c r="B228" s="1056"/>
      <c r="C228" s="1057"/>
      <c r="D228" s="2598" t="s">
        <v>7911</v>
      </c>
      <c r="E228" s="1057"/>
      <c r="F228" s="1063">
        <v>3</v>
      </c>
      <c r="G228" s="1058"/>
      <c r="H228" s="4063"/>
      <c r="I228" s="4468"/>
      <c r="J228" s="1091"/>
      <c r="K228" s="1562"/>
      <c r="L228" s="1091"/>
      <c r="M228" s="1091"/>
      <c r="N228" s="1091"/>
      <c r="O228" s="1091"/>
      <c r="P228" s="1091"/>
      <c r="Q228" s="5019"/>
      <c r="R228" s="1091"/>
      <c r="S228" s="1091"/>
      <c r="T228" s="1091"/>
      <c r="U228" s="1091"/>
      <c r="V228" s="5057"/>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99" customFormat="1" ht="13.5" customHeight="1">
      <c r="A229" s="1336"/>
      <c r="B229" s="1056"/>
      <c r="C229" s="1057"/>
      <c r="D229" s="2597" t="s">
        <v>7863</v>
      </c>
      <c r="E229" s="1057"/>
      <c r="F229" s="1063"/>
      <c r="G229" s="1058"/>
      <c r="H229" s="4063"/>
      <c r="I229" s="4467"/>
      <c r="J229" s="1091"/>
      <c r="K229" s="1562"/>
      <c r="L229" s="1091"/>
      <c r="M229" s="1091"/>
      <c r="N229" s="1091"/>
      <c r="O229" s="1091"/>
      <c r="P229" s="1091"/>
      <c r="Q229" s="5019"/>
      <c r="R229" s="1091"/>
      <c r="S229" s="1091"/>
      <c r="T229" s="1091"/>
      <c r="U229" s="1091"/>
      <c r="V229" s="5057"/>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7912</v>
      </c>
      <c r="D230" s="1057" t="s">
        <v>7913</v>
      </c>
      <c r="E230" s="1057" t="s">
        <v>149</v>
      </c>
      <c r="F230" s="1071">
        <f>ROUND(SUM(F234:F239),3)</f>
        <v>8.89</v>
      </c>
      <c r="G230" s="1081">
        <f>ROUND(SUM(H232:H233)/F230,2)</f>
        <v>0</v>
      </c>
      <c r="H230" s="3789">
        <f>ROUND(F230*G230,2)</f>
        <v>0</v>
      </c>
      <c r="I230" s="1059" t="s">
        <v>60</v>
      </c>
      <c r="J230" s="5259"/>
      <c r="K230" s="1562"/>
      <c r="L230" s="4983"/>
      <c r="M230" s="1061"/>
      <c r="N230" s="5260"/>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99" customFormat="1" ht="13.5" customHeight="1">
      <c r="A231" s="1336"/>
      <c r="B231" s="1056"/>
      <c r="C231" s="1057"/>
      <c r="D231" s="2598" t="s">
        <v>7914</v>
      </c>
      <c r="E231" s="1057"/>
      <c r="F231" s="1063"/>
      <c r="G231" s="1058"/>
      <c r="H231" s="4063"/>
      <c r="I231" s="4468"/>
      <c r="J231" s="5259"/>
      <c r="K231" s="52"/>
      <c r="L231" s="52"/>
      <c r="M231" s="52"/>
      <c r="N231" s="5260"/>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7915</v>
      </c>
      <c r="E232" s="1089" t="s">
        <v>149</v>
      </c>
      <c r="F232" s="1063">
        <f>F230</f>
        <v>8.89</v>
      </c>
      <c r="G232" s="1266"/>
      <c r="H232" s="4064">
        <f t="shared" ref="H232:H233" si="0">ROUND(F232*G232,2)</f>
        <v>0</v>
      </c>
      <c r="I232" s="230" t="s">
        <v>142</v>
      </c>
      <c r="J232" s="5259"/>
      <c r="K232" s="1562"/>
      <c r="L232" s="4983"/>
      <c r="N232" s="5260"/>
      <c r="O232" s="1091"/>
      <c r="P232" s="1091"/>
      <c r="Q232" s="1091"/>
      <c r="R232" s="5057"/>
      <c r="S232" s="333"/>
      <c r="T232" s="333"/>
      <c r="U232" s="5028"/>
      <c r="W232" s="5054"/>
      <c r="X232" s="1421"/>
      <c r="Y232" s="5055"/>
      <c r="Z232" s="1091"/>
      <c r="AA232" s="1091"/>
      <c r="AB232" s="1091"/>
      <c r="AC232" s="1091"/>
      <c r="AD232" s="1091"/>
    </row>
    <row r="233" spans="1:98" s="1061" customFormat="1" ht="13.5" customHeight="1">
      <c r="A233" s="1444" t="s">
        <v>373</v>
      </c>
      <c r="B233" s="2603"/>
      <c r="C233" s="1281">
        <v>10892003</v>
      </c>
      <c r="D233" s="1258" t="s">
        <v>7916</v>
      </c>
      <c r="E233" s="1281" t="s">
        <v>149</v>
      </c>
      <c r="F233" s="1415">
        <f>(8.89)*1.05</f>
        <v>9.3345000000000002</v>
      </c>
      <c r="G233" s="1282"/>
      <c r="H233" s="4065">
        <f t="shared" si="0"/>
        <v>0</v>
      </c>
      <c r="I233" s="1283" t="s">
        <v>142</v>
      </c>
      <c r="J233" s="5259"/>
      <c r="K233" s="52"/>
      <c r="L233" s="52"/>
      <c r="M233" s="52"/>
      <c r="N233" s="5260"/>
      <c r="O233" s="5130"/>
      <c r="P233" s="1091"/>
      <c r="Q233" s="333"/>
      <c r="R233" s="333"/>
      <c r="S233" s="333"/>
      <c r="T233" s="333"/>
      <c r="U233" s="333"/>
      <c r="V233" s="333"/>
      <c r="W233" s="333"/>
      <c r="X233" s="1421"/>
      <c r="Y233" s="5055"/>
      <c r="Z233" s="1091"/>
      <c r="AA233" s="1091"/>
      <c r="AB233" s="1091"/>
      <c r="AC233" s="1091"/>
      <c r="AD233" s="1091"/>
    </row>
    <row r="234" spans="1:98" s="2599" customFormat="1" ht="13.5" customHeight="1">
      <c r="A234" s="1336"/>
      <c r="B234" s="1056"/>
      <c r="C234" s="1057"/>
      <c r="D234" s="2598" t="s">
        <v>7917</v>
      </c>
      <c r="E234" s="1057"/>
      <c r="F234" s="1063">
        <f>(2.79)</f>
        <v>2.79</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7918</v>
      </c>
      <c r="E235" s="1057"/>
      <c r="F235" s="1063">
        <f>(1.48)</f>
        <v>1.48</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7919</v>
      </c>
      <c r="E236" s="1057"/>
      <c r="F236" s="1063">
        <f>(1.24)</f>
        <v>1.24</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7920</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99" customFormat="1" ht="13.5" customHeight="1">
      <c r="A238" s="1336"/>
      <c r="B238" s="1056"/>
      <c r="C238" s="1057"/>
      <c r="D238" s="2598" t="s">
        <v>7921</v>
      </c>
      <c r="E238" s="1057"/>
      <c r="F238" s="1063">
        <f>(0.76)</f>
        <v>0.76</v>
      </c>
      <c r="G238" s="1058"/>
      <c r="H238" s="4063"/>
      <c r="I238" s="4468"/>
      <c r="J238" s="1117"/>
      <c r="K238" s="1562"/>
      <c r="L238" s="1091"/>
      <c r="M238" s="1091"/>
      <c r="N238" s="1091"/>
      <c r="O238" s="1091"/>
      <c r="P238" s="1091"/>
      <c r="Q238" s="5019"/>
      <c r="R238" s="1091"/>
      <c r="S238" s="1091"/>
      <c r="T238" s="1091"/>
      <c r="U238" s="1091"/>
      <c r="V238" s="5057"/>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99" customFormat="1" ht="13.5" customHeight="1">
      <c r="A239" s="1336"/>
      <c r="B239" s="1056"/>
      <c r="C239" s="1057"/>
      <c r="D239" s="2598" t="s">
        <v>7922</v>
      </c>
      <c r="E239" s="1057"/>
      <c r="F239" s="1063">
        <f>(1.31)</f>
        <v>1.31</v>
      </c>
      <c r="G239" s="1058"/>
      <c r="H239" s="4063"/>
      <c r="I239" s="4468"/>
      <c r="J239" s="1117"/>
      <c r="K239" s="1562"/>
      <c r="L239" s="1091"/>
      <c r="M239" s="1091"/>
      <c r="N239" s="1091"/>
      <c r="O239" s="1091"/>
      <c r="P239" s="1091"/>
      <c r="Q239" s="5019"/>
      <c r="R239" s="1091"/>
      <c r="S239" s="1091"/>
      <c r="T239" s="1091"/>
      <c r="U239" s="1091"/>
      <c r="V239" s="5057"/>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7923</v>
      </c>
      <c r="D240" s="1057" t="s">
        <v>7924</v>
      </c>
      <c r="E240" s="1057" t="s">
        <v>149</v>
      </c>
      <c r="F240" s="1071">
        <f>ROUND(SUM(F244),3)</f>
        <v>0.99</v>
      </c>
      <c r="G240" s="1081">
        <f>ROUND(SUM(H242:H243)/F240,2)</f>
        <v>0</v>
      </c>
      <c r="H240" s="3789">
        <f>ROUND(F240*G240,2)</f>
        <v>0</v>
      </c>
      <c r="I240" s="1059" t="s">
        <v>60</v>
      </c>
      <c r="J240" s="5259"/>
      <c r="K240" s="1562"/>
      <c r="L240" s="4983"/>
      <c r="M240" s="1061"/>
      <c r="N240" s="5260"/>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99" customFormat="1" ht="13.5" customHeight="1">
      <c r="A241" s="1336"/>
      <c r="B241" s="1056"/>
      <c r="C241" s="1057"/>
      <c r="D241" s="2598" t="s">
        <v>7925</v>
      </c>
      <c r="E241" s="1057"/>
      <c r="F241" s="1063"/>
      <c r="G241" s="1058"/>
      <c r="H241" s="4063"/>
      <c r="I241" s="4468"/>
      <c r="J241" s="5259"/>
      <c r="K241" s="52"/>
      <c r="L241" s="52"/>
      <c r="M241" s="52"/>
      <c r="N241" s="5260"/>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7926</v>
      </c>
      <c r="E242" s="1089" t="s">
        <v>149</v>
      </c>
      <c r="F242" s="1063">
        <f>F240</f>
        <v>0.99</v>
      </c>
      <c r="G242" s="1266"/>
      <c r="H242" s="4064">
        <f t="shared" ref="H242:H243" si="1">ROUND(F242*G242,2)</f>
        <v>0</v>
      </c>
      <c r="I242" s="230" t="s">
        <v>142</v>
      </c>
      <c r="J242" s="5259"/>
      <c r="K242" s="1562"/>
      <c r="L242" s="4983"/>
      <c r="N242" s="5260"/>
      <c r="O242" s="1091"/>
      <c r="P242" s="1091"/>
      <c r="Q242" s="1091"/>
      <c r="R242" s="5057"/>
      <c r="S242" s="333"/>
      <c r="T242" s="333"/>
      <c r="U242" s="5028"/>
      <c r="W242" s="5054"/>
      <c r="X242" s="1421"/>
      <c r="Y242" s="5055"/>
      <c r="Z242" s="1091"/>
      <c r="AA242" s="1091"/>
      <c r="AB242" s="1091"/>
      <c r="AC242" s="1091"/>
      <c r="AD242" s="1091"/>
    </row>
    <row r="243" spans="1:98" s="1061" customFormat="1" ht="13.5" customHeight="1">
      <c r="A243" s="1444" t="s">
        <v>704</v>
      </c>
      <c r="B243" s="2603"/>
      <c r="C243" s="1281">
        <v>10892004</v>
      </c>
      <c r="D243" s="1258" t="s">
        <v>7927</v>
      </c>
      <c r="E243" s="1281" t="s">
        <v>149</v>
      </c>
      <c r="F243" s="1415">
        <f>(0.99)*1.05</f>
        <v>1.0395000000000001</v>
      </c>
      <c r="G243" s="1282"/>
      <c r="H243" s="4065">
        <f t="shared" si="1"/>
        <v>0</v>
      </c>
      <c r="I243" s="1283" t="s">
        <v>142</v>
      </c>
      <c r="J243" s="5259"/>
      <c r="K243" s="52"/>
      <c r="L243" s="52"/>
      <c r="M243" s="52"/>
      <c r="N243" s="5260"/>
      <c r="O243" s="5130"/>
      <c r="P243" s="1091"/>
      <c r="Q243" s="333"/>
      <c r="R243" s="333"/>
      <c r="S243" s="333"/>
      <c r="T243" s="333"/>
      <c r="U243" s="333"/>
      <c r="V243" s="333"/>
      <c r="W243" s="333"/>
      <c r="X243" s="1421"/>
      <c r="Y243" s="5055"/>
      <c r="Z243" s="1091"/>
      <c r="AA243" s="1091"/>
      <c r="AB243" s="1091"/>
      <c r="AC243" s="1091"/>
      <c r="AD243" s="1091"/>
    </row>
    <row r="244" spans="1:98" s="2599" customFormat="1" ht="13.5" customHeight="1">
      <c r="A244" s="1336"/>
      <c r="B244" s="1056"/>
      <c r="C244" s="1057"/>
      <c r="D244" s="2598" t="s">
        <v>7928</v>
      </c>
      <c r="E244" s="1057"/>
      <c r="F244" s="1063">
        <f>(0.99)</f>
        <v>0.99</v>
      </c>
      <c r="G244" s="1058"/>
      <c r="H244" s="4063"/>
      <c r="I244" s="4468"/>
      <c r="J244" s="1117"/>
      <c r="K244" s="1562"/>
      <c r="L244" s="1091"/>
      <c r="M244" s="1091"/>
      <c r="N244" s="1091"/>
      <c r="O244" s="1091"/>
      <c r="P244" s="1091"/>
      <c r="Q244" s="5019"/>
      <c r="R244" s="1091"/>
      <c r="S244" s="1091"/>
      <c r="T244" s="1091"/>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7929</v>
      </c>
      <c r="D245" s="1057" t="s">
        <v>7930</v>
      </c>
      <c r="E245" s="1057" t="s">
        <v>141</v>
      </c>
      <c r="F245" s="1071">
        <f>ROUND(SUM(F247:F252),3)</f>
        <v>676.39</v>
      </c>
      <c r="G245" s="1058"/>
      <c r="H245" s="3789">
        <f>ROUND(F245*G245,2)</f>
        <v>0</v>
      </c>
      <c r="I245" s="1059" t="s">
        <v>60</v>
      </c>
      <c r="J245" s="5261"/>
      <c r="K245" s="1562"/>
      <c r="L245" s="4983"/>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99" customFormat="1" ht="27" customHeight="1">
      <c r="A246" s="1336"/>
      <c r="B246" s="1056"/>
      <c r="C246" s="1057"/>
      <c r="D246" s="2598" t="s">
        <v>7931</v>
      </c>
      <c r="E246" s="1057"/>
      <c r="F246" s="1063"/>
      <c r="G246" s="1058"/>
      <c r="H246" s="4063"/>
      <c r="I246" s="4468"/>
      <c r="J246" s="1117"/>
      <c r="K246" s="2526"/>
      <c r="L246" s="1091"/>
      <c r="M246" s="1091"/>
      <c r="N246" s="1091"/>
      <c r="O246" s="1091"/>
      <c r="P246" s="1091"/>
      <c r="Q246" s="5019"/>
      <c r="R246" s="52"/>
      <c r="S246" s="1091"/>
      <c r="T246" s="1562"/>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7932</v>
      </c>
      <c r="E247" s="1057"/>
      <c r="F247" s="1063">
        <f>(134.5)*1.1</f>
        <v>147.95000000000002</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7933</v>
      </c>
      <c r="E248" s="1057"/>
      <c r="F248" s="1063">
        <f>(1.5)*1.1</f>
        <v>1.6500000000000001</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7934</v>
      </c>
      <c r="E249" s="1057"/>
      <c r="F249" s="1063">
        <f>(110.5)*1.1</f>
        <v>121.55000000000001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7935</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13.5" customHeight="1">
      <c r="A251" s="1336"/>
      <c r="B251" s="1056"/>
      <c r="C251" s="1057"/>
      <c r="D251" s="2598" t="s">
        <v>7936</v>
      </c>
      <c r="E251" s="1057"/>
      <c r="F251" s="1063">
        <f>(95.5)*1.1</f>
        <v>105.05000000000001</v>
      </c>
      <c r="G251" s="1058"/>
      <c r="H251" s="4063"/>
      <c r="I251" s="4468"/>
      <c r="J251" s="1117"/>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99" customFormat="1" ht="13.5" customHeight="1">
      <c r="A252" s="1336"/>
      <c r="B252" s="1056"/>
      <c r="C252" s="1057"/>
      <c r="D252" s="2598" t="s">
        <v>7937</v>
      </c>
      <c r="E252" s="1057"/>
      <c r="F252" s="1063">
        <f>(136.45)*1.1</f>
        <v>150.095</v>
      </c>
      <c r="G252" s="1058"/>
      <c r="H252" s="4063"/>
      <c r="I252" s="4468"/>
      <c r="J252" s="1117"/>
      <c r="K252" s="1562"/>
      <c r="L252" s="1091"/>
      <c r="M252" s="1091"/>
      <c r="N252" s="1091"/>
      <c r="O252" s="1091"/>
      <c r="P252" s="1091"/>
      <c r="Q252" s="5019"/>
      <c r="R252" s="1091"/>
      <c r="S252" s="1091"/>
      <c r="T252" s="1091"/>
      <c r="U252" s="1091"/>
      <c r="V252" s="5057"/>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99" customFormat="1" ht="27" customHeight="1">
      <c r="A253" s="1336"/>
      <c r="B253" s="1056"/>
      <c r="C253" s="1057"/>
      <c r="D253" s="2598" t="s">
        <v>7938</v>
      </c>
      <c r="E253" s="1057"/>
      <c r="F253" s="1063"/>
      <c r="G253" s="1058"/>
      <c r="H253" s="4063"/>
      <c r="I253" s="4468"/>
      <c r="J253" s="1091"/>
      <c r="K253" s="1562"/>
      <c r="L253" s="1091"/>
      <c r="M253" s="1091"/>
      <c r="N253" s="1091"/>
      <c r="O253" s="1091"/>
      <c r="P253" s="1091"/>
      <c r="Q253" s="5019"/>
      <c r="R253" s="1091"/>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7939</v>
      </c>
      <c r="D254" s="1057" t="s">
        <v>7940</v>
      </c>
      <c r="E254" s="1057" t="s">
        <v>155</v>
      </c>
      <c r="F254" s="1071">
        <f>ROUND(SUM(F256),3)</f>
        <v>1</v>
      </c>
      <c r="G254" s="1058"/>
      <c r="H254" s="3789">
        <f>ROUND(F254*G254,2)</f>
        <v>0</v>
      </c>
      <c r="I254" s="1059" t="s">
        <v>60</v>
      </c>
      <c r="J254" s="5257"/>
      <c r="K254" s="4982"/>
      <c r="L254" s="4983"/>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99" customFormat="1" ht="13.5" customHeight="1">
      <c r="A255" s="1336"/>
      <c r="B255" s="1056"/>
      <c r="C255" s="1057"/>
      <c r="D255" s="2598" t="s">
        <v>7941</v>
      </c>
      <c r="E255" s="1057"/>
      <c r="F255" s="2562"/>
      <c r="G255" s="1058"/>
      <c r="H255" s="4063"/>
      <c r="I255" s="4470"/>
      <c r="J255" s="4855"/>
      <c r="K255" s="4982"/>
      <c r="L255" s="4983"/>
      <c r="M255"/>
      <c r="N255" s="1338"/>
      <c r="O255" s="1339"/>
      <c r="P255" s="1061"/>
      <c r="Q255" s="1061"/>
      <c r="R255" s="1340"/>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99" customFormat="1" ht="13.5" customHeight="1">
      <c r="A256" s="1336"/>
      <c r="B256" s="1056"/>
      <c r="C256" s="1057"/>
      <c r="D256" s="2598" t="s">
        <v>7942</v>
      </c>
      <c r="E256" s="1057"/>
      <c r="F256" s="1063">
        <v>1</v>
      </c>
      <c r="G256" s="1058"/>
      <c r="H256" s="4063"/>
      <c r="I256" s="4470"/>
      <c r="J256" s="2602"/>
      <c r="K256" s="4982"/>
      <c r="L256" s="4983"/>
      <c r="M256"/>
      <c r="N256" s="1338"/>
      <c r="O256" s="1339"/>
      <c r="P256" s="1562"/>
      <c r="Q256" s="1061"/>
      <c r="R256" s="1340"/>
      <c r="S256" s="2526"/>
      <c r="T256" s="1091"/>
      <c r="U256" s="1091"/>
      <c r="V256" s="5057"/>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99" customFormat="1" ht="13.5" customHeight="1">
      <c r="A257" s="1336"/>
      <c r="B257" s="1056"/>
      <c r="C257" s="1057"/>
      <c r="D257" s="2597" t="s">
        <v>7863</v>
      </c>
      <c r="E257" s="1057"/>
      <c r="F257" s="1063"/>
      <c r="G257" s="1058"/>
      <c r="H257" s="4063"/>
      <c r="I257" s="4467"/>
      <c r="J257" s="1091"/>
      <c r="K257" s="1562"/>
      <c r="L257" s="1091"/>
      <c r="M257" s="1091"/>
      <c r="N257" s="1091"/>
      <c r="O257" s="1091"/>
      <c r="P257" s="1091"/>
      <c r="Q257" s="5019"/>
      <c r="R257" s="1091"/>
      <c r="S257" s="1091"/>
      <c r="T257" s="1091"/>
      <c r="U257" s="1091"/>
      <c r="V257" s="5057"/>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7943</v>
      </c>
      <c r="C258" s="1057">
        <v>998751202</v>
      </c>
      <c r="D258" s="1057" t="s">
        <v>7944</v>
      </c>
      <c r="E258" s="1057" t="s">
        <v>8</v>
      </c>
      <c r="F258" s="1071">
        <v>0.55000000000000004</v>
      </c>
      <c r="G258" s="1081"/>
      <c r="H258" s="3789">
        <f>ROUND(F258*G258,2)</f>
        <v>0</v>
      </c>
      <c r="I258" s="1059" t="s">
        <v>142</v>
      </c>
      <c r="J258" s="5262"/>
    </row>
    <row r="259" spans="1:98" customFormat="1" ht="13.5" customHeight="1">
      <c r="A259" s="1336">
        <v>47</v>
      </c>
      <c r="B259" s="339" t="s">
        <v>188</v>
      </c>
      <c r="C259" s="2604" t="s">
        <v>7945</v>
      </c>
      <c r="D259" s="2604" t="s">
        <v>7946</v>
      </c>
      <c r="E259" s="2604" t="s">
        <v>191</v>
      </c>
      <c r="F259" s="1071">
        <f>ROUND(SUM(F260),3)</f>
        <v>20</v>
      </c>
      <c r="G259" s="1058"/>
      <c r="H259" s="3789">
        <f>ROUND(F259*G259,2)</f>
        <v>0</v>
      </c>
      <c r="I259" s="1059" t="s">
        <v>142</v>
      </c>
    </row>
    <row r="260" spans="1:98" customFormat="1" ht="13.5" customHeight="1">
      <c r="A260" s="2435"/>
      <c r="B260" s="2604"/>
      <c r="C260" s="2604"/>
      <c r="D260" s="2605" t="s">
        <v>7947</v>
      </c>
      <c r="E260" s="2604"/>
      <c r="F260" s="2606">
        <v>20</v>
      </c>
      <c r="G260" s="1058"/>
      <c r="H260" s="4063"/>
      <c r="I260" s="2607"/>
    </row>
    <row r="261" spans="1:98" s="1102" customFormat="1" ht="27" customHeight="1">
      <c r="A261" s="2435"/>
      <c r="B261" s="2604"/>
      <c r="C261" s="2604"/>
      <c r="D261" s="2605" t="s">
        <v>7948</v>
      </c>
      <c r="E261" s="2604"/>
      <c r="F261" s="3583"/>
      <c r="G261" s="1058"/>
      <c r="H261" s="4063"/>
      <c r="I261" s="2607"/>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7949</v>
      </c>
      <c r="E262" s="1267"/>
      <c r="F262" s="1401"/>
      <c r="G262" s="1269"/>
      <c r="H262" s="4061">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99" customFormat="1" ht="13.5" customHeight="1">
      <c r="A263" s="1336">
        <v>48</v>
      </c>
      <c r="B263" s="339" t="s">
        <v>7943</v>
      </c>
      <c r="C263" s="1057" t="s">
        <v>7950</v>
      </c>
      <c r="D263" s="1057" t="s">
        <v>7951</v>
      </c>
      <c r="E263" s="1057" t="s">
        <v>141</v>
      </c>
      <c r="F263" s="1071">
        <f>ROUND(SUM(F269),3)</f>
        <v>216.5</v>
      </c>
      <c r="G263" s="1081">
        <f>ROUND(SUM(H265:H268)/F263,2)</f>
        <v>0</v>
      </c>
      <c r="H263" s="3789">
        <f>ROUND(F263*G263,2)</f>
        <v>0</v>
      </c>
      <c r="I263" s="1059" t="s">
        <v>60</v>
      </c>
      <c r="J263" s="4854"/>
      <c r="K263" s="5026"/>
      <c r="L263" s="1091"/>
      <c r="M263" s="1091"/>
      <c r="N263" s="1091"/>
      <c r="O263" s="1091"/>
      <c r="P263" s="1091"/>
      <c r="Q263" s="1091"/>
      <c r="R263" s="5057"/>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99" customFormat="1" ht="27" customHeight="1">
      <c r="A264" s="1560"/>
      <c r="B264" s="1449"/>
      <c r="C264" s="1449"/>
      <c r="D264" s="2598" t="s">
        <v>6293</v>
      </c>
      <c r="E264" s="1449"/>
      <c r="F264" s="1063"/>
      <c r="G264" s="1058"/>
      <c r="H264" s="4062"/>
      <c r="I264" s="4468"/>
      <c r="J264" s="5263"/>
      <c r="K264" s="5264"/>
      <c r="L264" s="5264"/>
      <c r="M264" s="5264"/>
      <c r="N264" s="5265"/>
      <c r="O264" s="5264"/>
      <c r="P264" s="5266"/>
      <c r="Q264" s="52"/>
      <c r="R264" s="52"/>
      <c r="S264" s="52"/>
      <c r="T264" s="52"/>
      <c r="U264" s="2556"/>
      <c r="V264" s="2556"/>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7952</v>
      </c>
      <c r="D265" s="1062" t="s">
        <v>7953</v>
      </c>
      <c r="E265" s="1089" t="s">
        <v>141</v>
      </c>
      <c r="F265" s="1063">
        <f>F263</f>
        <v>216.5</v>
      </c>
      <c r="G265" s="1266"/>
      <c r="H265" s="4064">
        <f t="shared" ref="H265:H268" si="2">ROUND(F265*G265,2)</f>
        <v>0</v>
      </c>
      <c r="I265" s="230" t="s">
        <v>644</v>
      </c>
      <c r="J265" s="4854"/>
      <c r="K265" s="5026"/>
      <c r="L265" s="1091"/>
      <c r="M265" s="1091"/>
      <c r="N265" s="1091"/>
      <c r="O265" s="1091"/>
      <c r="P265" s="1091"/>
      <c r="Q265" s="1091"/>
      <c r="R265" s="5057"/>
      <c r="S265" s="333"/>
      <c r="T265" s="333"/>
      <c r="U265" s="5028"/>
      <c r="W265" s="5054"/>
      <c r="X265" s="1421"/>
      <c r="Y265" s="5055"/>
      <c r="Z265" s="1091"/>
      <c r="AA265" s="1091"/>
      <c r="AB265" s="1091"/>
      <c r="AC265" s="1091"/>
      <c r="AD265" s="1091"/>
    </row>
    <row r="266" spans="1:98" s="1061" customFormat="1" ht="13.5" customHeight="1">
      <c r="A266" s="1444" t="s">
        <v>2421</v>
      </c>
      <c r="B266" s="2603"/>
      <c r="C266" s="1281" t="s">
        <v>7954</v>
      </c>
      <c r="D266" s="1258" t="s">
        <v>7955</v>
      </c>
      <c r="E266" s="1281" t="s">
        <v>141</v>
      </c>
      <c r="F266" s="1415">
        <f>(216.5)*1.1</f>
        <v>238.15</v>
      </c>
      <c r="G266" s="1282"/>
      <c r="H266" s="4065">
        <f t="shared" si="2"/>
        <v>0</v>
      </c>
      <c r="I266" s="1283" t="s">
        <v>644</v>
      </c>
      <c r="J266" s="5128"/>
      <c r="K266" s="1091"/>
      <c r="L266" s="333"/>
      <c r="M266" s="333"/>
      <c r="N266" s="5267"/>
      <c r="O266" s="5130"/>
      <c r="P266" s="1091"/>
      <c r="Q266" s="333"/>
      <c r="R266" s="333"/>
      <c r="S266" s="333"/>
      <c r="T266" s="333"/>
      <c r="U266" s="333"/>
      <c r="V266" s="333"/>
      <c r="W266" s="333"/>
      <c r="X266" s="1421"/>
      <c r="Y266" s="5055"/>
      <c r="Z266" s="1091"/>
      <c r="AA266" s="1091"/>
      <c r="AB266" s="1091"/>
      <c r="AC266" s="1091"/>
      <c r="AD266" s="1091"/>
    </row>
    <row r="267" spans="1:98" s="1061" customFormat="1" ht="27" customHeight="1">
      <c r="A267" s="1433" t="s">
        <v>2422</v>
      </c>
      <c r="B267" s="1086"/>
      <c r="C267" s="1089">
        <v>713463131</v>
      </c>
      <c r="D267" s="1062" t="s">
        <v>7956</v>
      </c>
      <c r="E267" s="1089" t="s">
        <v>141</v>
      </c>
      <c r="F267" s="1063">
        <f>F263</f>
        <v>216.5</v>
      </c>
      <c r="G267" s="1266"/>
      <c r="H267" s="4064">
        <f t="shared" si="2"/>
        <v>0</v>
      </c>
      <c r="I267" s="230" t="s">
        <v>142</v>
      </c>
      <c r="J267" s="1117"/>
      <c r="K267" s="1562"/>
      <c r="L267" s="1091"/>
      <c r="M267" s="1091"/>
      <c r="N267" s="1091"/>
      <c r="O267" s="1091"/>
      <c r="P267" s="1091"/>
      <c r="Q267" s="5019"/>
      <c r="R267" s="1091"/>
      <c r="S267" s="1091"/>
      <c r="T267" s="1091"/>
      <c r="U267" s="1091"/>
      <c r="V267" s="5057"/>
      <c r="AD267" s="1091"/>
    </row>
    <row r="268" spans="1:98" s="1061" customFormat="1" ht="13.5" customHeight="1">
      <c r="A268" s="1444" t="s">
        <v>2423</v>
      </c>
      <c r="B268" s="2603"/>
      <c r="C268" s="1281" t="s">
        <v>7957</v>
      </c>
      <c r="D268" s="1258" t="s">
        <v>7958</v>
      </c>
      <c r="E268" s="1281" t="s">
        <v>141</v>
      </c>
      <c r="F268" s="1415">
        <f>(216.5)*1.1</f>
        <v>238.15</v>
      </c>
      <c r="G268" s="1282"/>
      <c r="H268" s="4065">
        <f t="shared" si="2"/>
        <v>0</v>
      </c>
      <c r="I268" s="1283" t="s">
        <v>644</v>
      </c>
      <c r="J268" s="4820"/>
      <c r="K268" s="2608"/>
      <c r="L268" s="4853"/>
      <c r="M268" s="4854"/>
      <c r="N268" s="4854"/>
      <c r="O268" s="4854"/>
      <c r="P268" s="5024"/>
      <c r="Q268" s="4854"/>
      <c r="R268" s="5057"/>
      <c r="S268" s="1277"/>
      <c r="T268" s="1277"/>
      <c r="U268" s="5130"/>
      <c r="V268" s="52"/>
      <c r="W268" s="52"/>
      <c r="X268" s="52"/>
      <c r="Y268" s="52"/>
      <c r="Z268" s="5063"/>
      <c r="AA268" s="52"/>
      <c r="AB268" s="5087"/>
      <c r="AC268" s="52"/>
      <c r="AD268" s="5064"/>
      <c r="AE268" s="52"/>
      <c r="AF268" s="1277"/>
      <c r="AG268" s="1277"/>
      <c r="AH268" s="4854"/>
      <c r="AI268" s="1277"/>
      <c r="AJ268" s="1277"/>
      <c r="AK268" s="1277"/>
      <c r="AL268" s="1563"/>
      <c r="AM268" s="1277"/>
      <c r="AN268" s="1277"/>
      <c r="AO268" s="1277"/>
      <c r="AP268" s="1563"/>
    </row>
    <row r="269" spans="1:98" s="2599" customFormat="1" ht="13.5" customHeight="1">
      <c r="A269" s="1336"/>
      <c r="B269" s="1056"/>
      <c r="C269" s="1057"/>
      <c r="D269" s="2598" t="s">
        <v>7959</v>
      </c>
      <c r="E269" s="1057"/>
      <c r="F269" s="1063">
        <f>(38.5)+(28.4)+(39.1)+(38.3)+(33.9)+(38.3)</f>
        <v>216.5</v>
      </c>
      <c r="G269" s="1058"/>
      <c r="H269" s="4063"/>
      <c r="I269" s="4468"/>
      <c r="J269" s="5130"/>
      <c r="K269" s="52"/>
      <c r="L269" s="52"/>
      <c r="M269" s="52"/>
      <c r="N269" s="52"/>
      <c r="O269" s="5063"/>
      <c r="P269" s="52"/>
      <c r="Q269" s="5087"/>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7960</v>
      </c>
      <c r="E270" s="1449"/>
      <c r="F270" s="2609"/>
      <c r="G270" s="1058"/>
      <c r="H270" s="4062"/>
      <c r="I270" s="4468"/>
      <c r="J270" s="5130"/>
      <c r="K270" s="52"/>
      <c r="L270" s="52"/>
      <c r="M270" s="52"/>
      <c r="N270" s="52"/>
      <c r="O270" s="5063"/>
      <c r="P270" s="52"/>
      <c r="Q270" s="52"/>
      <c r="R270" s="52"/>
      <c r="S270" s="1277"/>
      <c r="T270" s="1277"/>
      <c r="U270" s="4854"/>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99" customFormat="1" ht="13.5" customHeight="1">
      <c r="A271" s="1336">
        <v>49</v>
      </c>
      <c r="B271" s="339" t="s">
        <v>7943</v>
      </c>
      <c r="C271" s="1057" t="s">
        <v>7961</v>
      </c>
      <c r="D271" s="1057" t="s">
        <v>7962</v>
      </c>
      <c r="E271" s="1057" t="s">
        <v>141</v>
      </c>
      <c r="F271" s="1071">
        <f>ROUND(SUM(F277:F278),3)</f>
        <v>369.9</v>
      </c>
      <c r="G271" s="1081">
        <f>ROUND(SUM(H273:H276)/F271,2)</f>
        <v>0</v>
      </c>
      <c r="H271" s="3789">
        <f>ROUND(F271*G271,2)</f>
        <v>0</v>
      </c>
      <c r="I271" s="1059" t="s">
        <v>60</v>
      </c>
      <c r="J271" s="4854"/>
      <c r="K271" s="5026"/>
      <c r="L271" s="1091"/>
      <c r="M271" s="1091"/>
      <c r="N271" s="1091"/>
      <c r="O271" s="1091"/>
      <c r="P271" s="1091"/>
      <c r="Q271" s="1091"/>
      <c r="R271" s="5057"/>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99" customFormat="1" ht="27" customHeight="1">
      <c r="A272" s="1560"/>
      <c r="B272" s="1449"/>
      <c r="C272" s="1449"/>
      <c r="D272" s="2598" t="s">
        <v>6293</v>
      </c>
      <c r="E272" s="1449"/>
      <c r="F272" s="1063"/>
      <c r="G272" s="1058"/>
      <c r="H272" s="4062"/>
      <c r="I272" s="4468"/>
      <c r="J272" s="1562"/>
      <c r="K272" s="5264"/>
      <c r="L272" s="5264"/>
      <c r="M272" s="5264"/>
      <c r="N272" s="5265"/>
      <c r="O272" s="5264"/>
      <c r="P272" s="5266"/>
      <c r="Q272" s="52"/>
      <c r="R272" s="52"/>
      <c r="S272" s="52"/>
      <c r="T272" s="52"/>
      <c r="U272" s="2556"/>
      <c r="V272" s="2556"/>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7963</v>
      </c>
      <c r="D273" s="1062" t="s">
        <v>7964</v>
      </c>
      <c r="E273" s="1089" t="s">
        <v>141</v>
      </c>
      <c r="F273" s="1063">
        <f>F271</f>
        <v>369.9</v>
      </c>
      <c r="G273" s="1266"/>
      <c r="H273" s="4064">
        <f t="shared" ref="H273:H276" si="3">ROUND(F273*G273,2)</f>
        <v>0</v>
      </c>
      <c r="I273" s="230" t="s">
        <v>644</v>
      </c>
      <c r="J273" s="4854"/>
      <c r="K273" s="5026"/>
      <c r="L273" s="1091"/>
      <c r="M273" s="1091"/>
      <c r="N273" s="1091"/>
      <c r="O273" s="1091"/>
      <c r="P273" s="1091"/>
      <c r="Q273" s="1091"/>
      <c r="R273" s="5057"/>
      <c r="S273" s="333"/>
      <c r="T273" s="333"/>
      <c r="U273" s="5028"/>
      <c r="W273" s="5054"/>
      <c r="X273" s="1421"/>
      <c r="Y273" s="5055"/>
      <c r="Z273" s="1091"/>
      <c r="AA273" s="1091"/>
      <c r="AB273" s="1091"/>
      <c r="AC273" s="1091"/>
      <c r="AD273" s="1091"/>
    </row>
    <row r="274" spans="1:69" s="1061" customFormat="1" ht="13.5" customHeight="1">
      <c r="A274" s="1444" t="s">
        <v>2426</v>
      </c>
      <c r="B274" s="2603"/>
      <c r="C274" s="1281" t="s">
        <v>7965</v>
      </c>
      <c r="D274" s="1258" t="s">
        <v>7966</v>
      </c>
      <c r="E274" s="1281" t="s">
        <v>141</v>
      </c>
      <c r="F274" s="1415">
        <f>(369.9)*1.1</f>
        <v>406.89</v>
      </c>
      <c r="G274" s="1282"/>
      <c r="H274" s="4065">
        <f t="shared" si="3"/>
        <v>0</v>
      </c>
      <c r="I274" s="1283" t="s">
        <v>644</v>
      </c>
      <c r="J274" s="5128"/>
      <c r="K274" s="1091"/>
      <c r="L274" s="333"/>
      <c r="M274" s="333"/>
      <c r="N274" s="5267"/>
      <c r="O274" s="5130"/>
      <c r="P274" s="1091"/>
      <c r="Q274" s="333"/>
      <c r="R274" s="333"/>
      <c r="S274" s="333"/>
      <c r="T274" s="333"/>
      <c r="U274" s="333"/>
      <c r="V274" s="333"/>
      <c r="W274" s="333"/>
      <c r="X274" s="1421"/>
      <c r="Y274" s="5055"/>
      <c r="Z274" s="1091"/>
      <c r="AA274" s="1091"/>
      <c r="AB274" s="1091"/>
      <c r="AC274" s="1091"/>
      <c r="AD274" s="1091"/>
    </row>
    <row r="275" spans="1:69" s="1061" customFormat="1" ht="27" customHeight="1">
      <c r="A275" s="1433" t="s">
        <v>2427</v>
      </c>
      <c r="B275" s="1086"/>
      <c r="C275" s="1089">
        <v>713463131</v>
      </c>
      <c r="D275" s="1062" t="s">
        <v>7967</v>
      </c>
      <c r="E275" s="1089" t="s">
        <v>141</v>
      </c>
      <c r="F275" s="1063">
        <f>F271</f>
        <v>369.9</v>
      </c>
      <c r="G275" s="1266"/>
      <c r="H275" s="4064">
        <f t="shared" si="3"/>
        <v>0</v>
      </c>
      <c r="I275" s="230" t="s">
        <v>142</v>
      </c>
      <c r="J275" s="1117"/>
      <c r="K275" s="1562"/>
      <c r="L275" s="1091"/>
      <c r="M275" s="1091"/>
      <c r="N275" s="1091"/>
      <c r="O275" s="1091"/>
      <c r="P275" s="1091"/>
      <c r="Q275" s="5019"/>
      <c r="R275" s="1091"/>
      <c r="S275" s="1091"/>
      <c r="T275" s="1091"/>
      <c r="U275" s="1091"/>
      <c r="V275" s="5057"/>
      <c r="AD275" s="1091"/>
    </row>
    <row r="276" spans="1:69" s="1061" customFormat="1" ht="13.5" customHeight="1">
      <c r="A276" s="1444" t="s">
        <v>2428</v>
      </c>
      <c r="B276" s="2603"/>
      <c r="C276" s="1281" t="s">
        <v>7968</v>
      </c>
      <c r="D276" s="1258" t="s">
        <v>7969</v>
      </c>
      <c r="E276" s="1281" t="s">
        <v>141</v>
      </c>
      <c r="F276" s="1415">
        <f>(369.9)*1.1</f>
        <v>406.89</v>
      </c>
      <c r="G276" s="1282"/>
      <c r="H276" s="4065">
        <f t="shared" si="3"/>
        <v>0</v>
      </c>
      <c r="I276" s="1283" t="s">
        <v>644</v>
      </c>
      <c r="J276" s="4820"/>
      <c r="K276" s="2608"/>
      <c r="L276" s="4853"/>
      <c r="M276" s="4854"/>
      <c r="N276" s="4854"/>
      <c r="O276" s="4854"/>
      <c r="P276" s="5063"/>
      <c r="Q276" s="4854"/>
      <c r="R276" s="5057"/>
      <c r="S276" s="1277"/>
      <c r="T276" s="1277"/>
      <c r="U276" s="5130"/>
      <c r="V276" s="52"/>
      <c r="W276" s="52"/>
      <c r="X276" s="52"/>
      <c r="Y276" s="52"/>
      <c r="Z276" s="5063"/>
      <c r="AA276" s="52"/>
      <c r="AB276" s="5087"/>
      <c r="AC276" s="52"/>
      <c r="AD276" s="5064"/>
      <c r="AE276" s="52"/>
      <c r="AF276" s="1277"/>
      <c r="AG276" s="1277"/>
      <c r="AH276" s="4854"/>
      <c r="AI276" s="1277"/>
      <c r="AJ276" s="1277"/>
      <c r="AK276" s="1277"/>
      <c r="AL276" s="1563"/>
      <c r="AM276" s="1277"/>
      <c r="AN276" s="1277"/>
      <c r="AO276" s="1277"/>
      <c r="AP276" s="1563"/>
    </row>
    <row r="277" spans="1:69" s="2599" customFormat="1" ht="40.5" customHeight="1">
      <c r="A277" s="1336"/>
      <c r="B277" s="1056"/>
      <c r="C277" s="1057"/>
      <c r="D277" s="2598" t="s">
        <v>7970</v>
      </c>
      <c r="E277" s="1057"/>
      <c r="F277" s="1063">
        <f>(26.9+55.1)+(23.2+40.1)+(25.5+28.6)+(43.2+12.4)+(23.5+24.6)+(43.2+12.4)+(6)+(52)+(15)</f>
        <v>431.70000000000005</v>
      </c>
      <c r="G277" s="1058"/>
      <c r="H277" s="4063"/>
      <c r="I277" s="4468"/>
      <c r="J277" s="5130"/>
      <c r="K277" s="52"/>
      <c r="L277" s="52"/>
      <c r="M277" s="52"/>
      <c r="N277" s="52"/>
      <c r="O277" s="5063"/>
      <c r="P277" s="52"/>
      <c r="Q277" s="5087"/>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99" customFormat="1" ht="27" customHeight="1">
      <c r="A278" s="1336"/>
      <c r="B278" s="1056"/>
      <c r="C278" s="1057"/>
      <c r="D278" s="2598" t="s">
        <v>7971</v>
      </c>
      <c r="E278" s="1057"/>
      <c r="F278" s="1063">
        <f>-((3.7)+(58.1))</f>
        <v>-61.800000000000004</v>
      </c>
      <c r="G278" s="1058"/>
      <c r="H278" s="4063"/>
      <c r="I278" s="4468"/>
      <c r="J278" s="5132"/>
      <c r="K278" s="52"/>
      <c r="L278" s="52"/>
      <c r="M278" s="52"/>
      <c r="N278" s="52"/>
      <c r="O278" s="5063"/>
      <c r="P278" s="52"/>
      <c r="Q278" s="5087"/>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7960</v>
      </c>
      <c r="E279" s="1449"/>
      <c r="F279" s="2609"/>
      <c r="G279" s="1058"/>
      <c r="H279" s="4062"/>
      <c r="I279" s="4468"/>
      <c r="J279" s="5128"/>
      <c r="K279" s="52"/>
      <c r="L279" s="52"/>
      <c r="M279" s="52"/>
      <c r="N279" s="52"/>
      <c r="O279" s="5063"/>
      <c r="P279" s="52"/>
      <c r="Q279" s="52"/>
      <c r="R279" s="52"/>
      <c r="S279" s="1277"/>
      <c r="T279" s="1277"/>
      <c r="U279" s="4854"/>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99" customFormat="1" ht="27" customHeight="1">
      <c r="A280" s="1336">
        <v>50</v>
      </c>
      <c r="B280" s="339" t="s">
        <v>7943</v>
      </c>
      <c r="C280" s="1057" t="s">
        <v>7972</v>
      </c>
      <c r="D280" s="1057" t="s">
        <v>7973</v>
      </c>
      <c r="E280" s="1057" t="s">
        <v>141</v>
      </c>
      <c r="F280" s="1071">
        <f>ROUND(SUM(F288:F289),3)</f>
        <v>61.8</v>
      </c>
      <c r="G280" s="1081">
        <f>ROUND(SUM(H282:H287)/F280,2)</f>
        <v>0</v>
      </c>
      <c r="H280" s="3789">
        <f>ROUND(F280*G280,2)</f>
        <v>0</v>
      </c>
      <c r="I280" s="1059" t="s">
        <v>60</v>
      </c>
      <c r="J280" s="4854"/>
      <c r="K280" s="5026"/>
      <c r="L280" s="1061"/>
      <c r="M280" s="1061"/>
      <c r="N280" s="1061"/>
      <c r="O280" s="1061"/>
      <c r="P280" s="1061"/>
      <c r="Q280" s="1061"/>
      <c r="R280" s="5057"/>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99" customFormat="1" ht="27" customHeight="1">
      <c r="A281" s="1560"/>
      <c r="B281" s="1449"/>
      <c r="C281" s="1449"/>
      <c r="D281" s="2598" t="s">
        <v>7974</v>
      </c>
      <c r="E281" s="1449"/>
      <c r="F281" s="1063"/>
      <c r="G281" s="1058"/>
      <c r="H281" s="4062"/>
      <c r="I281" s="4468"/>
      <c r="J281" s="1562"/>
      <c r="K281" s="5268"/>
      <c r="L281" s="5268"/>
      <c r="M281" s="5268"/>
      <c r="N281"/>
      <c r="O281" s="5268"/>
      <c r="P281" s="5269"/>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7963</v>
      </c>
      <c r="D282" s="1062" t="s">
        <v>11614</v>
      </c>
      <c r="E282" s="1089" t="s">
        <v>141</v>
      </c>
      <c r="F282" s="1063">
        <f>F280</f>
        <v>61.8</v>
      </c>
      <c r="G282" s="1266"/>
      <c r="H282" s="4064">
        <f t="shared" ref="H282:H287" si="4">ROUND(F282*G282,2)</f>
        <v>0</v>
      </c>
      <c r="I282" s="230" t="s">
        <v>644</v>
      </c>
      <c r="J282" s="4854"/>
      <c r="K282" s="5026"/>
      <c r="L282" s="1091"/>
      <c r="M282" s="1091"/>
      <c r="N282" s="1091"/>
      <c r="O282" s="1091"/>
      <c r="P282" s="1091"/>
      <c r="Q282" s="1091"/>
      <c r="R282" s="5057"/>
      <c r="S282" s="333"/>
      <c r="T282" s="333"/>
      <c r="U282" s="5028"/>
      <c r="W282" s="5054"/>
      <c r="X282" s="1421"/>
      <c r="Y282" s="5055"/>
      <c r="Z282" s="1091"/>
      <c r="AA282" s="1091"/>
      <c r="AB282" s="1091"/>
      <c r="AC282" s="1091"/>
      <c r="AD282" s="1091"/>
    </row>
    <row r="283" spans="1:69" s="1061" customFormat="1" ht="13.5" customHeight="1">
      <c r="A283" s="1444" t="s">
        <v>2430</v>
      </c>
      <c r="B283" s="2603"/>
      <c r="C283" s="1281" t="s">
        <v>7965</v>
      </c>
      <c r="D283" s="1258" t="s">
        <v>7975</v>
      </c>
      <c r="E283" s="1281" t="s">
        <v>141</v>
      </c>
      <c r="F283" s="1415">
        <f>(61.8)*1.1</f>
        <v>67.98</v>
      </c>
      <c r="G283" s="1282"/>
      <c r="H283" s="4065">
        <f t="shared" si="4"/>
        <v>0</v>
      </c>
      <c r="I283" s="1283" t="s">
        <v>644</v>
      </c>
      <c r="J283" s="5128"/>
      <c r="K283" s="1091"/>
      <c r="L283" s="333"/>
      <c r="M283" s="333"/>
      <c r="N283" s="5267"/>
      <c r="O283" s="5130"/>
      <c r="P283" s="1091"/>
      <c r="Q283" s="333"/>
      <c r="R283" s="333"/>
      <c r="S283" s="333"/>
      <c r="T283" s="333"/>
      <c r="U283" s="333"/>
      <c r="V283" s="333"/>
      <c r="W283" s="333"/>
      <c r="X283" s="1421"/>
      <c r="Y283" s="5055"/>
      <c r="Z283" s="1091"/>
      <c r="AA283" s="1091"/>
      <c r="AB283" s="1091"/>
      <c r="AC283" s="1091"/>
      <c r="AD283" s="1091"/>
    </row>
    <row r="284" spans="1:69" s="1061" customFormat="1" ht="27" customHeight="1">
      <c r="A284" s="1433" t="s">
        <v>2431</v>
      </c>
      <c r="B284" s="1086"/>
      <c r="C284" s="1089">
        <v>713411111</v>
      </c>
      <c r="D284" s="1062" t="s">
        <v>7976</v>
      </c>
      <c r="E284" s="1089" t="s">
        <v>611</v>
      </c>
      <c r="F284" s="1063">
        <f>(61.8)*0.231</f>
        <v>14.2758</v>
      </c>
      <c r="G284" s="1266"/>
      <c r="H284" s="4064">
        <f t="shared" si="4"/>
        <v>0</v>
      </c>
      <c r="I284" s="230" t="s">
        <v>142</v>
      </c>
      <c r="J284" s="1117"/>
      <c r="K284" s="1562"/>
      <c r="L284" s="1091"/>
      <c r="M284" s="1091"/>
      <c r="N284" s="1091"/>
      <c r="O284" s="1091"/>
      <c r="P284" s="1091"/>
      <c r="Q284" s="5019"/>
      <c r="R284" s="5034"/>
      <c r="S284" s="1091"/>
      <c r="T284" s="1091"/>
      <c r="U284" s="1091"/>
      <c r="V284" s="5057"/>
      <c r="AD284" s="1091"/>
    </row>
    <row r="285" spans="1:69" s="1061" customFormat="1" ht="13.5" customHeight="1">
      <c r="A285" s="1444" t="s">
        <v>2432</v>
      </c>
      <c r="B285" s="2603"/>
      <c r="C285" s="1281" t="s">
        <v>7977</v>
      </c>
      <c r="D285" s="1258" t="s">
        <v>7978</v>
      </c>
      <c r="E285" s="1281" t="s">
        <v>611</v>
      </c>
      <c r="F285" s="1415">
        <f>((61.8)*0.231)*1.1</f>
        <v>15.703380000000001</v>
      </c>
      <c r="G285" s="1282"/>
      <c r="H285" s="4065">
        <f t="shared" si="4"/>
        <v>0</v>
      </c>
      <c r="I285" s="1283" t="s">
        <v>644</v>
      </c>
      <c r="J285" s="4820"/>
      <c r="K285" s="2608"/>
      <c r="L285" s="4853"/>
      <c r="M285" s="4854"/>
      <c r="N285" s="4854"/>
      <c r="O285" s="4854"/>
      <c r="P285" s="5063"/>
      <c r="Q285" s="4854"/>
      <c r="R285" s="5034"/>
      <c r="S285" s="1277"/>
      <c r="T285" s="1277"/>
      <c r="U285" s="5130"/>
      <c r="W285" s="52"/>
      <c r="X285" s="52"/>
      <c r="Y285" s="52"/>
      <c r="Z285" s="5063"/>
      <c r="AA285" s="52"/>
      <c r="AB285" s="5087"/>
      <c r="AC285" s="52"/>
      <c r="AD285" s="5064"/>
      <c r="AE285" s="52"/>
      <c r="AF285" s="1277"/>
      <c r="AG285" s="1277"/>
      <c r="AH285" s="4854"/>
      <c r="AI285" s="1277"/>
      <c r="AJ285" s="1277"/>
      <c r="AK285" s="1277"/>
      <c r="AL285" s="1563"/>
      <c r="AM285" s="1277"/>
      <c r="AN285" s="1277"/>
      <c r="AO285" s="1277"/>
      <c r="AP285" s="1563"/>
    </row>
    <row r="286" spans="1:69" s="1061" customFormat="1" ht="27" customHeight="1">
      <c r="A286" s="1433" t="s">
        <v>7979</v>
      </c>
      <c r="B286" s="1086"/>
      <c r="C286" s="1089">
        <v>713491111</v>
      </c>
      <c r="D286" s="1062" t="s">
        <v>7980</v>
      </c>
      <c r="E286" s="1089" t="s">
        <v>611</v>
      </c>
      <c r="F286" s="1063">
        <f>(61.8)*0.238</f>
        <v>14.708399999999999</v>
      </c>
      <c r="G286" s="1266"/>
      <c r="H286" s="4064">
        <f t="shared" si="4"/>
        <v>0</v>
      </c>
      <c r="I286" s="230" t="s">
        <v>142</v>
      </c>
      <c r="J286" s="1117"/>
      <c r="K286" s="1562"/>
      <c r="L286" s="1091"/>
      <c r="M286" s="1091"/>
      <c r="N286" s="1091"/>
      <c r="O286" s="1091"/>
      <c r="P286" s="1091"/>
      <c r="Q286" s="5019"/>
      <c r="R286" s="5034"/>
      <c r="S286" s="1091"/>
      <c r="T286" s="52"/>
      <c r="U286" s="1091"/>
      <c r="V286" s="5057"/>
      <c r="AD286" s="1091"/>
    </row>
    <row r="287" spans="1:69" s="1061" customFormat="1" ht="13.5" customHeight="1">
      <c r="A287" s="1444" t="s">
        <v>7981</v>
      </c>
      <c r="B287" s="2603"/>
      <c r="C287" s="1281">
        <v>13756626</v>
      </c>
      <c r="D287" s="1258" t="s">
        <v>7982</v>
      </c>
      <c r="E287" s="1281" t="s">
        <v>302</v>
      </c>
      <c r="F287" s="1415">
        <f>((61.8)*0.238)*(8/1000)*1.15</f>
        <v>0.13531727999999998</v>
      </c>
      <c r="G287" s="1282"/>
      <c r="H287" s="4065">
        <f t="shared" si="4"/>
        <v>0</v>
      </c>
      <c r="I287" s="1283" t="s">
        <v>142</v>
      </c>
      <c r="J287" s="1117"/>
      <c r="K287" s="1562"/>
      <c r="L287" s="1091"/>
      <c r="M287" s="1091"/>
      <c r="N287" s="1091"/>
      <c r="O287" s="1091"/>
      <c r="P287" s="1091"/>
      <c r="Q287" s="5019"/>
      <c r="R287" s="5034"/>
      <c r="S287" s="5059"/>
      <c r="T287" s="5059"/>
      <c r="U287" s="5059"/>
      <c r="V287" s="52"/>
      <c r="W287" s="5059"/>
      <c r="X287" s="1277"/>
      <c r="Y287" s="1277"/>
      <c r="Z287" s="1470"/>
      <c r="AA287" s="52"/>
      <c r="AB287" s="5063"/>
      <c r="AC287" s="52"/>
      <c r="AD287" s="5064"/>
      <c r="AE287" s="52"/>
      <c r="AF287" s="1277"/>
      <c r="AG287" s="1277"/>
      <c r="AH287" s="4854"/>
      <c r="AI287" s="1277"/>
      <c r="AJ287" s="1277"/>
      <c r="AK287" s="1277"/>
      <c r="AL287" s="1563"/>
      <c r="AM287" s="1277"/>
      <c r="AN287" s="1277"/>
      <c r="AO287" s="1277"/>
      <c r="AP287" s="1563"/>
    </row>
    <row r="288" spans="1:69" s="2599" customFormat="1" ht="13.5" customHeight="1">
      <c r="A288" s="1336"/>
      <c r="B288" s="1056"/>
      <c r="C288" s="1057"/>
      <c r="D288" s="2598" t="s">
        <v>7983</v>
      </c>
      <c r="E288" s="1057"/>
      <c r="F288" s="1063">
        <f>3.7</f>
        <v>3.7</v>
      </c>
      <c r="G288" s="1058"/>
      <c r="H288" s="4063"/>
      <c r="I288" s="4468"/>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99" customFormat="1" ht="27" customHeight="1">
      <c r="A289" s="1336"/>
      <c r="B289" s="1056"/>
      <c r="C289" s="1057"/>
      <c r="D289" s="2598" t="s">
        <v>7984</v>
      </c>
      <c r="E289" s="1057"/>
      <c r="F289" s="1063">
        <f>(11.9)+(11.3)+(10.1)+(3.5)+(5.1)+(4.2)+(5.4)+(6.6)</f>
        <v>58.100000000000009</v>
      </c>
      <c r="G289" s="1058"/>
      <c r="H289" s="4063"/>
      <c r="I289" s="4468"/>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99" customFormat="1" ht="27" customHeight="1">
      <c r="A290" s="1560"/>
      <c r="B290" s="1449"/>
      <c r="C290" s="1449"/>
      <c r="D290" s="2598" t="s">
        <v>7960</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94" t="s">
        <v>7985</v>
      </c>
      <c r="E291" s="1449"/>
      <c r="F291" s="1063"/>
      <c r="G291" s="1561"/>
      <c r="H291" s="4062"/>
      <c r="I291" s="4368"/>
      <c r="J291" s="4855"/>
      <c r="L291" s="2526"/>
      <c r="Q291" s="5019"/>
    </row>
    <row r="292" spans="1:69" s="2599" customFormat="1" ht="13.5" customHeight="1">
      <c r="A292" s="1560"/>
      <c r="B292" s="1449"/>
      <c r="C292" s="1449"/>
      <c r="D292" s="2598" t="s">
        <v>7986</v>
      </c>
      <c r="E292" s="1449"/>
      <c r="F292" s="2609"/>
      <c r="G292" s="1058"/>
      <c r="H292" s="4062"/>
      <c r="I292" s="4468"/>
      <c r="J292" s="4854"/>
      <c r="K292" s="52"/>
      <c r="L292" s="52"/>
      <c r="M292" s="52"/>
      <c r="N292" s="52"/>
      <c r="O292" s="5063"/>
      <c r="P292" s="52"/>
      <c r="Q292" s="5064"/>
      <c r="R292" s="52"/>
      <c r="S292" s="1277"/>
      <c r="T292" s="2610"/>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99" customFormat="1" ht="13.5" customHeight="1">
      <c r="A293" s="1336">
        <v>51</v>
      </c>
      <c r="B293" s="339" t="s">
        <v>7943</v>
      </c>
      <c r="C293" s="1057" t="s">
        <v>7987</v>
      </c>
      <c r="D293" s="1057" t="s">
        <v>7988</v>
      </c>
      <c r="E293" s="1057" t="s">
        <v>141</v>
      </c>
      <c r="F293" s="1071">
        <f>ROUND(SUM(F299:F300),3)</f>
        <v>462.7</v>
      </c>
      <c r="G293" s="1081">
        <f>ROUND(SUM(H295:H298)/F293,2)</f>
        <v>0</v>
      </c>
      <c r="H293" s="3789">
        <f>ROUND(F293*G293,2)</f>
        <v>0</v>
      </c>
      <c r="I293" s="1059" t="s">
        <v>60</v>
      </c>
      <c r="J293" s="4854"/>
      <c r="K293" s="5026"/>
      <c r="L293" s="1061"/>
      <c r="M293" s="1061"/>
      <c r="N293" s="1061"/>
      <c r="O293" s="1061"/>
      <c r="P293" s="1061"/>
      <c r="Q293" s="1061"/>
      <c r="R293" s="5057"/>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99" customFormat="1" ht="27" customHeight="1">
      <c r="A294" s="1560"/>
      <c r="B294" s="1449"/>
      <c r="C294" s="1449"/>
      <c r="D294" s="2598" t="s">
        <v>6293</v>
      </c>
      <c r="E294" s="1449"/>
      <c r="F294" s="1063"/>
      <c r="G294" s="1058"/>
      <c r="H294" s="4062"/>
      <c r="I294" s="4468"/>
      <c r="J294" s="1562"/>
      <c r="K294" s="5268"/>
      <c r="L294" s="5268"/>
      <c r="M294" s="5268"/>
      <c r="N294"/>
      <c r="O294" s="5268"/>
      <c r="P294" s="5269"/>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7989</v>
      </c>
      <c r="D295" s="1062" t="s">
        <v>7990</v>
      </c>
      <c r="E295" s="1089" t="s">
        <v>141</v>
      </c>
      <c r="F295" s="1063">
        <f>F293</f>
        <v>462.7</v>
      </c>
      <c r="G295" s="1266"/>
      <c r="H295" s="4064">
        <f t="shared" ref="H295:H298" si="5">ROUND(F295*G295,2)</f>
        <v>0</v>
      </c>
      <c r="I295" s="230" t="s">
        <v>644</v>
      </c>
      <c r="J295" s="4854"/>
      <c r="K295" s="5026"/>
      <c r="L295" s="1091"/>
      <c r="M295" s="1091"/>
      <c r="N295" s="1091"/>
      <c r="O295" s="1091"/>
      <c r="P295" s="1091"/>
      <c r="Q295" s="1091"/>
      <c r="R295" s="5057"/>
      <c r="S295" s="333"/>
      <c r="T295" s="333"/>
      <c r="U295" s="5028"/>
      <c r="W295" s="5054"/>
      <c r="X295" s="1421"/>
      <c r="Y295" s="5055"/>
      <c r="Z295" s="1091"/>
      <c r="AA295" s="1091"/>
      <c r="AB295" s="1091"/>
      <c r="AC295" s="1091"/>
      <c r="AD295" s="1091"/>
    </row>
    <row r="296" spans="1:69" s="1061" customFormat="1" ht="13.5" customHeight="1">
      <c r="A296" s="1444" t="s">
        <v>2205</v>
      </c>
      <c r="B296" s="2603"/>
      <c r="C296" s="1281" t="s">
        <v>7991</v>
      </c>
      <c r="D296" s="1258" t="s">
        <v>7992</v>
      </c>
      <c r="E296" s="1281" t="s">
        <v>141</v>
      </c>
      <c r="F296" s="1415">
        <f>(462.7)*1.1</f>
        <v>508.97</v>
      </c>
      <c r="G296" s="1282"/>
      <c r="H296" s="4065">
        <f t="shared" si="5"/>
        <v>0</v>
      </c>
      <c r="I296" s="1283" t="s">
        <v>644</v>
      </c>
      <c r="J296" s="5128"/>
      <c r="K296" s="1091"/>
      <c r="L296" s="333"/>
      <c r="M296" s="333"/>
      <c r="N296" s="5267"/>
      <c r="O296" s="5130"/>
      <c r="P296" s="1091"/>
      <c r="Q296" s="333"/>
      <c r="R296" s="333"/>
      <c r="S296" s="333"/>
      <c r="T296" s="333"/>
      <c r="U296" s="333"/>
      <c r="V296" s="333"/>
      <c r="W296" s="333"/>
      <c r="X296" s="1421"/>
      <c r="Y296" s="5055"/>
      <c r="Z296" s="1091"/>
      <c r="AA296" s="1091"/>
      <c r="AB296" s="1091"/>
      <c r="AC296" s="1091"/>
      <c r="AD296" s="1091"/>
    </row>
    <row r="297" spans="1:69" s="1061" customFormat="1" ht="27" customHeight="1">
      <c r="A297" s="1433" t="s">
        <v>2206</v>
      </c>
      <c r="B297" s="1086"/>
      <c r="C297" s="1089">
        <v>713463131</v>
      </c>
      <c r="D297" s="1062" t="s">
        <v>7993</v>
      </c>
      <c r="E297" s="1089" t="s">
        <v>141</v>
      </c>
      <c r="F297" s="1063">
        <f>F293</f>
        <v>462.7</v>
      </c>
      <c r="G297" s="1266"/>
      <c r="H297" s="4064">
        <f t="shared" si="5"/>
        <v>0</v>
      </c>
      <c r="I297" s="230" t="s">
        <v>142</v>
      </c>
      <c r="J297" s="1117"/>
      <c r="K297" s="1562"/>
      <c r="L297" s="1091"/>
      <c r="M297" s="1091"/>
      <c r="N297" s="1091"/>
      <c r="O297" s="1091"/>
      <c r="P297" s="1091"/>
      <c r="Q297" s="5019"/>
      <c r="R297" s="1091"/>
      <c r="S297" s="1091"/>
      <c r="T297" s="1091"/>
      <c r="U297" s="1091"/>
      <c r="V297" s="5057"/>
      <c r="AD297" s="1091"/>
    </row>
    <row r="298" spans="1:69" s="1061" customFormat="1" ht="13.5" customHeight="1">
      <c r="A298" s="1444" t="s">
        <v>2207</v>
      </c>
      <c r="B298" s="2603"/>
      <c r="C298" s="1281" t="s">
        <v>7994</v>
      </c>
      <c r="D298" s="1258" t="s">
        <v>7995</v>
      </c>
      <c r="E298" s="1281" t="s">
        <v>141</v>
      </c>
      <c r="F298" s="1415">
        <f>(462.7)*1.1</f>
        <v>508.97</v>
      </c>
      <c r="G298" s="1282"/>
      <c r="H298" s="4065">
        <f t="shared" si="5"/>
        <v>0</v>
      </c>
      <c r="I298" s="1283" t="s">
        <v>644</v>
      </c>
      <c r="J298" s="4820"/>
      <c r="K298" s="2608"/>
      <c r="L298" s="4853"/>
      <c r="M298" s="4854"/>
      <c r="N298" s="4854"/>
      <c r="O298" s="4854"/>
      <c r="P298" s="5063"/>
      <c r="Q298" s="4854"/>
      <c r="R298" s="5057"/>
      <c r="S298" s="1277"/>
      <c r="T298" s="1277"/>
      <c r="U298" s="5130"/>
      <c r="V298" s="52"/>
      <c r="W298" s="52"/>
      <c r="X298" s="52"/>
      <c r="Y298" s="52"/>
      <c r="Z298" s="5063"/>
      <c r="AA298" s="52"/>
      <c r="AB298" s="5087"/>
      <c r="AC298" s="52"/>
      <c r="AD298" s="5064"/>
      <c r="AE298" s="52"/>
      <c r="AF298" s="1277"/>
      <c r="AG298" s="1277"/>
      <c r="AH298" s="4854"/>
      <c r="AI298" s="1277"/>
      <c r="AJ298" s="1277"/>
      <c r="AK298" s="1277"/>
      <c r="AL298" s="1563"/>
      <c r="AM298" s="1277"/>
      <c r="AN298" s="1277"/>
      <c r="AO298" s="1277"/>
      <c r="AP298" s="1563"/>
    </row>
    <row r="299" spans="1:69" s="2599" customFormat="1" ht="40.5" customHeight="1">
      <c r="A299" s="1336"/>
      <c r="B299" s="1056"/>
      <c r="C299" s="1057"/>
      <c r="D299" s="2598" t="s">
        <v>7996</v>
      </c>
      <c r="E299" s="1057"/>
      <c r="F299" s="1063">
        <f>(38.5+26.9)+(28.4+23.2)+(39.1+25.5)+(38.3+43.2)+(33.9+23.5)+(38.3+43.2)+(15)+(15)+(15)+(15)+(15)</f>
        <v>477</v>
      </c>
      <c r="G299" s="1058"/>
      <c r="H299" s="4063"/>
      <c r="I299" s="4468"/>
      <c r="J299" s="5130"/>
      <c r="K299" s="52"/>
      <c r="L299" s="52"/>
      <c r="M299" s="52"/>
      <c r="N299" s="52"/>
      <c r="O299" s="5063"/>
      <c r="P299" s="52"/>
      <c r="Q299" s="5087"/>
      <c r="R299" s="52"/>
      <c r="S299" s="1091"/>
      <c r="T299" s="1091"/>
      <c r="U299" s="1091"/>
      <c r="V299" s="5057"/>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99" customFormat="1" ht="13.5" customHeight="1">
      <c r="A300" s="1336"/>
      <c r="B300" s="1056"/>
      <c r="C300" s="1057"/>
      <c r="D300" s="2598" t="s">
        <v>7997</v>
      </c>
      <c r="E300" s="1057"/>
      <c r="F300" s="1063">
        <f>-((14.3))</f>
        <v>-14.3</v>
      </c>
      <c r="G300" s="1058"/>
      <c r="H300" s="4063"/>
      <c r="I300" s="4468"/>
      <c r="J300" s="5132"/>
      <c r="K300" s="52"/>
      <c r="L300" s="52"/>
      <c r="M300" s="52"/>
      <c r="N300" s="52"/>
      <c r="O300" s="5063"/>
      <c r="P300" s="52"/>
      <c r="Q300" s="5087"/>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7960</v>
      </c>
      <c r="E301" s="1449"/>
      <c r="F301" s="2609"/>
      <c r="G301" s="1058"/>
      <c r="H301" s="4062"/>
      <c r="I301" s="4468"/>
      <c r="J301" s="1562"/>
      <c r="K301" s="52"/>
      <c r="L301" s="52"/>
      <c r="M301" s="52"/>
      <c r="N301" s="52"/>
      <c r="O301" s="52"/>
      <c r="P301" s="52"/>
      <c r="Q301" s="52"/>
      <c r="R301" s="52"/>
      <c r="S301" s="1277"/>
      <c r="T301" s="2610"/>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99" customFormat="1" ht="27" customHeight="1">
      <c r="A302" s="1336">
        <v>52</v>
      </c>
      <c r="B302" s="339" t="s">
        <v>7943</v>
      </c>
      <c r="C302" s="1057" t="s">
        <v>7998</v>
      </c>
      <c r="D302" s="1057" t="s">
        <v>7999</v>
      </c>
      <c r="E302" s="1057" t="s">
        <v>141</v>
      </c>
      <c r="F302" s="1071">
        <f>ROUND(SUM(F310),3)</f>
        <v>14.3</v>
      </c>
      <c r="G302" s="1081">
        <f>ROUND(SUM(H304:H309)/F302,2)</f>
        <v>0</v>
      </c>
      <c r="H302" s="3789">
        <f>ROUND(F302*G302,2)</f>
        <v>0</v>
      </c>
      <c r="I302" s="1059" t="s">
        <v>60</v>
      </c>
      <c r="J302" s="5270"/>
      <c r="K302" s="5026"/>
      <c r="L302" s="1061"/>
      <c r="M302" s="1061"/>
      <c r="N302" s="1061"/>
      <c r="O302" s="1061"/>
      <c r="P302" s="1061"/>
      <c r="Q302" s="1061"/>
      <c r="R302" s="5057"/>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99" customFormat="1" ht="27" customHeight="1">
      <c r="A303" s="1560"/>
      <c r="B303" s="1449"/>
      <c r="C303" s="1449"/>
      <c r="D303" s="2598" t="s">
        <v>7974</v>
      </c>
      <c r="E303" s="1449"/>
      <c r="F303" s="1063"/>
      <c r="G303" s="1058"/>
      <c r="H303" s="4062"/>
      <c r="I303" s="4468"/>
      <c r="J303" s="1562"/>
      <c r="K303" s="5268"/>
      <c r="L303" s="5268"/>
      <c r="M303" s="5268"/>
      <c r="N303"/>
      <c r="O303" s="5268"/>
      <c r="P303" s="5269"/>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7989</v>
      </c>
      <c r="D304" s="1062" t="s">
        <v>8000</v>
      </c>
      <c r="E304" s="1089" t="s">
        <v>141</v>
      </c>
      <c r="F304" s="1063">
        <f>F302</f>
        <v>14.3</v>
      </c>
      <c r="G304" s="1266"/>
      <c r="H304" s="4064">
        <f t="shared" ref="H304:H309" si="6">ROUND(F304*G304,2)</f>
        <v>0</v>
      </c>
      <c r="I304" s="230" t="s">
        <v>644</v>
      </c>
      <c r="J304" s="4854"/>
      <c r="K304" s="5026"/>
      <c r="L304" s="1091"/>
      <c r="M304" s="1091"/>
      <c r="N304" s="1091"/>
      <c r="O304" s="1091"/>
      <c r="P304" s="1091"/>
      <c r="Q304" s="1091"/>
      <c r="R304" s="5057"/>
      <c r="S304" s="333"/>
      <c r="T304" s="333"/>
      <c r="U304" s="5028"/>
      <c r="W304" s="5054"/>
      <c r="X304" s="1421"/>
      <c r="Y304" s="5055"/>
      <c r="Z304" s="1091"/>
      <c r="AA304" s="1091"/>
      <c r="AB304" s="1091"/>
      <c r="AC304" s="1091"/>
      <c r="AD304" s="1091"/>
    </row>
    <row r="305" spans="1:69" s="1061" customFormat="1" ht="13.5" customHeight="1">
      <c r="A305" s="1444" t="s">
        <v>2213</v>
      </c>
      <c r="B305" s="2603"/>
      <c r="C305" s="1281" t="s">
        <v>8001</v>
      </c>
      <c r="D305" s="1258" t="s">
        <v>8002</v>
      </c>
      <c r="E305" s="1281" t="s">
        <v>141</v>
      </c>
      <c r="F305" s="1415">
        <f>(14.3)*1.1</f>
        <v>15.730000000000002</v>
      </c>
      <c r="G305" s="1282"/>
      <c r="H305" s="4065">
        <f t="shared" si="6"/>
        <v>0</v>
      </c>
      <c r="I305" s="1283" t="s">
        <v>644</v>
      </c>
      <c r="J305" s="5128"/>
      <c r="K305" s="1091"/>
      <c r="L305" s="333"/>
      <c r="M305" s="333"/>
      <c r="N305" s="5267"/>
      <c r="O305" s="5130"/>
      <c r="P305" s="1091"/>
      <c r="Q305" s="333"/>
      <c r="R305" s="333"/>
      <c r="S305" s="333"/>
      <c r="T305" s="333"/>
      <c r="U305" s="333"/>
      <c r="V305" s="333"/>
      <c r="W305" s="333"/>
      <c r="X305" s="1421"/>
      <c r="Y305" s="5055"/>
      <c r="Z305" s="1091"/>
      <c r="AA305" s="1091"/>
      <c r="AB305" s="1091"/>
      <c r="AC305" s="1091"/>
      <c r="AD305" s="1091"/>
    </row>
    <row r="306" spans="1:69" s="1061" customFormat="1" ht="27" customHeight="1">
      <c r="A306" s="1433" t="s">
        <v>2214</v>
      </c>
      <c r="B306" s="1086"/>
      <c r="C306" s="1089">
        <v>713411111</v>
      </c>
      <c r="D306" s="1062" t="s">
        <v>8003</v>
      </c>
      <c r="E306" s="1089" t="s">
        <v>611</v>
      </c>
      <c r="F306" s="1063">
        <f>(14.3)*0.241</f>
        <v>3.4462999999999999</v>
      </c>
      <c r="G306" s="1266"/>
      <c r="H306" s="4064">
        <f t="shared" si="6"/>
        <v>0</v>
      </c>
      <c r="I306" s="230" t="s">
        <v>142</v>
      </c>
      <c r="J306" s="1117"/>
      <c r="K306" s="1562"/>
      <c r="L306" s="1091"/>
      <c r="M306" s="1091"/>
      <c r="N306" s="1091"/>
      <c r="O306" s="1091"/>
      <c r="P306" s="1091"/>
      <c r="Q306" s="5019"/>
      <c r="R306" s="1091"/>
      <c r="S306" s="1091"/>
      <c r="T306" s="1091"/>
      <c r="U306" s="1091"/>
      <c r="V306" s="5057"/>
      <c r="AD306" s="1091"/>
    </row>
    <row r="307" spans="1:69" s="1061" customFormat="1" ht="13.5" customHeight="1">
      <c r="A307" s="1444" t="s">
        <v>2215</v>
      </c>
      <c r="B307" s="2603"/>
      <c r="C307" s="1281" t="s">
        <v>7977</v>
      </c>
      <c r="D307" s="1258" t="s">
        <v>8004</v>
      </c>
      <c r="E307" s="1281" t="s">
        <v>611</v>
      </c>
      <c r="F307" s="1415">
        <f>((14.3)*0.241)*1.1</f>
        <v>3.7909300000000004</v>
      </c>
      <c r="G307" s="1282"/>
      <c r="H307" s="4065">
        <f t="shared" si="6"/>
        <v>0</v>
      </c>
      <c r="I307" s="1283" t="s">
        <v>644</v>
      </c>
      <c r="J307" s="4820"/>
      <c r="K307" s="2608"/>
      <c r="L307" s="4853"/>
      <c r="M307" s="4854"/>
      <c r="N307" s="4854"/>
      <c r="O307" s="4854"/>
      <c r="P307" s="5063"/>
      <c r="Q307" s="4854"/>
      <c r="R307" s="5034"/>
      <c r="S307" s="1277"/>
      <c r="T307" s="1277"/>
      <c r="U307" s="5130"/>
      <c r="W307" s="52"/>
      <c r="X307" s="52"/>
      <c r="Y307" s="52"/>
      <c r="Z307" s="5063"/>
      <c r="AA307" s="52"/>
      <c r="AB307" s="5087"/>
      <c r="AC307" s="52"/>
      <c r="AD307" s="5064"/>
      <c r="AE307" s="52"/>
      <c r="AF307" s="1277"/>
      <c r="AG307" s="1277"/>
      <c r="AH307" s="4854"/>
      <c r="AI307" s="1277"/>
      <c r="AJ307" s="1277"/>
      <c r="AK307" s="1277"/>
      <c r="AL307" s="1563"/>
      <c r="AM307" s="1277"/>
      <c r="AN307" s="1277"/>
      <c r="AO307" s="1277"/>
      <c r="AP307" s="1563"/>
    </row>
    <row r="308" spans="1:69" s="1061" customFormat="1" ht="27" customHeight="1">
      <c r="A308" s="1433" t="s">
        <v>8005</v>
      </c>
      <c r="B308" s="1086"/>
      <c r="C308" s="1089">
        <v>713491111</v>
      </c>
      <c r="D308" s="1062" t="s">
        <v>8006</v>
      </c>
      <c r="E308" s="1089" t="s">
        <v>611</v>
      </c>
      <c r="F308" s="1063">
        <f>(14.3)*0.248</f>
        <v>3.5464000000000002</v>
      </c>
      <c r="G308" s="1266"/>
      <c r="H308" s="4064">
        <f t="shared" si="6"/>
        <v>0</v>
      </c>
      <c r="I308" s="230" t="s">
        <v>142</v>
      </c>
      <c r="J308" s="1117"/>
      <c r="K308" s="1562"/>
      <c r="L308" s="1091"/>
      <c r="M308" s="1091"/>
      <c r="N308" s="1091"/>
      <c r="O308" s="1091"/>
      <c r="P308" s="1091"/>
      <c r="Q308" s="5019"/>
      <c r="R308" s="1091"/>
      <c r="S308" s="1091"/>
      <c r="T308" s="52"/>
      <c r="U308" s="1091"/>
      <c r="V308" s="5057"/>
      <c r="AD308" s="1091"/>
    </row>
    <row r="309" spans="1:69" s="1061" customFormat="1" ht="13.5" customHeight="1">
      <c r="A309" s="1444" t="s">
        <v>8007</v>
      </c>
      <c r="B309" s="2603"/>
      <c r="C309" s="1281">
        <v>13756626</v>
      </c>
      <c r="D309" s="1258" t="s">
        <v>8008</v>
      </c>
      <c r="E309" s="1281" t="s">
        <v>302</v>
      </c>
      <c r="F309" s="1415">
        <f>((14.3)*0.248)*(8/1000)*1.15</f>
        <v>3.2626880000000004E-2</v>
      </c>
      <c r="G309" s="1282"/>
      <c r="H309" s="4065">
        <f t="shared" si="6"/>
        <v>0</v>
      </c>
      <c r="I309" s="1283" t="s">
        <v>142</v>
      </c>
      <c r="J309" s="5024"/>
      <c r="K309" s="5059"/>
      <c r="L309" s="5059"/>
      <c r="M309" s="5059"/>
      <c r="N309" s="5059"/>
      <c r="O309" s="5059"/>
      <c r="P309" s="5059"/>
      <c r="Q309" s="5059"/>
      <c r="R309" s="5059"/>
      <c r="S309" s="5059"/>
      <c r="T309" s="5059"/>
      <c r="U309" s="5059"/>
      <c r="V309" s="52"/>
      <c r="W309" s="5059"/>
      <c r="X309" s="1277"/>
      <c r="Y309" s="1277"/>
      <c r="Z309" s="1470"/>
      <c r="AA309" s="52"/>
      <c r="AB309" s="5063"/>
      <c r="AC309" s="52"/>
      <c r="AD309" s="5064"/>
      <c r="AE309" s="52"/>
      <c r="AF309" s="1277"/>
      <c r="AG309" s="1277"/>
      <c r="AH309" s="4854"/>
      <c r="AI309" s="1277"/>
      <c r="AJ309" s="1277"/>
      <c r="AK309" s="1277"/>
      <c r="AL309" s="1563"/>
      <c r="AM309" s="1277"/>
      <c r="AN309" s="1277"/>
      <c r="AO309" s="1277"/>
      <c r="AP309" s="1563"/>
    </row>
    <row r="310" spans="1:69" s="2599" customFormat="1" ht="13.5" customHeight="1">
      <c r="A310" s="1336"/>
      <c r="B310" s="1056"/>
      <c r="C310" s="1057"/>
      <c r="D310" s="2598" t="s">
        <v>8009</v>
      </c>
      <c r="E310" s="1057"/>
      <c r="F310" s="1063">
        <f>(4)+(1.9)+(4.2)+(2)+(2.2)</f>
        <v>14.3</v>
      </c>
      <c r="G310" s="1058"/>
      <c r="H310" s="4063"/>
      <c r="I310" s="4468"/>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99" customFormat="1" ht="27" customHeight="1">
      <c r="A311" s="1560"/>
      <c r="B311" s="1449"/>
      <c r="C311" s="1449"/>
      <c r="D311" s="2598" t="s">
        <v>7960</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94" t="s">
        <v>8010</v>
      </c>
      <c r="E312" s="1449"/>
      <c r="F312" s="1063"/>
      <c r="G312" s="1561"/>
      <c r="H312" s="4062"/>
      <c r="I312" s="4368"/>
      <c r="J312" s="4855"/>
      <c r="L312" s="2526"/>
      <c r="Q312" s="5019"/>
    </row>
    <row r="313" spans="1:69" s="2599" customFormat="1" ht="27" customHeight="1">
      <c r="A313" s="1560"/>
      <c r="B313" s="1449"/>
      <c r="C313" s="1449"/>
      <c r="D313" s="2598" t="s">
        <v>8011</v>
      </c>
      <c r="E313" s="1449"/>
      <c r="F313" s="2609"/>
      <c r="G313" s="1058"/>
      <c r="H313" s="4062"/>
      <c r="I313" s="4468"/>
      <c r="J313" s="4854"/>
      <c r="K313" s="52"/>
      <c r="L313" s="52"/>
      <c r="M313" s="52"/>
      <c r="N313" s="52"/>
      <c r="O313" s="5063"/>
      <c r="P313" s="52"/>
      <c r="Q313" s="5064"/>
      <c r="R313" s="52"/>
      <c r="S313" s="1277"/>
      <c r="T313" s="2610"/>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99" customFormat="1" ht="13.5" customHeight="1">
      <c r="A314" s="1336">
        <v>53</v>
      </c>
      <c r="B314" s="339" t="s">
        <v>7943</v>
      </c>
      <c r="C314" s="1057" t="s">
        <v>8012</v>
      </c>
      <c r="D314" s="1057" t="s">
        <v>8013</v>
      </c>
      <c r="E314" s="1057" t="s">
        <v>141</v>
      </c>
      <c r="F314" s="1071">
        <f>ROUND(SUM(F320:F321),3)</f>
        <v>184.4</v>
      </c>
      <c r="G314" s="1081">
        <f>ROUND(SUM(H316:H319)/F314,2)</f>
        <v>0</v>
      </c>
      <c r="H314" s="3789">
        <f>ROUND(F314*G314,2)</f>
        <v>0</v>
      </c>
      <c r="I314" s="1059" t="s">
        <v>60</v>
      </c>
      <c r="J314" s="4854"/>
      <c r="K314" s="5026"/>
      <c r="L314" s="1091"/>
      <c r="M314" s="1091"/>
      <c r="N314" s="1091"/>
      <c r="O314" s="1091"/>
      <c r="P314" s="1091"/>
      <c r="Q314" s="1091"/>
      <c r="R314" s="5057"/>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99" customFormat="1" ht="27" customHeight="1">
      <c r="A315" s="1560"/>
      <c r="B315" s="1449"/>
      <c r="C315" s="1449"/>
      <c r="D315" s="2598" t="s">
        <v>6293</v>
      </c>
      <c r="E315" s="1449"/>
      <c r="F315" s="1063"/>
      <c r="G315" s="1058"/>
      <c r="H315" s="4062"/>
      <c r="I315" s="4468"/>
      <c r="J315" s="1562"/>
      <c r="K315" s="5264"/>
      <c r="L315" s="5264"/>
      <c r="M315" s="5264"/>
      <c r="N315" s="5265"/>
      <c r="O315" s="5264"/>
      <c r="P315" s="5266"/>
      <c r="Q315" s="52"/>
      <c r="R315" s="52"/>
      <c r="S315" s="52"/>
      <c r="T315" s="52"/>
      <c r="U315" s="2556"/>
      <c r="V315" s="2556"/>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8014</v>
      </c>
      <c r="B316" s="1086"/>
      <c r="C316" s="1089" t="s">
        <v>8015</v>
      </c>
      <c r="D316" s="1062" t="s">
        <v>8016</v>
      </c>
      <c r="E316" s="1089" t="s">
        <v>141</v>
      </c>
      <c r="F316" s="1063">
        <f>F314</f>
        <v>184.4</v>
      </c>
      <c r="G316" s="1266"/>
      <c r="H316" s="4064">
        <f t="shared" ref="H316:H319" si="7">ROUND(F316*G316,2)</f>
        <v>0</v>
      </c>
      <c r="I316" s="230" t="s">
        <v>644</v>
      </c>
      <c r="J316" s="4854"/>
      <c r="K316" s="5026"/>
      <c r="L316" s="1091"/>
      <c r="M316" s="1091"/>
      <c r="N316" s="1091"/>
      <c r="O316" s="1091"/>
      <c r="P316" s="1091"/>
      <c r="Q316" s="1091"/>
      <c r="R316" s="5057"/>
      <c r="S316" s="333"/>
      <c r="T316" s="333"/>
      <c r="U316" s="5028"/>
      <c r="W316" s="5054"/>
      <c r="X316" s="1421"/>
      <c r="Y316" s="5055"/>
      <c r="Z316" s="1091"/>
      <c r="AA316" s="1091"/>
      <c r="AB316" s="1091"/>
      <c r="AC316" s="1091"/>
      <c r="AD316" s="1091"/>
    </row>
    <row r="317" spans="1:69" s="1061" customFormat="1" ht="13.5" customHeight="1">
      <c r="A317" s="1444" t="s">
        <v>8017</v>
      </c>
      <c r="B317" s="2603"/>
      <c r="C317" s="1281" t="s">
        <v>8018</v>
      </c>
      <c r="D317" s="1258" t="s">
        <v>8019</v>
      </c>
      <c r="E317" s="1281" t="s">
        <v>141</v>
      </c>
      <c r="F317" s="1415">
        <f>(184.4)*1.1</f>
        <v>202.84000000000003</v>
      </c>
      <c r="G317" s="1282"/>
      <c r="H317" s="4065">
        <f t="shared" si="7"/>
        <v>0</v>
      </c>
      <c r="I317" s="1283" t="s">
        <v>644</v>
      </c>
      <c r="J317" s="5128"/>
      <c r="K317" s="1091"/>
      <c r="L317" s="333"/>
      <c r="M317" s="333"/>
      <c r="N317" s="5267"/>
      <c r="O317" s="5130"/>
      <c r="P317" s="1091"/>
      <c r="Q317" s="333"/>
      <c r="R317" s="333"/>
      <c r="S317" s="333"/>
      <c r="T317" s="333"/>
      <c r="U317" s="333"/>
      <c r="V317" s="333"/>
      <c r="W317" s="333"/>
      <c r="X317" s="1421"/>
      <c r="Y317" s="5055"/>
      <c r="Z317" s="1091"/>
      <c r="AA317" s="1091"/>
      <c r="AB317" s="1091"/>
      <c r="AC317" s="1091"/>
      <c r="AD317" s="1091"/>
    </row>
    <row r="318" spans="1:69" s="1061" customFormat="1" ht="27" customHeight="1">
      <c r="A318" s="1433" t="s">
        <v>8020</v>
      </c>
      <c r="B318" s="1086"/>
      <c r="C318" s="1089">
        <v>713463131</v>
      </c>
      <c r="D318" s="1062" t="s">
        <v>8021</v>
      </c>
      <c r="E318" s="1089" t="s">
        <v>141</v>
      </c>
      <c r="F318" s="1063">
        <f>F314</f>
        <v>184.4</v>
      </c>
      <c r="G318" s="1266"/>
      <c r="H318" s="4064">
        <f t="shared" si="7"/>
        <v>0</v>
      </c>
      <c r="I318" s="230" t="s">
        <v>142</v>
      </c>
      <c r="J318" s="1117"/>
      <c r="K318" s="1562"/>
      <c r="L318" s="1091"/>
      <c r="M318" s="1091"/>
      <c r="N318" s="1091"/>
      <c r="O318" s="1091"/>
      <c r="P318" s="1091"/>
      <c r="Q318" s="5019"/>
      <c r="R318" s="1091"/>
      <c r="S318" s="1091"/>
      <c r="T318" s="1091"/>
      <c r="U318" s="1091"/>
      <c r="V318" s="5057"/>
      <c r="AD318" s="1091"/>
    </row>
    <row r="319" spans="1:69" s="1061" customFormat="1" ht="13.5" customHeight="1">
      <c r="A319" s="1444" t="s">
        <v>8022</v>
      </c>
      <c r="B319" s="2603"/>
      <c r="C319" s="1281" t="s">
        <v>8023</v>
      </c>
      <c r="D319" s="1258" t="s">
        <v>8024</v>
      </c>
      <c r="E319" s="1281" t="s">
        <v>141</v>
      </c>
      <c r="F319" s="1415">
        <f>(184.4)*1.1</f>
        <v>202.84000000000003</v>
      </c>
      <c r="G319" s="1282"/>
      <c r="H319" s="4065">
        <f t="shared" si="7"/>
        <v>0</v>
      </c>
      <c r="I319" s="1283" t="s">
        <v>644</v>
      </c>
      <c r="J319" s="4820"/>
      <c r="K319" s="2608"/>
      <c r="L319" s="4853"/>
      <c r="M319" s="4854"/>
      <c r="N319" s="4854"/>
      <c r="O319" s="4854"/>
      <c r="P319" s="5063"/>
      <c r="Q319" s="4854"/>
      <c r="R319" s="5057"/>
      <c r="S319" s="1277"/>
      <c r="T319" s="1277"/>
      <c r="U319" s="5130"/>
      <c r="V319" s="52"/>
      <c r="W319" s="52"/>
      <c r="X319" s="52"/>
      <c r="Y319" s="52"/>
      <c r="Z319" s="5063"/>
      <c r="AA319" s="52"/>
      <c r="AB319" s="5087"/>
      <c r="AC319" s="52"/>
      <c r="AD319" s="5064"/>
      <c r="AE319" s="52"/>
      <c r="AF319" s="1277"/>
      <c r="AG319" s="1277"/>
      <c r="AH319" s="4854"/>
      <c r="AI319" s="1277"/>
      <c r="AJ319" s="1277"/>
      <c r="AK319" s="1277"/>
      <c r="AL319" s="1563"/>
      <c r="AM319" s="1277"/>
      <c r="AN319" s="1277"/>
      <c r="AO319" s="1277"/>
      <c r="AP319" s="1563"/>
    </row>
    <row r="320" spans="1:69" s="2599" customFormat="1" ht="13.5" customHeight="1">
      <c r="A320" s="1336"/>
      <c r="B320" s="1056"/>
      <c r="C320" s="1057"/>
      <c r="D320" s="2598" t="s">
        <v>8025</v>
      </c>
      <c r="E320" s="1057"/>
      <c r="F320" s="1063">
        <f>(55.1)+(40.1)+(28.6)+(12.4)+(24.6)+(12.4)+(6)+(52)+(15)</f>
        <v>246.20000000000002</v>
      </c>
      <c r="G320" s="1058"/>
      <c r="H320" s="4063"/>
      <c r="I320" s="4468"/>
      <c r="J320" s="5130"/>
      <c r="K320" s="52"/>
      <c r="L320" s="52"/>
      <c r="M320" s="52"/>
      <c r="N320" s="52"/>
      <c r="O320" s="5063"/>
      <c r="P320" s="52"/>
      <c r="Q320" s="5087"/>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99" customFormat="1" ht="27" customHeight="1">
      <c r="A321" s="1336"/>
      <c r="B321" s="1056"/>
      <c r="C321" s="1057"/>
      <c r="D321" s="2598" t="s">
        <v>7971</v>
      </c>
      <c r="E321" s="1057"/>
      <c r="F321" s="1063">
        <f>-((3.7)+(58.1))</f>
        <v>-61.800000000000004</v>
      </c>
      <c r="G321" s="1058"/>
      <c r="H321" s="4063"/>
      <c r="I321" s="4468"/>
      <c r="J321" s="5132"/>
      <c r="K321" s="52"/>
      <c r="L321" s="52"/>
      <c r="M321" s="52"/>
      <c r="N321" s="52"/>
      <c r="O321" s="5063"/>
      <c r="P321" s="52"/>
      <c r="Q321" s="5087"/>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7960</v>
      </c>
      <c r="E322" s="1449"/>
      <c r="F322" s="2609"/>
      <c r="G322" s="1058"/>
      <c r="H322" s="4062"/>
      <c r="I322" s="4468"/>
      <c r="J322" s="5130"/>
      <c r="K322" s="52"/>
      <c r="L322" s="52"/>
      <c r="M322" s="52"/>
      <c r="N322" s="52"/>
      <c r="O322" s="5063"/>
      <c r="P322" s="52"/>
      <c r="Q322" s="52"/>
      <c r="R322" s="52"/>
      <c r="S322" s="1277"/>
      <c r="T322" s="1277"/>
      <c r="U322" s="4854"/>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99" customFormat="1" ht="27" customHeight="1">
      <c r="A323" s="1336">
        <v>54</v>
      </c>
      <c r="B323" s="339" t="s">
        <v>7943</v>
      </c>
      <c r="C323" s="1057" t="s">
        <v>8026</v>
      </c>
      <c r="D323" s="1057" t="s">
        <v>8027</v>
      </c>
      <c r="E323" s="1057" t="s">
        <v>141</v>
      </c>
      <c r="F323" s="1071">
        <f>ROUND(SUM(F331:F332),3)</f>
        <v>61.8</v>
      </c>
      <c r="G323" s="1081">
        <f>ROUND(SUM(H325:H330)/F323,2)</f>
        <v>0</v>
      </c>
      <c r="H323" s="3789">
        <f>ROUND(F323*G323,2)</f>
        <v>0</v>
      </c>
      <c r="I323" s="1059" t="s">
        <v>60</v>
      </c>
      <c r="J323" s="5270"/>
      <c r="K323" s="5026"/>
      <c r="L323" s="1061"/>
      <c r="M323" s="1061"/>
      <c r="N323" s="1061"/>
      <c r="O323" s="1061"/>
      <c r="P323" s="1061"/>
      <c r="Q323" s="1061"/>
      <c r="R323" s="5057"/>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99" customFormat="1" ht="27" customHeight="1">
      <c r="A324" s="1560"/>
      <c r="B324" s="1449"/>
      <c r="C324" s="1449"/>
      <c r="D324" s="2598" t="s">
        <v>7974</v>
      </c>
      <c r="E324" s="1449"/>
      <c r="F324" s="1063"/>
      <c r="G324" s="1058"/>
      <c r="H324" s="4062"/>
      <c r="I324" s="4468"/>
      <c r="J324" s="1562"/>
      <c r="K324" s="5268"/>
      <c r="L324" s="5268"/>
      <c r="M324" s="5268"/>
      <c r="N324"/>
      <c r="O324" s="5268"/>
      <c r="P324" s="5269"/>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8015</v>
      </c>
      <c r="D325" s="1062" t="s">
        <v>8028</v>
      </c>
      <c r="E325" s="1089" t="s">
        <v>141</v>
      </c>
      <c r="F325" s="1063">
        <f>F323</f>
        <v>61.8</v>
      </c>
      <c r="G325" s="1266"/>
      <c r="H325" s="4064">
        <f t="shared" ref="H325:H330" si="8">ROUND(F325*G325,2)</f>
        <v>0</v>
      </c>
      <c r="I325" s="230" t="s">
        <v>644</v>
      </c>
      <c r="J325" s="4854"/>
      <c r="K325" s="5026"/>
      <c r="L325" s="1091"/>
      <c r="M325" s="1091"/>
      <c r="N325" s="1091"/>
      <c r="O325" s="1091"/>
      <c r="P325" s="1091"/>
      <c r="Q325" s="1091"/>
      <c r="R325" s="5057"/>
      <c r="S325" s="333"/>
      <c r="T325" s="333"/>
      <c r="U325" s="5028"/>
      <c r="W325" s="5054"/>
      <c r="X325" s="1421"/>
      <c r="Y325" s="5055"/>
      <c r="Z325" s="1091"/>
      <c r="AA325" s="1091"/>
      <c r="AB325" s="1091"/>
      <c r="AC325" s="1091"/>
      <c r="AD325" s="1091"/>
    </row>
    <row r="326" spans="1:69" s="1061" customFormat="1" ht="13.5" customHeight="1">
      <c r="A326" s="1444" t="s">
        <v>2221</v>
      </c>
      <c r="B326" s="2603"/>
      <c r="C326" s="1281" t="s">
        <v>8018</v>
      </c>
      <c r="D326" s="1258" t="s">
        <v>8029</v>
      </c>
      <c r="E326" s="1281" t="s">
        <v>141</v>
      </c>
      <c r="F326" s="1415">
        <f>(61.8)*1.1</f>
        <v>67.98</v>
      </c>
      <c r="G326" s="1282"/>
      <c r="H326" s="4065">
        <f t="shared" si="8"/>
        <v>0</v>
      </c>
      <c r="I326" s="1283" t="s">
        <v>644</v>
      </c>
      <c r="J326" s="5128"/>
      <c r="K326" s="1091"/>
      <c r="L326" s="333"/>
      <c r="M326" s="333"/>
      <c r="N326" s="5267"/>
      <c r="O326" s="5130"/>
      <c r="P326" s="1091"/>
      <c r="Q326" s="333"/>
      <c r="R326" s="333"/>
      <c r="S326" s="333"/>
      <c r="T326" s="333"/>
      <c r="U326" s="333"/>
      <c r="V326" s="333"/>
      <c r="W326" s="333"/>
      <c r="X326" s="1421"/>
      <c r="Y326" s="5055"/>
      <c r="Z326" s="1091"/>
      <c r="AA326" s="1091"/>
      <c r="AB326" s="1091"/>
      <c r="AC326" s="1091"/>
      <c r="AD326" s="1091"/>
    </row>
    <row r="327" spans="1:69" s="1061" customFormat="1" ht="27" customHeight="1">
      <c r="A327" s="1433" t="s">
        <v>2222</v>
      </c>
      <c r="B327" s="1086"/>
      <c r="C327" s="1089">
        <v>713411111</v>
      </c>
      <c r="D327" s="1062" t="s">
        <v>8030</v>
      </c>
      <c r="E327" s="1089" t="s">
        <v>611</v>
      </c>
      <c r="F327" s="1063">
        <f>(61.8)*0.251</f>
        <v>15.511799999999999</v>
      </c>
      <c r="G327" s="1266"/>
      <c r="H327" s="4064">
        <f t="shared" si="8"/>
        <v>0</v>
      </c>
      <c r="I327" s="230" t="s">
        <v>142</v>
      </c>
      <c r="J327" s="1117"/>
      <c r="K327" s="1562"/>
      <c r="L327" s="1091"/>
      <c r="M327" s="1091"/>
      <c r="N327" s="1091"/>
      <c r="O327" s="1091"/>
      <c r="P327" s="1091"/>
      <c r="Q327" s="5019"/>
      <c r="R327" s="1091"/>
      <c r="S327" s="1091"/>
      <c r="T327" s="1091"/>
      <c r="U327" s="1091"/>
      <c r="V327" s="5057"/>
      <c r="AD327" s="1091"/>
    </row>
    <row r="328" spans="1:69" s="1061" customFormat="1" ht="13.5" customHeight="1">
      <c r="A328" s="1444" t="s">
        <v>2223</v>
      </c>
      <c r="B328" s="2603"/>
      <c r="C328" s="1281" t="s">
        <v>7977</v>
      </c>
      <c r="D328" s="1258" t="s">
        <v>8031</v>
      </c>
      <c r="E328" s="1281" t="s">
        <v>611</v>
      </c>
      <c r="F328" s="1415">
        <f>((61.8)*0.251)*1.1</f>
        <v>17.06298</v>
      </c>
      <c r="G328" s="1282"/>
      <c r="H328" s="4065">
        <f t="shared" si="8"/>
        <v>0</v>
      </c>
      <c r="I328" s="1283" t="s">
        <v>644</v>
      </c>
      <c r="J328" s="4820"/>
      <c r="K328" s="2608"/>
      <c r="L328" s="4853"/>
      <c r="M328" s="4854"/>
      <c r="N328" s="4854"/>
      <c r="O328" s="4854"/>
      <c r="P328" s="5063"/>
      <c r="Q328" s="4854"/>
      <c r="R328" s="5034"/>
      <c r="S328" s="1277"/>
      <c r="T328" s="1277"/>
      <c r="U328" s="5130"/>
      <c r="W328" s="52"/>
      <c r="X328" s="52"/>
      <c r="Y328" s="52"/>
      <c r="Z328" s="5063"/>
      <c r="AA328" s="52"/>
      <c r="AB328" s="5087"/>
      <c r="AC328" s="52"/>
      <c r="AD328" s="5064"/>
      <c r="AE328" s="52"/>
      <c r="AF328" s="1277"/>
      <c r="AG328" s="1277"/>
      <c r="AH328" s="4854"/>
      <c r="AI328" s="1277"/>
      <c r="AJ328" s="1277"/>
      <c r="AK328" s="1277"/>
      <c r="AL328" s="1563"/>
      <c r="AM328" s="1277"/>
      <c r="AN328" s="1277"/>
      <c r="AO328" s="1277"/>
      <c r="AP328" s="1563"/>
    </row>
    <row r="329" spans="1:69" s="1061" customFormat="1" ht="27" customHeight="1">
      <c r="A329" s="1433" t="s">
        <v>8032</v>
      </c>
      <c r="B329" s="1086"/>
      <c r="C329" s="1089">
        <v>713491111</v>
      </c>
      <c r="D329" s="1062" t="s">
        <v>8033</v>
      </c>
      <c r="E329" s="1089" t="s">
        <v>611</v>
      </c>
      <c r="F329" s="1063">
        <f>(61.8)*0.258</f>
        <v>15.9444</v>
      </c>
      <c r="G329" s="1266"/>
      <c r="H329" s="4064">
        <f t="shared" si="8"/>
        <v>0</v>
      </c>
      <c r="I329" s="230" t="s">
        <v>142</v>
      </c>
      <c r="J329" s="4820"/>
      <c r="K329" s="2608"/>
      <c r="L329" s="4853"/>
      <c r="M329" s="4854"/>
      <c r="N329" s="4854"/>
      <c r="O329" s="4854"/>
      <c r="P329" s="5063"/>
      <c r="Q329" s="4854"/>
      <c r="R329" s="5057"/>
      <c r="S329" s="1091"/>
      <c r="T329" s="52"/>
      <c r="U329" s="1091"/>
      <c r="V329" s="5057"/>
      <c r="AD329" s="1091"/>
    </row>
    <row r="330" spans="1:69" s="1061" customFormat="1" ht="13.5" customHeight="1">
      <c r="A330" s="1444" t="s">
        <v>8034</v>
      </c>
      <c r="B330" s="2603"/>
      <c r="C330" s="1281">
        <v>13756626</v>
      </c>
      <c r="D330" s="1258" t="s">
        <v>8035</v>
      </c>
      <c r="E330" s="1281" t="s">
        <v>302</v>
      </c>
      <c r="F330" s="1415">
        <f>((61.8)*0.258)*(8/1000)*1.15</f>
        <v>0.14668848000000001</v>
      </c>
      <c r="G330" s="1282"/>
      <c r="H330" s="4065">
        <f t="shared" si="8"/>
        <v>0</v>
      </c>
      <c r="I330" s="1283" t="s">
        <v>142</v>
      </c>
      <c r="J330" s="4820"/>
      <c r="K330" s="2608"/>
      <c r="L330" s="4853"/>
      <c r="M330" s="4854"/>
      <c r="N330" s="4854"/>
      <c r="O330" s="4854"/>
      <c r="P330" s="5063"/>
      <c r="Q330" s="4854"/>
      <c r="R330" s="5057"/>
      <c r="S330" s="1091"/>
      <c r="T330" s="5059"/>
      <c r="U330" s="5059"/>
      <c r="V330" s="52"/>
      <c r="W330" s="5059"/>
      <c r="X330" s="1277"/>
      <c r="Y330" s="1277"/>
      <c r="Z330" s="1470"/>
      <c r="AA330" s="52"/>
      <c r="AB330" s="5063"/>
      <c r="AC330" s="52"/>
      <c r="AD330" s="5064"/>
      <c r="AE330" s="52"/>
      <c r="AF330" s="1277"/>
      <c r="AG330" s="1277"/>
      <c r="AH330" s="4854"/>
      <c r="AI330" s="1277"/>
      <c r="AJ330" s="1277"/>
      <c r="AK330" s="1277"/>
      <c r="AL330" s="1563"/>
      <c r="AM330" s="1277"/>
      <c r="AN330" s="1277"/>
      <c r="AO330" s="1277"/>
      <c r="AP330" s="1563"/>
    </row>
    <row r="331" spans="1:69" s="2599" customFormat="1" ht="13.5" customHeight="1">
      <c r="A331" s="1336"/>
      <c r="B331" s="1056"/>
      <c r="C331" s="1057"/>
      <c r="D331" s="2598" t="s">
        <v>7983</v>
      </c>
      <c r="E331" s="1057"/>
      <c r="F331" s="1063">
        <f>3.7</f>
        <v>3.7</v>
      </c>
      <c r="G331" s="1058"/>
      <c r="H331" s="4063"/>
      <c r="I331" s="4468"/>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99" customFormat="1" ht="27" customHeight="1">
      <c r="A332" s="1336"/>
      <c r="B332" s="1056"/>
      <c r="C332" s="1057"/>
      <c r="D332" s="2598" t="s">
        <v>7984</v>
      </c>
      <c r="E332" s="1057"/>
      <c r="F332" s="1063">
        <f>(11.9)+(11.3)+(10.1)+(3.5)+(5.1)+(4.2)+(5.4)+(6.6)</f>
        <v>58.100000000000009</v>
      </c>
      <c r="G332" s="1058"/>
      <c r="H332" s="4063"/>
      <c r="I332" s="4468"/>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99" customFormat="1" ht="27" customHeight="1">
      <c r="A333" s="1560"/>
      <c r="B333" s="1449"/>
      <c r="C333" s="1449"/>
      <c r="D333" s="2598" t="s">
        <v>7960</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94" t="s">
        <v>8036</v>
      </c>
      <c r="E334" s="1449"/>
      <c r="F334" s="1063"/>
      <c r="G334" s="1561"/>
      <c r="H334" s="4062"/>
      <c r="I334" s="4368"/>
      <c r="J334" s="4855"/>
      <c r="L334" s="2526"/>
      <c r="Q334" s="5019"/>
    </row>
    <row r="335" spans="1:69" s="2599" customFormat="1" ht="13.5" customHeight="1">
      <c r="A335" s="1560"/>
      <c r="B335" s="1449"/>
      <c r="C335" s="1449"/>
      <c r="D335" s="2598" t="s">
        <v>7986</v>
      </c>
      <c r="E335" s="1449"/>
      <c r="F335" s="2609"/>
      <c r="G335" s="1058"/>
      <c r="H335" s="4062"/>
      <c r="I335" s="4468"/>
      <c r="J335" s="4854"/>
      <c r="K335" s="52"/>
      <c r="L335" s="52"/>
      <c r="M335" s="52"/>
      <c r="N335" s="52"/>
      <c r="O335" s="5063"/>
      <c r="P335" s="52"/>
      <c r="Q335" s="5064"/>
      <c r="R335" s="52"/>
      <c r="S335" s="1277"/>
      <c r="T335" s="2610"/>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99" customFormat="1" ht="13.5" customHeight="1">
      <c r="A336" s="1336">
        <v>55</v>
      </c>
      <c r="B336" s="339" t="s">
        <v>7943</v>
      </c>
      <c r="C336" s="1057" t="s">
        <v>8037</v>
      </c>
      <c r="D336" s="1057" t="s">
        <v>8038</v>
      </c>
      <c r="E336" s="1057" t="s">
        <v>141</v>
      </c>
      <c r="F336" s="1071">
        <f>ROUND(SUM(F342:F343),3)</f>
        <v>60.7</v>
      </c>
      <c r="G336" s="1081">
        <f>ROUND(SUM(H338:H341)/F336,2)</f>
        <v>0</v>
      </c>
      <c r="H336" s="3789">
        <f>ROUND(F336*G336,2)</f>
        <v>0</v>
      </c>
      <c r="I336" s="1059" t="s">
        <v>60</v>
      </c>
      <c r="J336" s="4854"/>
      <c r="K336" s="5026"/>
      <c r="L336" s="1091"/>
      <c r="M336" s="1091"/>
      <c r="N336" s="1091"/>
      <c r="O336" s="1091"/>
      <c r="P336" s="1091"/>
      <c r="Q336" s="1091"/>
      <c r="R336" s="5057"/>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99" customFormat="1" ht="27" customHeight="1">
      <c r="A337" s="1560"/>
      <c r="B337" s="1449"/>
      <c r="C337" s="1449"/>
      <c r="D337" s="2598" t="s">
        <v>6293</v>
      </c>
      <c r="E337" s="1449"/>
      <c r="F337" s="1063"/>
      <c r="G337" s="1058"/>
      <c r="H337" s="4062"/>
      <c r="I337" s="4468"/>
      <c r="J337" s="1562"/>
      <c r="K337" s="5264"/>
      <c r="L337" s="5264"/>
      <c r="M337" s="5264"/>
      <c r="N337" s="5265"/>
      <c r="O337" s="5264"/>
      <c r="P337" s="5266"/>
      <c r="Q337" s="52"/>
      <c r="R337" s="52"/>
      <c r="S337" s="52"/>
      <c r="T337" s="52"/>
      <c r="U337" s="2556"/>
      <c r="V337" s="2556"/>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8039</v>
      </c>
      <c r="B338" s="1086"/>
      <c r="C338" s="1089" t="s">
        <v>8040</v>
      </c>
      <c r="D338" s="1062" t="s">
        <v>8041</v>
      </c>
      <c r="E338" s="1089" t="s">
        <v>141</v>
      </c>
      <c r="F338" s="1063">
        <f>F336</f>
        <v>60.7</v>
      </c>
      <c r="G338" s="1266"/>
      <c r="H338" s="4064">
        <f t="shared" ref="H338:H341" si="9">ROUND(F338*G338,2)</f>
        <v>0</v>
      </c>
      <c r="I338" s="230" t="s">
        <v>644</v>
      </c>
      <c r="J338" s="4854"/>
      <c r="K338" s="5026"/>
      <c r="L338" s="1091"/>
      <c r="M338" s="1091"/>
      <c r="N338" s="1091"/>
      <c r="O338" s="1091"/>
      <c r="P338" s="1091"/>
      <c r="Q338" s="1091"/>
      <c r="R338" s="5057"/>
      <c r="S338" s="333"/>
      <c r="T338" s="333"/>
      <c r="U338" s="5028"/>
      <c r="W338" s="5054"/>
      <c r="X338" s="1421"/>
      <c r="Y338" s="5055"/>
      <c r="Z338" s="1091"/>
      <c r="AA338" s="1091"/>
      <c r="AB338" s="1091"/>
      <c r="AC338" s="1091"/>
      <c r="AD338" s="1091"/>
    </row>
    <row r="339" spans="1:69" s="1061" customFormat="1" ht="13.5" customHeight="1">
      <c r="A339" s="1444" t="s">
        <v>8042</v>
      </c>
      <c r="B339" s="2603"/>
      <c r="C339" s="1281" t="s">
        <v>8043</v>
      </c>
      <c r="D339" s="1258" t="s">
        <v>8044</v>
      </c>
      <c r="E339" s="1281" t="s">
        <v>141</v>
      </c>
      <c r="F339" s="1415">
        <f>(60.7)*1.1</f>
        <v>66.77000000000001</v>
      </c>
      <c r="G339" s="1282"/>
      <c r="H339" s="4065">
        <f t="shared" si="9"/>
        <v>0</v>
      </c>
      <c r="I339" s="1283" t="s">
        <v>644</v>
      </c>
      <c r="J339" s="5128"/>
      <c r="K339" s="1091"/>
      <c r="L339" s="333"/>
      <c r="M339" s="333"/>
      <c r="N339" s="5267"/>
      <c r="O339" s="5130"/>
      <c r="P339" s="1091"/>
      <c r="Q339" s="333"/>
      <c r="R339" s="333"/>
      <c r="S339" s="333"/>
      <c r="T339" s="333"/>
      <c r="U339" s="333"/>
      <c r="V339" s="333"/>
      <c r="W339" s="333"/>
      <c r="X339" s="1421"/>
      <c r="Y339" s="5055"/>
      <c r="Z339" s="1091"/>
      <c r="AA339" s="1091"/>
      <c r="AB339" s="1091"/>
      <c r="AC339" s="1091"/>
      <c r="AD339" s="1091"/>
    </row>
    <row r="340" spans="1:69" s="1061" customFormat="1" ht="27" customHeight="1">
      <c r="A340" s="1433" t="s">
        <v>8045</v>
      </c>
      <c r="B340" s="1086"/>
      <c r="C340" s="1089">
        <v>713463132</v>
      </c>
      <c r="D340" s="1062" t="s">
        <v>8046</v>
      </c>
      <c r="E340" s="1089" t="s">
        <v>141</v>
      </c>
      <c r="F340" s="1063">
        <f>F336</f>
        <v>60.7</v>
      </c>
      <c r="G340" s="1266"/>
      <c r="H340" s="4064">
        <f t="shared" si="9"/>
        <v>0</v>
      </c>
      <c r="I340" s="230" t="s">
        <v>142</v>
      </c>
      <c r="J340" s="1117"/>
      <c r="K340" s="1562"/>
      <c r="L340" s="1091"/>
      <c r="M340" s="1091"/>
      <c r="N340" s="1091"/>
      <c r="O340" s="1091"/>
      <c r="P340" s="1091"/>
      <c r="Q340" s="5019"/>
      <c r="R340" s="1091"/>
      <c r="S340" s="1091"/>
      <c r="T340" s="1091"/>
      <c r="U340" s="1091"/>
      <c r="V340" s="5057"/>
      <c r="AD340" s="1091"/>
    </row>
    <row r="341" spans="1:69" s="1061" customFormat="1" ht="13.5" customHeight="1">
      <c r="A341" s="1444" t="s">
        <v>8047</v>
      </c>
      <c r="B341" s="2603"/>
      <c r="C341" s="1281" t="s">
        <v>8048</v>
      </c>
      <c r="D341" s="1258" t="s">
        <v>8049</v>
      </c>
      <c r="E341" s="1281" t="s">
        <v>141</v>
      </c>
      <c r="F341" s="1415">
        <f>(60.7)*1.1</f>
        <v>66.77000000000001</v>
      </c>
      <c r="G341" s="1282"/>
      <c r="H341" s="4065">
        <f t="shared" si="9"/>
        <v>0</v>
      </c>
      <c r="I341" s="1283" t="s">
        <v>644</v>
      </c>
      <c r="J341" s="4820"/>
      <c r="K341" s="2608"/>
      <c r="L341" s="4853"/>
      <c r="M341" s="4854"/>
      <c r="N341" s="4854"/>
      <c r="O341" s="4854"/>
      <c r="P341" s="5024"/>
      <c r="Q341" s="4854"/>
      <c r="R341" s="5057"/>
      <c r="S341" s="1277"/>
      <c r="T341" s="1277"/>
      <c r="U341" s="5130"/>
      <c r="V341" s="52"/>
      <c r="W341" s="52"/>
      <c r="X341" s="52"/>
      <c r="Y341" s="52"/>
      <c r="Z341" s="5063"/>
      <c r="AA341" s="52"/>
      <c r="AB341" s="5087"/>
      <c r="AC341" s="52"/>
      <c r="AD341" s="5064"/>
      <c r="AE341" s="52"/>
      <c r="AF341" s="1277"/>
      <c r="AG341" s="1277"/>
      <c r="AH341" s="4854"/>
      <c r="AI341" s="1277"/>
      <c r="AJ341" s="1277"/>
      <c r="AK341" s="1277"/>
      <c r="AL341" s="1563"/>
      <c r="AM341" s="1277"/>
      <c r="AN341" s="1277"/>
      <c r="AO341" s="1277"/>
      <c r="AP341" s="1563"/>
    </row>
    <row r="342" spans="1:69" s="2599" customFormat="1" ht="13.5" customHeight="1">
      <c r="A342" s="1336"/>
      <c r="B342" s="1056"/>
      <c r="C342" s="1057"/>
      <c r="D342" s="2598" t="s">
        <v>8050</v>
      </c>
      <c r="E342" s="1057"/>
      <c r="F342" s="1063">
        <f>(15)+(15)+(15)+(15)+(15)</f>
        <v>75</v>
      </c>
      <c r="G342" s="1058"/>
      <c r="H342" s="4063"/>
      <c r="I342" s="4468"/>
      <c r="J342" s="5130"/>
      <c r="K342" s="2561"/>
      <c r="L342" s="52"/>
      <c r="M342" s="52"/>
      <c r="N342" s="52"/>
      <c r="O342" s="5063"/>
      <c r="P342" s="52"/>
      <c r="Q342" s="5087"/>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99" customFormat="1" ht="13.5" customHeight="1">
      <c r="A343" s="1336"/>
      <c r="B343" s="1056"/>
      <c r="C343" s="1057"/>
      <c r="D343" s="2598" t="s">
        <v>7997</v>
      </c>
      <c r="E343" s="1057"/>
      <c r="F343" s="1063">
        <f>-((14.3))</f>
        <v>-14.3</v>
      </c>
      <c r="G343" s="1058"/>
      <c r="H343" s="4063"/>
      <c r="I343" s="4468"/>
      <c r="J343" s="5132"/>
      <c r="K343" s="52"/>
      <c r="L343" s="52"/>
      <c r="M343" s="52"/>
      <c r="N343" s="52"/>
      <c r="O343" s="5063"/>
      <c r="P343" s="52"/>
      <c r="Q343" s="5087"/>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7960</v>
      </c>
      <c r="E344" s="1449"/>
      <c r="F344" s="2609"/>
      <c r="G344" s="1058"/>
      <c r="H344" s="4062"/>
      <c r="I344" s="4468"/>
      <c r="J344" s="5130"/>
      <c r="K344" s="52"/>
      <c r="L344" s="52"/>
      <c r="M344" s="52"/>
      <c r="N344" s="52"/>
      <c r="O344" s="5063"/>
      <c r="P344" s="52"/>
      <c r="Q344" s="52"/>
      <c r="R344" s="52"/>
      <c r="S344" s="1277"/>
      <c r="T344" s="1277"/>
      <c r="U344" s="4854"/>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99" customFormat="1" ht="27" customHeight="1">
      <c r="A345" s="1336">
        <v>56</v>
      </c>
      <c r="B345" s="339" t="s">
        <v>7943</v>
      </c>
      <c r="C345" s="1057" t="s">
        <v>8026</v>
      </c>
      <c r="D345" s="1057" t="s">
        <v>8051</v>
      </c>
      <c r="E345" s="1057" t="s">
        <v>141</v>
      </c>
      <c r="F345" s="1071">
        <f>ROUND(SUM(F353),3)</f>
        <v>14.3</v>
      </c>
      <c r="G345" s="1081">
        <f>ROUND(SUM(H347:H352)/F345,2)</f>
        <v>0</v>
      </c>
      <c r="H345" s="3789">
        <f>ROUND(F345*G345,2)</f>
        <v>0</v>
      </c>
      <c r="I345" s="1059" t="s">
        <v>60</v>
      </c>
      <c r="J345" s="5270"/>
      <c r="K345" s="5026"/>
      <c r="L345" s="1061"/>
      <c r="M345" s="1061"/>
      <c r="N345" s="1061"/>
      <c r="O345" s="1061"/>
      <c r="P345" s="1061"/>
      <c r="Q345" s="1061"/>
      <c r="R345" s="5057"/>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99" customFormat="1" ht="27" customHeight="1">
      <c r="A346" s="1560"/>
      <c r="B346" s="1449"/>
      <c r="C346" s="1449"/>
      <c r="D346" s="2598" t="s">
        <v>7974</v>
      </c>
      <c r="E346" s="1449"/>
      <c r="F346" s="1063"/>
      <c r="G346" s="1058"/>
      <c r="H346" s="4062"/>
      <c r="I346" s="4468"/>
      <c r="J346" s="1562"/>
      <c r="K346" s="5264"/>
      <c r="L346" s="5264"/>
      <c r="M346" s="5264"/>
      <c r="N346" s="5265"/>
      <c r="O346" s="5264"/>
      <c r="P346" s="5266"/>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6294</v>
      </c>
      <c r="B347" s="1086"/>
      <c r="C347" s="1089" t="s">
        <v>8040</v>
      </c>
      <c r="D347" s="1062" t="s">
        <v>8052</v>
      </c>
      <c r="E347" s="1089" t="s">
        <v>141</v>
      </c>
      <c r="F347" s="1063">
        <f>F345</f>
        <v>14.3</v>
      </c>
      <c r="G347" s="1266"/>
      <c r="H347" s="4064">
        <f t="shared" ref="H347:H352" si="10">ROUND(F347*G347,2)</f>
        <v>0</v>
      </c>
      <c r="I347" s="230" t="s">
        <v>644</v>
      </c>
      <c r="J347" s="4854"/>
      <c r="K347" s="5026"/>
      <c r="L347" s="1091"/>
      <c r="M347" s="1091"/>
      <c r="N347" s="1091"/>
      <c r="O347" s="1091"/>
      <c r="P347" s="1091"/>
      <c r="Q347" s="1091"/>
      <c r="R347" s="5057"/>
      <c r="S347" s="333"/>
      <c r="T347" s="333"/>
      <c r="U347" s="5028"/>
      <c r="W347" s="5054"/>
      <c r="X347" s="1421"/>
      <c r="Y347" s="5055"/>
      <c r="Z347" s="1091"/>
      <c r="AA347" s="1091"/>
      <c r="AB347" s="1091"/>
      <c r="AC347" s="1091"/>
      <c r="AD347" s="1091"/>
    </row>
    <row r="348" spans="1:69" s="1061" customFormat="1" ht="13.5" customHeight="1">
      <c r="A348" s="1444" t="s">
        <v>6296</v>
      </c>
      <c r="B348" s="2603"/>
      <c r="C348" s="1281" t="s">
        <v>8043</v>
      </c>
      <c r="D348" s="1258" t="s">
        <v>8053</v>
      </c>
      <c r="E348" s="1281" t="s">
        <v>141</v>
      </c>
      <c r="F348" s="1415">
        <f>(14.3)*1.1</f>
        <v>15.730000000000002</v>
      </c>
      <c r="G348" s="1282"/>
      <c r="H348" s="4065">
        <f t="shared" si="10"/>
        <v>0</v>
      </c>
      <c r="I348" s="1283" t="s">
        <v>644</v>
      </c>
      <c r="J348" s="5128"/>
      <c r="K348" s="1091"/>
      <c r="L348" s="333"/>
      <c r="M348" s="333"/>
      <c r="N348" s="5267"/>
      <c r="O348" s="5130"/>
      <c r="P348" s="1091"/>
      <c r="Q348" s="333"/>
      <c r="R348" s="333"/>
      <c r="S348" s="333"/>
      <c r="T348" s="333"/>
      <c r="U348" s="333"/>
      <c r="V348" s="333"/>
      <c r="W348" s="333"/>
      <c r="X348" s="1421"/>
      <c r="Y348" s="5055"/>
      <c r="Z348" s="1091"/>
      <c r="AA348" s="1091"/>
      <c r="AB348" s="1091"/>
      <c r="AC348" s="1091"/>
      <c r="AD348" s="1091"/>
    </row>
    <row r="349" spans="1:69" s="1061" customFormat="1" ht="27" customHeight="1">
      <c r="A349" s="1433" t="s">
        <v>6298</v>
      </c>
      <c r="B349" s="1086"/>
      <c r="C349" s="1089">
        <v>713411111</v>
      </c>
      <c r="D349" s="1062" t="s">
        <v>8054</v>
      </c>
      <c r="E349" s="1089" t="s">
        <v>611</v>
      </c>
      <c r="F349" s="1063">
        <f>(14.3)*0.281</f>
        <v>4.0183000000000009</v>
      </c>
      <c r="G349" s="1266"/>
      <c r="H349" s="4064">
        <f t="shared" si="10"/>
        <v>0</v>
      </c>
      <c r="I349" s="230" t="s">
        <v>142</v>
      </c>
      <c r="J349" s="1117"/>
      <c r="K349" s="1562"/>
      <c r="L349" s="1091"/>
      <c r="M349" s="1091"/>
      <c r="N349" s="1091"/>
      <c r="O349" s="1091"/>
      <c r="P349" s="1091"/>
      <c r="Q349" s="5019"/>
      <c r="R349" s="5034"/>
      <c r="S349" s="1091"/>
      <c r="T349" s="1091"/>
      <c r="U349" s="1091"/>
      <c r="V349" s="5057"/>
      <c r="AD349" s="1091"/>
    </row>
    <row r="350" spans="1:69" s="1061" customFormat="1" ht="13.5" customHeight="1">
      <c r="A350" s="1444" t="s">
        <v>8055</v>
      </c>
      <c r="B350" s="2603"/>
      <c r="C350" s="1281" t="s">
        <v>7977</v>
      </c>
      <c r="D350" s="1258" t="s">
        <v>8056</v>
      </c>
      <c r="E350" s="1281" t="s">
        <v>611</v>
      </c>
      <c r="F350" s="1415">
        <f>((14.3)*0.281)*1.1</f>
        <v>4.4201300000000012</v>
      </c>
      <c r="G350" s="1282"/>
      <c r="H350" s="4065">
        <f t="shared" si="10"/>
        <v>0</v>
      </c>
      <c r="I350" s="1283" t="s">
        <v>644</v>
      </c>
      <c r="J350" s="4820"/>
      <c r="K350" s="2608"/>
      <c r="L350" s="4853"/>
      <c r="M350" s="4854"/>
      <c r="N350" s="4854"/>
      <c r="O350" s="4854"/>
      <c r="P350" s="5063"/>
      <c r="Q350" s="4854"/>
      <c r="R350" s="5034"/>
      <c r="S350" s="1277"/>
      <c r="T350" s="1277"/>
      <c r="U350" s="5130"/>
      <c r="W350" s="52"/>
      <c r="X350" s="52"/>
      <c r="Y350" s="52"/>
      <c r="Z350" s="5063"/>
      <c r="AA350" s="52"/>
      <c r="AB350" s="5087"/>
      <c r="AC350" s="52"/>
      <c r="AD350" s="5064"/>
      <c r="AE350" s="52"/>
      <c r="AF350" s="1277"/>
      <c r="AG350" s="1277"/>
      <c r="AH350" s="4854"/>
      <c r="AI350" s="1277"/>
      <c r="AJ350" s="1277"/>
      <c r="AK350" s="1277"/>
      <c r="AL350" s="1563"/>
      <c r="AM350" s="1277"/>
      <c r="AN350" s="1277"/>
      <c r="AO350" s="1277"/>
      <c r="AP350" s="1563"/>
    </row>
    <row r="351" spans="1:69" s="1061" customFormat="1" ht="27" customHeight="1">
      <c r="A351" s="1433" t="s">
        <v>8057</v>
      </c>
      <c r="B351" s="1086"/>
      <c r="C351" s="1089">
        <v>713491111</v>
      </c>
      <c r="D351" s="1062" t="s">
        <v>8058</v>
      </c>
      <c r="E351" s="1089" t="s">
        <v>611</v>
      </c>
      <c r="F351" s="1063">
        <f>(14.3)*0.288</f>
        <v>4.1184000000000003</v>
      </c>
      <c r="G351" s="1266"/>
      <c r="H351" s="4064">
        <f t="shared" si="10"/>
        <v>0</v>
      </c>
      <c r="I351" s="230" t="s">
        <v>142</v>
      </c>
      <c r="J351" s="1117"/>
      <c r="K351" s="1562"/>
      <c r="L351" s="1091"/>
      <c r="M351" s="1091"/>
      <c r="N351" s="1091"/>
      <c r="O351" s="1091"/>
      <c r="P351" s="1091"/>
      <c r="Q351" s="5019"/>
      <c r="R351" s="5034"/>
      <c r="S351" s="1091"/>
      <c r="T351" s="52"/>
      <c r="U351" s="1091"/>
      <c r="V351" s="5057"/>
      <c r="AD351" s="1091"/>
    </row>
    <row r="352" spans="1:69" s="1061" customFormat="1" ht="13.5" customHeight="1">
      <c r="A352" s="1444" t="s">
        <v>8059</v>
      </c>
      <c r="B352" s="2603"/>
      <c r="C352" s="1281">
        <v>13756626</v>
      </c>
      <c r="D352" s="1258" t="s">
        <v>8060</v>
      </c>
      <c r="E352" s="1281" t="s">
        <v>302</v>
      </c>
      <c r="F352" s="1415">
        <f>((14.3)*0.288)*(8/1000)*1.15</f>
        <v>3.7889279999999997E-2</v>
      </c>
      <c r="G352" s="1282"/>
      <c r="H352" s="4065">
        <f t="shared" si="10"/>
        <v>0</v>
      </c>
      <c r="I352" s="1283" t="s">
        <v>142</v>
      </c>
      <c r="J352" s="4820"/>
      <c r="K352" s="2608"/>
      <c r="L352" s="4853"/>
      <c r="M352" s="4854"/>
      <c r="N352" s="4854"/>
      <c r="O352" s="4854"/>
      <c r="P352" s="5063"/>
      <c r="Q352" s="4854"/>
      <c r="R352" s="5057"/>
      <c r="S352" s="1091"/>
      <c r="T352" s="5059"/>
      <c r="U352" s="5059"/>
      <c r="V352" s="52"/>
      <c r="W352" s="5059"/>
      <c r="X352" s="1277"/>
      <c r="Y352" s="1277"/>
      <c r="Z352" s="1470"/>
      <c r="AA352" s="52"/>
      <c r="AB352" s="5063"/>
      <c r="AC352" s="52"/>
      <c r="AD352" s="5064"/>
      <c r="AE352" s="52"/>
      <c r="AF352" s="1277"/>
      <c r="AG352" s="1277"/>
      <c r="AH352" s="4854"/>
      <c r="AI352" s="1277"/>
      <c r="AJ352" s="1277"/>
      <c r="AK352" s="1277"/>
      <c r="AL352" s="1563"/>
      <c r="AM352" s="1277"/>
      <c r="AN352" s="1277"/>
      <c r="AO352" s="1277"/>
      <c r="AP352" s="1563"/>
    </row>
    <row r="353" spans="1:69" s="2599" customFormat="1" ht="13.5" customHeight="1">
      <c r="A353" s="1336"/>
      <c r="B353" s="1056"/>
      <c r="C353" s="1057"/>
      <c r="D353" s="2598" t="s">
        <v>8009</v>
      </c>
      <c r="E353" s="1057"/>
      <c r="F353" s="1063">
        <f>(4)+(1.9)+(4.2)+(2)+(2.2)</f>
        <v>14.3</v>
      </c>
      <c r="G353" s="1058"/>
      <c r="H353" s="4063"/>
      <c r="I353" s="4468"/>
      <c r="J353" s="5024"/>
      <c r="K353" s="5059"/>
      <c r="L353" s="5059"/>
      <c r="M353" s="5059"/>
      <c r="N353" s="5059"/>
      <c r="O353" s="5059"/>
      <c r="P353" s="5059"/>
      <c r="Q353" s="5059"/>
      <c r="R353" s="5059"/>
      <c r="S353" s="5059"/>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99" customFormat="1" ht="27" customHeight="1">
      <c r="A354" s="1560"/>
      <c r="B354" s="1449"/>
      <c r="C354" s="1449"/>
      <c r="D354" s="2598" t="s">
        <v>7960</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94" t="s">
        <v>8061</v>
      </c>
      <c r="E355" s="1449"/>
      <c r="F355" s="1063"/>
      <c r="G355" s="1561"/>
      <c r="H355" s="4062"/>
      <c r="I355" s="4368"/>
      <c r="J355" s="4855"/>
      <c r="L355" s="2526"/>
      <c r="Q355" s="5019"/>
    </row>
    <row r="356" spans="1:69" s="2599" customFormat="1" ht="13.5" customHeight="1">
      <c r="A356" s="1560"/>
      <c r="B356" s="1449"/>
      <c r="C356" s="1449"/>
      <c r="D356" s="2598" t="s">
        <v>7986</v>
      </c>
      <c r="E356" s="1449"/>
      <c r="F356" s="2609"/>
      <c r="G356" s="1058"/>
      <c r="H356" s="4062"/>
      <c r="I356" s="4468"/>
      <c r="J356" s="4854"/>
      <c r="K356" s="52"/>
      <c r="L356" s="52"/>
      <c r="M356" s="52"/>
      <c r="N356" s="52"/>
      <c r="O356" s="5063"/>
      <c r="P356" s="52"/>
      <c r="Q356" s="5064"/>
      <c r="R356" s="52"/>
      <c r="S356" s="1277"/>
      <c r="T356" s="2610"/>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7943</v>
      </c>
      <c r="C357" s="1057" t="s">
        <v>8062</v>
      </c>
      <c r="D357" s="1057" t="s">
        <v>8063</v>
      </c>
      <c r="E357" s="1057" t="s">
        <v>141</v>
      </c>
      <c r="F357" s="1071">
        <f>ROUND(SUM(F359:F363),3)</f>
        <v>1446.4</v>
      </c>
      <c r="G357" s="1058"/>
      <c r="H357" s="3789">
        <f>ROUND(F357*G357,2)</f>
        <v>0</v>
      </c>
      <c r="I357" s="1059" t="s">
        <v>60</v>
      </c>
      <c r="J357" s="1091"/>
      <c r="K357" s="1091"/>
      <c r="L357" s="1091"/>
      <c r="M357" s="1091"/>
      <c r="N357" s="1091"/>
      <c r="O357" s="1091"/>
      <c r="P357" s="527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81" t="s">
        <v>8064</v>
      </c>
      <c r="E358" s="1057"/>
      <c r="F358" s="1606"/>
      <c r="G358" s="1058"/>
      <c r="H358" s="4063"/>
      <c r="I358" s="1059"/>
      <c r="J358" s="1061"/>
      <c r="K358" s="1061"/>
      <c r="L358" s="1061"/>
      <c r="M358" s="1061"/>
      <c r="N358" s="1061"/>
      <c r="O358" s="1061"/>
      <c r="P358" s="527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8065</v>
      </c>
      <c r="E359" s="1267"/>
      <c r="F359" s="1063">
        <f>216.5</f>
        <v>216.5</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8066</v>
      </c>
      <c r="E360" s="1267"/>
      <c r="F360" s="1063">
        <f>(369.9)+(61.8)</f>
        <v>431.7</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8067</v>
      </c>
      <c r="E361" s="1267"/>
      <c r="F361" s="1063">
        <f>(462.7)+(14.3)</f>
        <v>477</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99" t="s">
        <v>8068</v>
      </c>
      <c r="E362" s="1267"/>
      <c r="F362" s="1063">
        <f>(184.4)+(61.8)</f>
        <v>246.2</v>
      </c>
      <c r="G362" s="1269"/>
      <c r="H362" s="4061"/>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99" t="s">
        <v>8069</v>
      </c>
      <c r="E363" s="1267"/>
      <c r="F363" s="1063">
        <f>(60.7)+(14.3)</f>
        <v>75</v>
      </c>
      <c r="G363" s="1269"/>
      <c r="H363" s="4061"/>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7943</v>
      </c>
      <c r="C364" s="1057">
        <v>751791401</v>
      </c>
      <c r="D364" s="1057" t="s">
        <v>8070</v>
      </c>
      <c r="E364" s="1057" t="s">
        <v>191</v>
      </c>
      <c r="F364" s="1071">
        <f>ROUND(SUM(F365),3)</f>
        <v>14</v>
      </c>
      <c r="G364" s="1058"/>
      <c r="H364" s="3789">
        <f>ROUND(F364*G364,2)</f>
        <v>0</v>
      </c>
      <c r="I364" s="1059" t="s">
        <v>142</v>
      </c>
      <c r="J364" s="1091"/>
      <c r="K364" s="1091"/>
      <c r="L364" s="1091"/>
      <c r="M364" s="1091"/>
      <c r="N364" s="1091"/>
      <c r="O364" s="1091"/>
      <c r="P364" s="5271"/>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81" t="s">
        <v>8071</v>
      </c>
      <c r="E365" s="1057"/>
      <c r="F365" s="1063">
        <v>14</v>
      </c>
      <c r="G365" s="1058"/>
      <c r="H365" s="4063"/>
      <c r="I365" s="1059"/>
      <c r="J365" s="2526"/>
      <c r="K365" s="1061"/>
      <c r="L365" s="1061"/>
      <c r="M365" s="1061"/>
      <c r="N365" s="1061"/>
      <c r="O365" s="1061"/>
      <c r="P365" s="5271"/>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94" t="s">
        <v>8072</v>
      </c>
      <c r="E366" s="1449"/>
      <c r="F366" s="1063"/>
      <c r="G366" s="1561"/>
      <c r="H366" s="4062"/>
      <c r="I366" s="4368"/>
      <c r="J366" s="4855"/>
      <c r="L366" s="2526"/>
      <c r="Q366" s="5019"/>
    </row>
    <row r="367" spans="1:69" customFormat="1" ht="13.5" customHeight="1">
      <c r="A367" s="1336">
        <v>59</v>
      </c>
      <c r="B367" s="1056" t="s">
        <v>7943</v>
      </c>
      <c r="C367" s="1057" t="s">
        <v>8073</v>
      </c>
      <c r="D367" s="1057" t="s">
        <v>8074</v>
      </c>
      <c r="E367" s="1057" t="s">
        <v>23</v>
      </c>
      <c r="F367" s="1071">
        <f>ROUND(SUM(F369),3)</f>
        <v>12</v>
      </c>
      <c r="G367" s="1058"/>
      <c r="H367" s="3789">
        <f>ROUND(F367*G367,2)</f>
        <v>0</v>
      </c>
      <c r="I367" s="1059" t="s">
        <v>60</v>
      </c>
      <c r="J367" s="5272"/>
      <c r="K367" s="1091"/>
      <c r="L367" s="1277"/>
      <c r="M367" s="1277"/>
      <c r="N367" s="1277"/>
      <c r="O367" s="1277"/>
      <c r="P367" s="1277"/>
      <c r="Q367" s="1277"/>
      <c r="R367" s="512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8075</v>
      </c>
      <c r="E368" s="1449"/>
      <c r="F368" s="1063"/>
      <c r="G368" s="1561"/>
      <c r="H368" s="4062"/>
      <c r="I368" s="4473"/>
      <c r="J368" s="5272"/>
      <c r="K368" s="2586"/>
      <c r="S368" s="1277"/>
      <c r="T368" s="4856"/>
      <c r="U368" s="2586"/>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8076</v>
      </c>
      <c r="E369" s="1449"/>
      <c r="F369" s="1063">
        <v>12</v>
      </c>
      <c r="G369" s="1561"/>
      <c r="H369" s="4062"/>
      <c r="I369" s="4473"/>
      <c r="J369" s="4985"/>
      <c r="K369" s="2586"/>
      <c r="S369" s="1277"/>
      <c r="T369" s="4856"/>
      <c r="U369" s="2586"/>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94" t="s">
        <v>6525</v>
      </c>
      <c r="E370" s="1449"/>
      <c r="F370" s="1063"/>
      <c r="G370" s="1561"/>
      <c r="H370" s="4062"/>
      <c r="I370" s="4368"/>
      <c r="J370" s="4855"/>
      <c r="L370" s="2526"/>
      <c r="Q370" s="5019"/>
    </row>
    <row r="371" spans="1:121" s="1061" customFormat="1" ht="13.5" customHeight="1">
      <c r="A371" s="2614">
        <v>60</v>
      </c>
      <c r="B371" s="1057">
        <v>751</v>
      </c>
      <c r="C371" s="1057" t="s">
        <v>8077</v>
      </c>
      <c r="D371" s="2550" t="s">
        <v>6534</v>
      </c>
      <c r="E371" s="2550" t="s">
        <v>23</v>
      </c>
      <c r="F371" s="1071">
        <f>ROUND(SUM(F372),3)</f>
        <v>1</v>
      </c>
      <c r="G371" s="2557"/>
      <c r="H371" s="3789">
        <f>ROUND(F371*G371,2)</f>
        <v>0</v>
      </c>
      <c r="I371" s="1059" t="s">
        <v>60</v>
      </c>
    </row>
    <row r="372" spans="1:121" s="2595" customFormat="1" ht="27" customHeight="1">
      <c r="A372" s="1555"/>
      <c r="B372" s="1086"/>
      <c r="C372" s="1086"/>
      <c r="D372" s="3696" t="s">
        <v>10663</v>
      </c>
      <c r="E372" s="1086"/>
      <c r="F372" s="1063">
        <v>1</v>
      </c>
      <c r="G372" s="1551"/>
      <c r="H372" s="4063"/>
      <c r="I372" s="1087"/>
      <c r="J372" s="4820"/>
      <c r="K372" s="2608"/>
      <c r="L372" s="4853"/>
      <c r="M372" s="4854"/>
      <c r="N372" s="4854"/>
      <c r="O372" s="4854"/>
      <c r="P372" s="4854"/>
      <c r="Q372" s="4854"/>
      <c r="R372" s="4854"/>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95" customFormat="1" ht="27" customHeight="1">
      <c r="A373" s="1555"/>
      <c r="B373" s="1086"/>
      <c r="C373" s="1086"/>
      <c r="D373" s="3696" t="s">
        <v>10486</v>
      </c>
      <c r="E373" s="1086"/>
      <c r="F373" s="1063"/>
      <c r="G373" s="1551"/>
      <c r="H373" s="4063"/>
      <c r="I373" s="1087"/>
      <c r="J373" s="4820"/>
      <c r="K373" s="4855"/>
      <c r="L373" s="4855"/>
      <c r="M373" s="1061"/>
      <c r="N373" s="1061"/>
      <c r="O373" s="1061"/>
      <c r="P373" s="1061"/>
      <c r="Q373" s="1061"/>
      <c r="R373" s="4854"/>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67" customFormat="1" ht="158.44999999999999" customHeight="1">
      <c r="A374" s="4379"/>
      <c r="B374" s="4380"/>
      <c r="C374" s="4380"/>
      <c r="D374" s="3707" t="s">
        <v>10668</v>
      </c>
      <c r="E374" s="4381"/>
      <c r="F374" s="4382"/>
      <c r="G374" s="4369"/>
      <c r="H374" s="4366"/>
      <c r="I374" s="4369"/>
      <c r="J374" s="4855"/>
      <c r="K374" s="4855"/>
      <c r="L374" s="4855"/>
    </row>
    <row r="375" spans="1:121" customFormat="1" ht="13.5" customHeight="1">
      <c r="A375" s="1560"/>
      <c r="B375" s="1449"/>
      <c r="C375" s="1449"/>
      <c r="D375" s="1062" t="s">
        <v>10664</v>
      </c>
      <c r="E375" s="1449"/>
      <c r="F375" s="1063"/>
      <c r="G375" s="1561"/>
      <c r="H375" s="4062"/>
      <c r="I375" s="4473"/>
      <c r="J375" s="4985"/>
      <c r="K375" s="2586"/>
      <c r="S375" s="1277"/>
      <c r="T375" s="4856"/>
      <c r="U375" s="2586"/>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55"/>
      <c r="B376" s="1533"/>
      <c r="C376" s="1533"/>
      <c r="D376" s="177" t="s">
        <v>2749</v>
      </c>
      <c r="E376" s="1533"/>
      <c r="F376" s="3530"/>
      <c r="G376" s="5247"/>
      <c r="H376" s="3906"/>
      <c r="I376" s="4474"/>
      <c r="J376" s="4985"/>
      <c r="K376" s="2586"/>
      <c r="S376" s="1277"/>
      <c r="T376" s="4856"/>
      <c r="U376" s="2586"/>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614">
        <v>61</v>
      </c>
      <c r="B377" s="4482">
        <v>751</v>
      </c>
      <c r="C377" s="2550" t="s">
        <v>10665</v>
      </c>
      <c r="D377" s="2550" t="s">
        <v>6540</v>
      </c>
      <c r="E377" s="2550" t="s">
        <v>23</v>
      </c>
      <c r="F377" s="1071">
        <f>ROUND(SUM(F379),3)</f>
        <v>1</v>
      </c>
      <c r="G377" s="2557"/>
      <c r="H377" s="3789">
        <f>ROUND(F377*G377,2)</f>
        <v>0</v>
      </c>
      <c r="I377" s="153" t="s">
        <v>60</v>
      </c>
      <c r="J377" s="4883"/>
      <c r="L377" s="187"/>
      <c r="M377" s="187"/>
      <c r="N377" s="187"/>
      <c r="O377" s="187"/>
      <c r="P377" s="187"/>
    </row>
    <row r="378" spans="1:121" s="2595" customFormat="1" ht="27" customHeight="1">
      <c r="A378" s="2679"/>
      <c r="B378" s="1086"/>
      <c r="C378" s="1086"/>
      <c r="D378" s="1407" t="s">
        <v>8079</v>
      </c>
      <c r="E378" s="1086"/>
      <c r="F378" s="1063"/>
      <c r="G378" s="1551"/>
      <c r="H378" s="4063"/>
      <c r="I378" s="4475"/>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95" customFormat="1" ht="13.5" customHeight="1">
      <c r="A379" s="1555"/>
      <c r="B379" s="1086"/>
      <c r="C379" s="1086"/>
      <c r="D379" s="1062" t="s">
        <v>6542</v>
      </c>
      <c r="E379" s="1086"/>
      <c r="F379" s="1063">
        <v>1</v>
      </c>
      <c r="G379" s="1551"/>
      <c r="H379" s="4063"/>
      <c r="I379" s="4475"/>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611" customFormat="1" ht="54" customHeight="1">
      <c r="A380" s="4354"/>
      <c r="B380" s="4355"/>
      <c r="C380" s="4355"/>
      <c r="D380" s="4356" t="s">
        <v>8181</v>
      </c>
      <c r="E380" s="4355"/>
      <c r="F380" s="4357"/>
      <c r="G380" s="5248"/>
      <c r="H380" s="4066"/>
      <c r="I380" s="4461"/>
      <c r="J380" s="4596"/>
      <c r="K380" s="2303"/>
      <c r="L380" s="2303"/>
      <c r="M380" s="2303"/>
      <c r="N380" s="2303"/>
      <c r="O380" s="2303"/>
      <c r="P380" s="2303"/>
    </row>
    <row r="381" spans="1:121" s="2611" customFormat="1" ht="213.95" customHeight="1">
      <c r="A381" s="4354"/>
      <c r="B381" s="4355"/>
      <c r="C381" s="4355"/>
      <c r="D381" s="4356" t="s">
        <v>8182</v>
      </c>
      <c r="E381" s="4355"/>
      <c r="F381" s="4357"/>
      <c r="G381" s="5248"/>
      <c r="H381" s="4066"/>
      <c r="I381" s="4455"/>
      <c r="J381" s="4600"/>
    </row>
    <row r="382" spans="1:121" s="2303" customFormat="1" ht="40.5" customHeight="1">
      <c r="A382" s="3750"/>
      <c r="B382" s="3695"/>
      <c r="C382" s="3695"/>
      <c r="D382" s="4483" t="s">
        <v>10481</v>
      </c>
      <c r="E382" s="3695"/>
      <c r="F382" s="4484"/>
      <c r="G382" s="3709"/>
      <c r="H382" s="3816"/>
      <c r="I382" s="3726"/>
      <c r="J382" s="1061"/>
      <c r="K382" s="4989"/>
      <c r="L382" s="4989"/>
      <c r="M382" s="4989"/>
      <c r="N382" s="4989"/>
      <c r="O382" s="4989"/>
      <c r="P382" s="4990"/>
      <c r="Q382" s="4990"/>
    </row>
    <row r="383" spans="1:121" s="2303" customFormat="1" ht="67.5" customHeight="1">
      <c r="A383" s="3750"/>
      <c r="B383" s="3695"/>
      <c r="C383" s="3695"/>
      <c r="D383" s="4483" t="s">
        <v>10470</v>
      </c>
      <c r="E383" s="3695"/>
      <c r="F383" s="4484"/>
      <c r="G383" s="3709"/>
      <c r="H383" s="3816"/>
      <c r="I383" s="3726"/>
      <c r="J383" s="4596"/>
      <c r="K383" s="4989"/>
      <c r="L383" s="4989"/>
      <c r="M383" s="4989"/>
      <c r="N383" s="4989"/>
      <c r="O383" s="4989"/>
      <c r="P383" s="4989"/>
      <c r="Q383" s="4989"/>
    </row>
    <row r="384" spans="1:121" s="1061" customFormat="1" ht="13.5" customHeight="1">
      <c r="A384" s="2614">
        <v>62</v>
      </c>
      <c r="B384" s="4482">
        <v>751</v>
      </c>
      <c r="C384" s="2550" t="s">
        <v>8078</v>
      </c>
      <c r="D384" s="2550" t="s">
        <v>6544</v>
      </c>
      <c r="E384" s="2550" t="s">
        <v>23</v>
      </c>
      <c r="F384" s="1071">
        <f>ROUND(SUM(F385),3)</f>
        <v>1</v>
      </c>
      <c r="G384" s="2557"/>
      <c r="H384" s="3789">
        <f>ROUND(F384*G384,2)</f>
        <v>0</v>
      </c>
      <c r="I384" s="1059" t="s">
        <v>60</v>
      </c>
      <c r="J384" s="2356"/>
      <c r="K384" s="2356"/>
      <c r="L384" s="2356"/>
      <c r="M384" s="2356"/>
      <c r="N384" s="4857"/>
      <c r="O384" s="4857"/>
    </row>
    <row r="385" spans="1:256" s="2612" customFormat="1" ht="27" customHeight="1">
      <c r="A385" s="1336"/>
      <c r="B385" s="1056"/>
      <c r="C385" s="1057"/>
      <c r="D385" s="1062" t="s">
        <v>6545</v>
      </c>
      <c r="E385" s="1057"/>
      <c r="F385" s="1063">
        <v>1</v>
      </c>
      <c r="G385" s="1058"/>
      <c r="H385" s="4063"/>
      <c r="I385" s="1059"/>
      <c r="J385" s="4858"/>
      <c r="K385" s="4859"/>
      <c r="L385" s="4859"/>
      <c r="M385" s="4859"/>
      <c r="N385" s="4860"/>
      <c r="O385" s="4860"/>
      <c r="P385" s="2556"/>
      <c r="Q385" s="2556"/>
      <c r="R385" s="2556"/>
      <c r="S385" s="2556"/>
      <c r="T385" s="2556"/>
      <c r="U385" s="2556"/>
      <c r="V385" s="2556"/>
      <c r="W385" s="2556"/>
      <c r="X385" s="2556"/>
      <c r="Y385" s="2556"/>
      <c r="Z385" s="2556"/>
      <c r="AA385" s="2556"/>
      <c r="AB385" s="2556"/>
      <c r="AC385" s="2556"/>
      <c r="AD385" s="2556"/>
      <c r="AE385" s="2556"/>
      <c r="AF385" s="2556"/>
      <c r="AG385" s="2556"/>
      <c r="AH385" s="2556"/>
      <c r="AI385" s="2556"/>
      <c r="AJ385" s="2556"/>
      <c r="AK385" s="2556"/>
      <c r="AL385" s="2556"/>
      <c r="AM385" s="2556"/>
      <c r="AN385" s="2556"/>
      <c r="AO385" s="2556"/>
      <c r="AP385" s="2556"/>
      <c r="AQ385" s="2556"/>
      <c r="AR385" s="2556"/>
      <c r="AS385" s="2556"/>
      <c r="AT385" s="2556"/>
      <c r="AU385" s="2556"/>
      <c r="AV385" s="2556"/>
      <c r="AW385" s="2556"/>
      <c r="AX385" s="2556"/>
      <c r="AY385" s="2556"/>
      <c r="AZ385" s="2556"/>
      <c r="BA385" s="2556"/>
      <c r="BB385" s="2556"/>
      <c r="BC385" s="2556"/>
      <c r="BD385" s="2556"/>
      <c r="BE385" s="2556"/>
      <c r="BF385" s="2556"/>
      <c r="BG385" s="2556"/>
      <c r="BH385" s="2556"/>
      <c r="BI385" s="2556"/>
      <c r="BJ385" s="2556"/>
      <c r="BK385" s="2556"/>
      <c r="BL385" s="2556"/>
      <c r="BM385" s="2556"/>
      <c r="BN385" s="2556"/>
      <c r="BO385" s="2556"/>
      <c r="BP385" s="2556"/>
      <c r="BQ385" s="2556"/>
      <c r="BR385" s="2556"/>
      <c r="BS385" s="2556"/>
      <c r="BT385" s="2556"/>
      <c r="BU385" s="2556"/>
      <c r="BV385" s="2556"/>
      <c r="BW385" s="2556"/>
      <c r="BX385" s="2556"/>
      <c r="BY385" s="2556"/>
      <c r="BZ385" s="2556"/>
      <c r="CA385" s="2556"/>
      <c r="CB385" s="2556"/>
      <c r="CC385" s="2556"/>
      <c r="CD385" s="2556"/>
      <c r="CE385" s="2556"/>
      <c r="CF385" s="2556"/>
      <c r="CG385" s="2556"/>
      <c r="CH385" s="2556"/>
      <c r="CI385" s="2556"/>
      <c r="CJ385" s="2556"/>
      <c r="CK385" s="2556"/>
      <c r="CL385" s="2556"/>
      <c r="CM385" s="2556"/>
      <c r="CN385" s="2556"/>
      <c r="CO385" s="2556"/>
      <c r="CP385" s="2556"/>
      <c r="CQ385" s="2556"/>
      <c r="CR385" s="2556"/>
      <c r="CS385" s="2556"/>
      <c r="CT385" s="2556"/>
      <c r="CU385" s="2556"/>
      <c r="CV385" s="2556"/>
      <c r="CW385" s="2556"/>
      <c r="CX385" s="2556"/>
      <c r="CY385" s="2556"/>
      <c r="CZ385" s="2556"/>
      <c r="DA385" s="2556"/>
      <c r="DB385" s="2556"/>
      <c r="DC385" s="2556"/>
      <c r="DD385" s="2556"/>
    </row>
    <row r="386" spans="1:256" s="2612" customFormat="1" ht="27" customHeight="1">
      <c r="A386" s="1336"/>
      <c r="B386" s="1056"/>
      <c r="C386" s="1057"/>
      <c r="D386" s="1062" t="s">
        <v>6546</v>
      </c>
      <c r="E386" s="1057"/>
      <c r="F386" s="1063"/>
      <c r="G386" s="1058"/>
      <c r="H386" s="4063"/>
      <c r="I386" s="1059"/>
      <c r="J386" s="4855"/>
      <c r="K386" s="4855"/>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2303" customFormat="1" ht="40.5" customHeight="1">
      <c r="A387" s="3750"/>
      <c r="B387" s="3695"/>
      <c r="C387" s="3695"/>
      <c r="D387" s="4483" t="s">
        <v>10666</v>
      </c>
      <c r="E387" s="3695"/>
      <c r="F387" s="4484"/>
      <c r="G387" s="3709"/>
      <c r="H387" s="3816"/>
      <c r="I387" s="3726"/>
      <c r="J387" s="5273"/>
      <c r="K387" s="4989"/>
      <c r="L387" s="4989"/>
      <c r="M387" s="4989"/>
      <c r="N387" s="4989"/>
      <c r="O387" s="4989"/>
      <c r="P387" s="4990"/>
      <c r="Q387" s="4990"/>
    </row>
    <row r="388" spans="1:256" s="2612" customFormat="1" ht="27" customHeight="1">
      <c r="A388" s="3525"/>
      <c r="B388" s="3575"/>
      <c r="C388" s="3536"/>
      <c r="D388" s="3548" t="s">
        <v>10667</v>
      </c>
      <c r="E388" s="3536"/>
      <c r="F388" s="3530"/>
      <c r="G388" s="3528"/>
      <c r="H388" s="3905"/>
      <c r="I388" s="3726"/>
      <c r="J388" s="4855"/>
      <c r="K388" s="2556"/>
      <c r="L388" s="2556"/>
      <c r="M388" s="4973"/>
      <c r="N388" s="2556"/>
      <c r="O388" s="2556"/>
      <c r="P388" s="2556"/>
      <c r="Q388" s="2556"/>
      <c r="R388" s="2556"/>
      <c r="S388" s="2556"/>
      <c r="T388" s="2556"/>
      <c r="U388" s="2556"/>
      <c r="V388" s="2556"/>
      <c r="W388" s="2556"/>
      <c r="X388" s="2556"/>
      <c r="Y388" s="2556"/>
      <c r="Z388" s="2556"/>
      <c r="AA388" s="2556"/>
      <c r="AB388" s="2556"/>
      <c r="AC388" s="2556"/>
      <c r="AD388" s="2556"/>
      <c r="AE388" s="2556"/>
      <c r="AF388" s="2556"/>
      <c r="AG388" s="2556"/>
      <c r="AH388" s="2556"/>
      <c r="AI388" s="2556"/>
      <c r="AJ388" s="2556"/>
      <c r="AK388" s="2556"/>
      <c r="AL388" s="2556"/>
      <c r="AM388" s="2556"/>
      <c r="AN388" s="2556"/>
      <c r="AO388" s="2556"/>
      <c r="AP388" s="2556"/>
      <c r="AQ388" s="2556"/>
      <c r="AR388" s="2556"/>
      <c r="AS388" s="2556"/>
      <c r="AT388" s="2556"/>
      <c r="AU388" s="2556"/>
      <c r="AV388" s="2556"/>
      <c r="AW388" s="2556"/>
      <c r="AX388" s="2556"/>
      <c r="AY388" s="2556"/>
      <c r="AZ388" s="2556"/>
      <c r="BA388" s="2556"/>
      <c r="BB388" s="2556"/>
      <c r="BC388" s="2556"/>
      <c r="BD388" s="2556"/>
      <c r="BE388" s="2556"/>
      <c r="BF388" s="2556"/>
      <c r="BG388" s="2556"/>
      <c r="BH388" s="2556"/>
      <c r="BI388" s="2556"/>
      <c r="BJ388" s="2556"/>
      <c r="BK388" s="2556"/>
      <c r="BL388" s="2556"/>
      <c r="BM388" s="2556"/>
      <c r="BN388" s="2556"/>
      <c r="BO388" s="2556"/>
      <c r="BP388" s="2556"/>
      <c r="BQ388" s="2556"/>
      <c r="BR388" s="2556"/>
      <c r="BS388" s="2556"/>
      <c r="BT388" s="2556"/>
      <c r="BU388" s="2556"/>
      <c r="BV388" s="2556"/>
      <c r="BW388" s="2556"/>
      <c r="BX388" s="2556"/>
      <c r="BY388" s="2556"/>
      <c r="BZ388" s="2556"/>
      <c r="CA388" s="2556"/>
      <c r="CB388" s="2556"/>
      <c r="CC388" s="2556"/>
      <c r="CD388" s="2556"/>
      <c r="CE388" s="2556"/>
      <c r="CF388" s="2556"/>
      <c r="CG388" s="2556"/>
      <c r="CH388" s="2556"/>
      <c r="CI388" s="2556"/>
      <c r="CJ388" s="2556"/>
      <c r="CK388" s="2556"/>
      <c r="CL388" s="2556"/>
      <c r="CM388" s="2556"/>
      <c r="CN388" s="2556"/>
      <c r="CO388" s="2556"/>
      <c r="CP388" s="2556"/>
      <c r="CQ388" s="2556"/>
      <c r="CR388" s="2556"/>
      <c r="CS388" s="2556"/>
      <c r="CT388" s="2556"/>
      <c r="CU388" s="2556"/>
      <c r="CV388" s="2556"/>
      <c r="CW388" s="2556"/>
      <c r="CX388" s="2556"/>
      <c r="CY388" s="2556"/>
      <c r="CZ388" s="2556"/>
      <c r="DA388" s="2556"/>
      <c r="DB388" s="2556"/>
      <c r="DC388" s="2556"/>
      <c r="DD388" s="2556"/>
    </row>
    <row r="389" spans="1:256" s="1061" customFormat="1" ht="13.5" customHeight="1">
      <c r="A389" s="1336">
        <v>63</v>
      </c>
      <c r="B389" s="339" t="s">
        <v>7943</v>
      </c>
      <c r="C389" s="1057">
        <v>998751202</v>
      </c>
      <c r="D389" s="1057" t="s">
        <v>7944</v>
      </c>
      <c r="E389" s="1057" t="s">
        <v>8</v>
      </c>
      <c r="F389" s="1071">
        <v>0.55000000000000004</v>
      </c>
      <c r="G389" s="1081"/>
      <c r="H389" s="3789">
        <f>ROUND(F389*G389,2)</f>
        <v>0</v>
      </c>
      <c r="I389" s="1059" t="s">
        <v>142</v>
      </c>
      <c r="J389" s="5262"/>
    </row>
    <row r="390" spans="1:256" customFormat="1" ht="13.5" customHeight="1">
      <c r="A390" s="1336">
        <v>64</v>
      </c>
      <c r="B390" s="339" t="s">
        <v>188</v>
      </c>
      <c r="C390" s="2604" t="s">
        <v>7945</v>
      </c>
      <c r="D390" s="2604" t="s">
        <v>7946</v>
      </c>
      <c r="E390" s="2604" t="s">
        <v>191</v>
      </c>
      <c r="F390" s="1071">
        <f>ROUND(SUM(F391),3)</f>
        <v>20</v>
      </c>
      <c r="G390" s="1058"/>
      <c r="H390" s="3789">
        <f>ROUND(F390*G390,2)</f>
        <v>0</v>
      </c>
      <c r="I390" s="1059" t="s">
        <v>142</v>
      </c>
    </row>
    <row r="391" spans="1:256" customFormat="1" ht="13.5" customHeight="1">
      <c r="A391" s="2435"/>
      <c r="B391" s="2604"/>
      <c r="C391" s="2604"/>
      <c r="D391" s="2605" t="s">
        <v>7947</v>
      </c>
      <c r="E391" s="2604"/>
      <c r="F391" s="2606">
        <v>20</v>
      </c>
      <c r="G391" s="1058"/>
      <c r="H391" s="4063"/>
      <c r="I391" s="2607"/>
    </row>
    <row r="392" spans="1:256" s="1102" customFormat="1" ht="27" customHeight="1">
      <c r="A392" s="2435"/>
      <c r="B392" s="2604"/>
      <c r="C392" s="2604"/>
      <c r="D392" s="2605" t="s">
        <v>7948</v>
      </c>
      <c r="E392" s="2604"/>
      <c r="F392" s="3583"/>
      <c r="G392" s="1058"/>
      <c r="H392" s="4063"/>
      <c r="I392" s="2607"/>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8080</v>
      </c>
      <c r="E393" s="1267"/>
      <c r="F393" s="1401"/>
      <c r="G393" s="1269"/>
      <c r="H393" s="4061">
        <f>SUM(H394:H425)</f>
        <v>0</v>
      </c>
      <c r="I393" s="1069"/>
      <c r="J393" s="5274"/>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8081</v>
      </c>
      <c r="D394" s="344" t="s">
        <v>8082</v>
      </c>
      <c r="E394" s="344" t="s">
        <v>191</v>
      </c>
      <c r="F394" s="1071">
        <f>ROUND(SUM(F395),3)</f>
        <v>72</v>
      </c>
      <c r="G394" s="331"/>
      <c r="H394" s="3789">
        <f>ROUND(F394*G394,2)</f>
        <v>0</v>
      </c>
      <c r="I394" s="1059" t="s">
        <v>60</v>
      </c>
      <c r="J394" s="5125"/>
    </row>
    <row r="395" spans="1:256" s="245" customFormat="1" ht="54" customHeight="1">
      <c r="A395" s="759"/>
      <c r="B395" s="542"/>
      <c r="C395" s="543"/>
      <c r="D395" s="4466" t="s">
        <v>8083</v>
      </c>
      <c r="E395" s="240"/>
      <c r="F395" s="552">
        <v>72</v>
      </c>
      <c r="G395" s="242"/>
      <c r="H395" s="3801"/>
      <c r="I395" s="447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8084</v>
      </c>
      <c r="D396" s="344" t="s">
        <v>8085</v>
      </c>
      <c r="E396" s="344" t="s">
        <v>23</v>
      </c>
      <c r="F396" s="1071">
        <f>ROUND(SUM(F397),3)</f>
        <v>1</v>
      </c>
      <c r="G396" s="331"/>
      <c r="H396" s="3789">
        <f>ROUND(F396*G396,2)</f>
        <v>0</v>
      </c>
      <c r="I396" s="1059" t="s">
        <v>60</v>
      </c>
      <c r="J396" s="5257"/>
      <c r="K396" s="4982"/>
    </row>
    <row r="397" spans="1:256" s="333" customFormat="1" ht="13.5" customHeight="1">
      <c r="A397" s="741"/>
      <c r="B397" s="339"/>
      <c r="C397" s="2604"/>
      <c r="D397" s="349" t="s">
        <v>8086</v>
      </c>
      <c r="E397" s="344"/>
      <c r="F397" s="552">
        <v>1</v>
      </c>
      <c r="G397" s="331"/>
      <c r="H397" s="4067"/>
      <c r="I397" s="1059"/>
      <c r="J397" s="5123"/>
      <c r="M397" s="5125"/>
    </row>
    <row r="398" spans="1:256" s="245" customFormat="1" ht="27" customHeight="1">
      <c r="A398" s="759"/>
      <c r="B398" s="542"/>
      <c r="C398" s="543"/>
      <c r="D398" s="349" t="s">
        <v>8087</v>
      </c>
      <c r="E398" s="240"/>
      <c r="G398" s="242"/>
      <c r="H398" s="3801"/>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8088</v>
      </c>
      <c r="D399" s="344" t="s">
        <v>8089</v>
      </c>
      <c r="E399" s="344" t="s">
        <v>23</v>
      </c>
      <c r="F399" s="1071">
        <f>ROUND(SUM(F400),3)</f>
        <v>1</v>
      </c>
      <c r="G399" s="331"/>
      <c r="H399" s="3789">
        <f>ROUND(F399*G399,2)</f>
        <v>0</v>
      </c>
      <c r="I399" s="1059" t="s">
        <v>60</v>
      </c>
      <c r="J399" s="5257"/>
      <c r="K399" s="4982"/>
    </row>
    <row r="400" spans="1:256" s="333" customFormat="1" ht="13.5" customHeight="1">
      <c r="A400" s="741"/>
      <c r="B400" s="339"/>
      <c r="C400" s="2604"/>
      <c r="D400" s="349" t="s">
        <v>8090</v>
      </c>
      <c r="E400" s="344"/>
      <c r="F400" s="552">
        <v>1</v>
      </c>
      <c r="G400" s="331"/>
      <c r="H400" s="4067"/>
      <c r="I400" s="1059"/>
      <c r="J400" s="5123"/>
      <c r="M400" s="5125"/>
    </row>
    <row r="401" spans="1:256" s="245" customFormat="1" ht="13.5" customHeight="1">
      <c r="A401" s="759"/>
      <c r="B401" s="542"/>
      <c r="C401" s="543"/>
      <c r="D401" s="349" t="s">
        <v>8091</v>
      </c>
      <c r="E401" s="240"/>
      <c r="G401" s="242"/>
      <c r="H401" s="3801"/>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7943</v>
      </c>
      <c r="C402" s="2604" t="s">
        <v>8092</v>
      </c>
      <c r="D402" s="344" t="s">
        <v>8093</v>
      </c>
      <c r="E402" s="344" t="s">
        <v>141</v>
      </c>
      <c r="F402" s="1071">
        <f>ROUND(SUM(F404),3)</f>
        <v>24.9</v>
      </c>
      <c r="G402" s="331"/>
      <c r="H402" s="3789">
        <f>ROUND(F402*G402,2)</f>
        <v>0</v>
      </c>
      <c r="I402" s="1059" t="s">
        <v>60</v>
      </c>
      <c r="J402" s="5123"/>
      <c r="M402" s="5125"/>
    </row>
    <row r="403" spans="1:256" s="333" customFormat="1" ht="13.5" customHeight="1">
      <c r="A403" s="741"/>
      <c r="B403" s="339"/>
      <c r="C403" s="2604"/>
      <c r="D403" s="349" t="s">
        <v>8094</v>
      </c>
      <c r="E403" s="344"/>
      <c r="F403" s="1646"/>
      <c r="G403" s="331"/>
      <c r="H403" s="4067"/>
      <c r="I403" s="1059"/>
      <c r="J403" s="5123"/>
      <c r="M403" s="5125"/>
    </row>
    <row r="404" spans="1:256" s="333" customFormat="1" ht="13.5" customHeight="1">
      <c r="A404" s="741"/>
      <c r="B404" s="339"/>
      <c r="C404" s="2604"/>
      <c r="D404" s="349" t="s">
        <v>8095</v>
      </c>
      <c r="E404" s="344"/>
      <c r="F404" s="552">
        <f>(10.4+0.8+0.7)+(2)+(5.1+1.5+1.5+2.9)</f>
        <v>24.9</v>
      </c>
      <c r="G404" s="331"/>
      <c r="H404" s="4067"/>
      <c r="I404" s="1059"/>
      <c r="J404" s="5123"/>
      <c r="M404" s="5125"/>
    </row>
    <row r="405" spans="1:256" s="2613" customFormat="1" ht="27.75" customHeight="1">
      <c r="A405" s="4485"/>
      <c r="B405" s="4486"/>
      <c r="C405" s="4486"/>
      <c r="D405" s="349" t="s">
        <v>8096</v>
      </c>
      <c r="E405" s="4486"/>
      <c r="F405" s="4487"/>
      <c r="G405" s="4488"/>
      <c r="H405" s="4068"/>
      <c r="I405" s="351"/>
      <c r="J405" s="5126"/>
    </row>
    <row r="406" spans="1:256" s="2613" customFormat="1" ht="13.5" customHeight="1">
      <c r="A406" s="4485"/>
      <c r="B406" s="4486"/>
      <c r="C406" s="4486"/>
      <c r="D406" s="4489" t="s">
        <v>8097</v>
      </c>
      <c r="E406" s="344"/>
      <c r="F406" s="1646"/>
      <c r="G406" s="331"/>
      <c r="H406" s="4067"/>
      <c r="I406" s="1059"/>
      <c r="J406" s="5126"/>
    </row>
    <row r="407" spans="1:256" s="333" customFormat="1" ht="13.5" customHeight="1">
      <c r="A407" s="741">
        <v>69</v>
      </c>
      <c r="B407" s="339" t="s">
        <v>7943</v>
      </c>
      <c r="C407" s="2604" t="s">
        <v>8098</v>
      </c>
      <c r="D407" s="344" t="s">
        <v>8099</v>
      </c>
      <c r="E407" s="344" t="s">
        <v>141</v>
      </c>
      <c r="F407" s="1071">
        <f>ROUND(SUM(F409),3)</f>
        <v>16.8</v>
      </c>
      <c r="G407" s="331"/>
      <c r="H407" s="3789">
        <f>ROUND(F407*G407,2)</f>
        <v>0</v>
      </c>
      <c r="I407" s="1059" t="s">
        <v>60</v>
      </c>
      <c r="J407" s="5123"/>
      <c r="M407" s="5125"/>
    </row>
    <row r="408" spans="1:256" s="333" customFormat="1" ht="13.5" customHeight="1">
      <c r="A408" s="741"/>
      <c r="B408" s="339"/>
      <c r="C408" s="2604"/>
      <c r="D408" s="349" t="s">
        <v>8100</v>
      </c>
      <c r="E408" s="344"/>
      <c r="F408" s="1646"/>
      <c r="G408" s="331"/>
      <c r="H408" s="4067"/>
      <c r="I408" s="1059"/>
      <c r="J408" s="5123"/>
      <c r="M408" s="5125"/>
    </row>
    <row r="409" spans="1:256" s="333" customFormat="1" ht="13.5" customHeight="1">
      <c r="A409" s="741"/>
      <c r="B409" s="339"/>
      <c r="C409" s="2604"/>
      <c r="D409" s="349" t="s">
        <v>8101</v>
      </c>
      <c r="E409" s="344"/>
      <c r="F409" s="552">
        <f>(3.5)+(3.8)+(1.7)+(4)+(1.8)+(2)</f>
        <v>16.8</v>
      </c>
      <c r="G409" s="331"/>
      <c r="H409" s="4067"/>
      <c r="I409" s="1059"/>
      <c r="J409" s="5123"/>
      <c r="M409" s="5125"/>
    </row>
    <row r="410" spans="1:256" s="2613" customFormat="1" ht="27.75" customHeight="1">
      <c r="A410" s="4485"/>
      <c r="B410" s="4486"/>
      <c r="C410" s="4486"/>
      <c r="D410" s="349" t="s">
        <v>8096</v>
      </c>
      <c r="E410" s="4486"/>
      <c r="F410" s="4487"/>
      <c r="G410" s="4488"/>
      <c r="H410" s="4068"/>
      <c r="I410" s="351"/>
      <c r="J410" s="5126"/>
    </row>
    <row r="411" spans="1:256" s="2613" customFormat="1" ht="13.5" customHeight="1">
      <c r="A411" s="4485"/>
      <c r="B411" s="4486"/>
      <c r="C411" s="4486"/>
      <c r="D411" s="4489" t="s">
        <v>8097</v>
      </c>
      <c r="E411" s="344"/>
      <c r="F411" s="1646"/>
      <c r="G411" s="331"/>
      <c r="H411" s="4067"/>
      <c r="I411" s="1059"/>
      <c r="J411" s="5126"/>
    </row>
    <row r="412" spans="1:256" s="2595" customFormat="1" ht="13.5" customHeight="1">
      <c r="A412" s="741">
        <v>70</v>
      </c>
      <c r="B412" s="339">
        <v>751</v>
      </c>
      <c r="C412" s="344" t="s">
        <v>8102</v>
      </c>
      <c r="D412" s="2550" t="s">
        <v>8103</v>
      </c>
      <c r="E412" s="2550" t="s">
        <v>23</v>
      </c>
      <c r="F412" s="1071">
        <f>ROUND(SUM(F413),3)</f>
        <v>1</v>
      </c>
      <c r="G412" s="2557"/>
      <c r="H412" s="3789">
        <f>ROUND(F412*G412,2)</f>
        <v>0</v>
      </c>
      <c r="I412" s="2551"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95" customFormat="1" ht="27" customHeight="1">
      <c r="A413" s="2614"/>
      <c r="B413" s="2550"/>
      <c r="C413" s="2550"/>
      <c r="D413" s="2553" t="s">
        <v>8104</v>
      </c>
      <c r="E413" s="2550"/>
      <c r="F413" s="2554">
        <v>1</v>
      </c>
      <c r="G413" s="2557"/>
      <c r="H413" s="3997"/>
      <c r="I413" s="2551"/>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95" customFormat="1" ht="27" customHeight="1">
      <c r="A414" s="2614"/>
      <c r="B414" s="2550"/>
      <c r="C414" s="2550"/>
      <c r="D414" s="2553" t="s">
        <v>8105</v>
      </c>
      <c r="E414" s="2550"/>
      <c r="F414" s="3582"/>
      <c r="G414" s="2557"/>
      <c r="H414" s="3997"/>
      <c r="I414" s="2551"/>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614">
        <v>71</v>
      </c>
      <c r="B415" s="1056">
        <v>751</v>
      </c>
      <c r="C415" s="1057" t="s">
        <v>8106</v>
      </c>
      <c r="D415" s="1057" t="s">
        <v>8107</v>
      </c>
      <c r="E415" s="2550" t="s">
        <v>23</v>
      </c>
      <c r="F415" s="1071">
        <f>ROUND(SUM(F416),3)</f>
        <v>1</v>
      </c>
      <c r="G415" s="2557"/>
      <c r="H415" s="3789">
        <f>ROUND(F415*G415,2)</f>
        <v>0</v>
      </c>
      <c r="I415" s="2551" t="s">
        <v>60</v>
      </c>
    </row>
    <row r="416" spans="1:256" s="1061" customFormat="1" ht="40.5" customHeight="1">
      <c r="A416" s="1336"/>
      <c r="B416" s="1057"/>
      <c r="C416" s="1057"/>
      <c r="D416" s="1062" t="s">
        <v>8108</v>
      </c>
      <c r="E416" s="4490"/>
      <c r="F416" s="1063">
        <v>1</v>
      </c>
      <c r="G416" s="1058"/>
      <c r="H416" s="4063"/>
      <c r="I416" s="2607"/>
      <c r="J416" s="4855"/>
      <c r="K416" s="5275"/>
    </row>
    <row r="417" spans="1:256" s="245" customFormat="1" ht="67.5" customHeight="1">
      <c r="A417" s="759"/>
      <c r="B417" s="542"/>
      <c r="C417" s="543"/>
      <c r="D417" s="4466" t="s">
        <v>8109</v>
      </c>
      <c r="E417" s="240"/>
      <c r="F417" s="552"/>
      <c r="G417" s="242"/>
      <c r="H417" s="3801"/>
      <c r="I417" s="447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91" t="s">
        <v>7943</v>
      </c>
      <c r="C418" s="2550" t="s">
        <v>8110</v>
      </c>
      <c r="D418" s="2550" t="s">
        <v>8111</v>
      </c>
      <c r="E418" s="2550" t="s">
        <v>23</v>
      </c>
      <c r="F418" s="1071">
        <f>ROUND(SUM(F419),3)</f>
        <v>1</v>
      </c>
      <c r="G418" s="2557"/>
      <c r="H418" s="3789">
        <f>ROUND(F418*G418,2)</f>
        <v>0</v>
      </c>
      <c r="I418" s="1059" t="s">
        <v>60</v>
      </c>
      <c r="J418" s="485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612" customFormat="1" ht="13.5" customHeight="1">
      <c r="A419" s="2614"/>
      <c r="B419" s="4491"/>
      <c r="C419" s="2550"/>
      <c r="D419" s="2553" t="s">
        <v>6926</v>
      </c>
      <c r="E419" s="2550"/>
      <c r="F419" s="2554">
        <v>1</v>
      </c>
      <c r="G419" s="2557"/>
      <c r="H419" s="3997"/>
      <c r="I419" s="2551"/>
      <c r="J419" s="4973"/>
      <c r="K419" s="2556"/>
      <c r="L419" s="2556"/>
      <c r="M419" s="4973"/>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c r="AK419" s="2556"/>
      <c r="AL419" s="2556"/>
      <c r="AM419" s="2556"/>
      <c r="AN419" s="2556"/>
      <c r="AO419" s="2556"/>
      <c r="AP419" s="2556"/>
      <c r="AQ419" s="2556"/>
      <c r="AR419" s="2556"/>
      <c r="AS419" s="2556"/>
      <c r="AT419" s="2556"/>
      <c r="AU419" s="2556"/>
      <c r="AV419" s="2556"/>
      <c r="AW419" s="2556"/>
      <c r="AX419" s="2556"/>
      <c r="AY419" s="2556"/>
      <c r="AZ419" s="2556"/>
      <c r="BA419" s="2556"/>
      <c r="BB419" s="2556"/>
      <c r="BC419" s="2556"/>
      <c r="BD419" s="2556"/>
      <c r="BE419" s="2556"/>
      <c r="BF419" s="2556"/>
      <c r="BG419" s="2556"/>
      <c r="BH419" s="2556"/>
      <c r="BI419" s="2556"/>
      <c r="BJ419" s="2556"/>
      <c r="BK419" s="2556"/>
      <c r="BL419" s="2556"/>
      <c r="BM419" s="2556"/>
      <c r="BN419" s="2556"/>
      <c r="BO419" s="2556"/>
      <c r="BP419" s="2556"/>
      <c r="BQ419" s="2556"/>
      <c r="BR419" s="2556"/>
      <c r="BS419" s="2556"/>
      <c r="BT419" s="2556"/>
      <c r="BU419" s="2556"/>
      <c r="BV419" s="2556"/>
      <c r="BW419" s="2556"/>
      <c r="BX419" s="2556"/>
      <c r="BY419" s="2556"/>
      <c r="BZ419" s="2556"/>
      <c r="CA419" s="2556"/>
      <c r="CB419" s="2556"/>
      <c r="CC419" s="2556"/>
      <c r="CD419" s="2556"/>
      <c r="CE419" s="2556"/>
      <c r="CF419" s="2556"/>
      <c r="CG419" s="2556"/>
      <c r="CH419" s="2556"/>
      <c r="CI419" s="2556"/>
      <c r="CJ419" s="2556"/>
      <c r="CK419" s="2556"/>
      <c r="CL419" s="2556"/>
      <c r="CM419" s="2556"/>
      <c r="CN419" s="2556"/>
      <c r="CO419" s="2556"/>
      <c r="CP419" s="2556"/>
      <c r="CQ419" s="2556"/>
      <c r="CR419" s="2556"/>
      <c r="CS419" s="2556"/>
      <c r="CT419" s="2556"/>
      <c r="CU419" s="2556"/>
      <c r="CV419" s="2556"/>
      <c r="CW419" s="2556"/>
      <c r="CX419" s="2556"/>
      <c r="CY419" s="2556"/>
      <c r="CZ419" s="2556"/>
      <c r="DA419" s="2556"/>
      <c r="DB419" s="2556"/>
      <c r="DC419" s="2556"/>
      <c r="DD419" s="2556"/>
    </row>
    <row r="420" spans="1:256" s="2306" customFormat="1" ht="13.5" customHeight="1">
      <c r="A420" s="4492">
        <v>73</v>
      </c>
      <c r="B420" s="4493" t="s">
        <v>7943</v>
      </c>
      <c r="C420" s="4494" t="s">
        <v>8112</v>
      </c>
      <c r="D420" s="4495" t="s">
        <v>8113</v>
      </c>
      <c r="E420" s="4495" t="s">
        <v>23</v>
      </c>
      <c r="F420" s="1071">
        <f>ROUND(SUM(F421),3)</f>
        <v>1</v>
      </c>
      <c r="G420" s="4496"/>
      <c r="H420" s="3789">
        <f>ROUND(F420*G420,2)</f>
        <v>0</v>
      </c>
      <c r="I420" s="4477" t="s">
        <v>60</v>
      </c>
    </row>
    <row r="421" spans="1:256" s="2308" customFormat="1" ht="27" customHeight="1">
      <c r="A421" s="4497"/>
      <c r="B421" s="4498"/>
      <c r="C421" s="4499"/>
      <c r="D421" s="4500" t="s">
        <v>8114</v>
      </c>
      <c r="E421" s="4499"/>
      <c r="F421" s="4501">
        <v>1</v>
      </c>
      <c r="G421" s="4502"/>
      <c r="H421" s="4069"/>
      <c r="I421" s="4477"/>
      <c r="J421" s="4862"/>
      <c r="K421" s="2307"/>
      <c r="L421" s="2307"/>
      <c r="M421" s="4863"/>
      <c r="N421" s="2307"/>
      <c r="O421" s="2307"/>
      <c r="P421" s="2307"/>
      <c r="Q421" s="2307"/>
      <c r="R421" s="2307"/>
      <c r="S421" s="2307"/>
      <c r="T421" s="2307"/>
      <c r="U421" s="2307"/>
      <c r="V421" s="2307"/>
      <c r="W421" s="2307"/>
      <c r="X421" s="2307"/>
      <c r="Y421" s="2307"/>
      <c r="Z421" s="2307"/>
      <c r="AA421" s="2307"/>
      <c r="AB421" s="2307"/>
      <c r="AC421" s="2307"/>
      <c r="AD421" s="2307"/>
      <c r="AE421" s="2307"/>
      <c r="AF421" s="2307"/>
      <c r="AG421" s="2307"/>
      <c r="AH421" s="2307"/>
      <c r="AI421" s="2307"/>
      <c r="AJ421" s="2307"/>
      <c r="AK421" s="2307"/>
      <c r="AL421" s="2307"/>
      <c r="AM421" s="2307"/>
      <c r="AN421" s="2307"/>
      <c r="AO421" s="2307"/>
      <c r="AP421" s="2307"/>
      <c r="AQ421" s="2307"/>
      <c r="AR421" s="2307"/>
      <c r="AS421" s="2307"/>
      <c r="AT421" s="2307"/>
      <c r="AU421" s="2307"/>
      <c r="AV421" s="2307"/>
      <c r="AW421" s="2307"/>
      <c r="AX421" s="2307"/>
      <c r="AY421" s="2307"/>
      <c r="AZ421" s="2307"/>
      <c r="BA421" s="2307"/>
      <c r="BB421" s="2307"/>
      <c r="BC421" s="2307"/>
      <c r="BD421" s="2307"/>
      <c r="BE421" s="2307"/>
      <c r="BF421" s="2307"/>
      <c r="BG421" s="2307"/>
      <c r="BH421" s="2307"/>
      <c r="BI421" s="2307"/>
      <c r="BJ421" s="2307"/>
      <c r="BK421" s="2307"/>
      <c r="BL421" s="2307"/>
      <c r="BM421" s="2307"/>
      <c r="BN421" s="2307"/>
      <c r="BO421" s="2307"/>
      <c r="BP421" s="2307"/>
      <c r="BQ421" s="2307"/>
      <c r="BR421" s="2307"/>
      <c r="BS421" s="2307"/>
      <c r="BT421" s="2307"/>
      <c r="BU421" s="2307"/>
      <c r="BV421" s="2307"/>
      <c r="BW421" s="2307"/>
      <c r="BX421" s="2307"/>
      <c r="BY421" s="2307"/>
      <c r="BZ421" s="2307"/>
      <c r="CA421" s="2307"/>
      <c r="CB421" s="2307"/>
      <c r="CC421" s="2307"/>
      <c r="CD421" s="2307"/>
      <c r="CE421" s="2307"/>
      <c r="CF421" s="2307"/>
      <c r="CG421" s="2307"/>
      <c r="CH421" s="2307"/>
      <c r="CI421" s="2307"/>
      <c r="CJ421" s="2307"/>
      <c r="CK421" s="2307"/>
      <c r="CL421" s="2307"/>
      <c r="CM421" s="2307"/>
      <c r="CN421" s="2307"/>
      <c r="CO421" s="2307"/>
      <c r="CP421" s="2307"/>
      <c r="CQ421" s="2307"/>
      <c r="CR421" s="2307"/>
      <c r="CS421" s="2307"/>
      <c r="CT421" s="2307"/>
      <c r="CU421" s="2307"/>
      <c r="CV421" s="2307"/>
      <c r="CW421" s="2307"/>
      <c r="CX421" s="2307"/>
      <c r="CY421" s="2307"/>
      <c r="CZ421" s="2307"/>
      <c r="DA421" s="2307"/>
      <c r="DB421" s="2307"/>
      <c r="DC421" s="2307"/>
      <c r="DD421" s="2307"/>
    </row>
    <row r="422" spans="1:256" s="1061" customFormat="1" ht="13.5" customHeight="1">
      <c r="A422" s="1336">
        <v>74</v>
      </c>
      <c r="B422" s="339" t="s">
        <v>7943</v>
      </c>
      <c r="C422" s="1057">
        <v>998751202</v>
      </c>
      <c r="D422" s="1057" t="s">
        <v>7944</v>
      </c>
      <c r="E422" s="1057" t="s">
        <v>8</v>
      </c>
      <c r="F422" s="1071">
        <v>0.55000000000000004</v>
      </c>
      <c r="G422" s="1081"/>
      <c r="H422" s="3789">
        <f>ROUND(F422*G422,2)</f>
        <v>0</v>
      </c>
      <c r="I422" s="1059" t="s">
        <v>142</v>
      </c>
      <c r="J422" s="5262"/>
    </row>
    <row r="423" spans="1:256" customFormat="1" ht="13.5" customHeight="1">
      <c r="A423" s="1336">
        <v>75</v>
      </c>
      <c r="B423" s="339" t="s">
        <v>188</v>
      </c>
      <c r="C423" s="2604" t="s">
        <v>7945</v>
      </c>
      <c r="D423" s="2604" t="s">
        <v>7946</v>
      </c>
      <c r="E423" s="2604" t="s">
        <v>191</v>
      </c>
      <c r="F423" s="1071">
        <f>ROUND(SUM(F424),3)</f>
        <v>20</v>
      </c>
      <c r="G423" s="1058"/>
      <c r="H423" s="3789">
        <f>ROUND(F423*G423,2)</f>
        <v>0</v>
      </c>
      <c r="I423" s="1059" t="s">
        <v>142</v>
      </c>
    </row>
    <row r="424" spans="1:256" customFormat="1" ht="13.5" customHeight="1">
      <c r="A424" s="2435"/>
      <c r="B424" s="2604"/>
      <c r="C424" s="2604"/>
      <c r="D424" s="2605" t="s">
        <v>7947</v>
      </c>
      <c r="E424" s="2604"/>
      <c r="F424" s="2606">
        <v>20</v>
      </c>
      <c r="G424" s="1058"/>
      <c r="H424" s="4063"/>
      <c r="I424" s="2607"/>
    </row>
    <row r="425" spans="1:256" s="1102" customFormat="1" ht="27" customHeight="1">
      <c r="A425" s="2435"/>
      <c r="B425" s="2604"/>
      <c r="C425" s="2604"/>
      <c r="D425" s="2605" t="s">
        <v>7948</v>
      </c>
      <c r="E425" s="2604"/>
      <c r="F425" s="3583"/>
      <c r="G425" s="1058"/>
      <c r="H425" s="4063"/>
      <c r="I425" s="2607"/>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8115</v>
      </c>
      <c r="E426" s="1267"/>
      <c r="F426" s="1401"/>
      <c r="G426" s="1269"/>
      <c r="H426" s="4061">
        <f>SUM(H427:H429,H434:H439,H444:H449,H454:H470,H475:H487)</f>
        <v>0</v>
      </c>
      <c r="I426" s="1069"/>
      <c r="J426" s="5274"/>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617" customFormat="1" ht="13.5" customHeight="1">
      <c r="A427" s="2615">
        <v>76</v>
      </c>
      <c r="B427" s="2616">
        <v>751</v>
      </c>
      <c r="C427" s="2616" t="s">
        <v>8116</v>
      </c>
      <c r="D427" s="2616" t="s">
        <v>8117</v>
      </c>
      <c r="E427" s="2616" t="s">
        <v>141</v>
      </c>
      <c r="F427" s="1071">
        <f>ROUND(SUM(F434),3)</f>
        <v>72.599999999999994</v>
      </c>
      <c r="G427" s="1081">
        <f>ROUND(SUM(H430:H433)/F427,2)</f>
        <v>0</v>
      </c>
      <c r="H427" s="3789">
        <f>ROUND(F427*G427,2)</f>
        <v>0</v>
      </c>
      <c r="I427" s="122" t="s">
        <v>60</v>
      </c>
      <c r="J427" s="5042"/>
      <c r="K427" s="5043"/>
      <c r="L427" s="5044"/>
      <c r="M427" s="5045"/>
      <c r="N427" s="5045"/>
      <c r="O427" s="5045"/>
      <c r="P427" s="5046"/>
      <c r="T427" s="5047"/>
    </row>
    <row r="428" spans="1:256" s="2617" customFormat="1" ht="13.5" customHeight="1">
      <c r="A428" s="2615"/>
      <c r="B428" s="2616"/>
      <c r="C428" s="2616"/>
      <c r="D428" s="2618" t="s">
        <v>8118</v>
      </c>
      <c r="E428" s="2616"/>
      <c r="F428" s="2619"/>
      <c r="G428" s="2620"/>
      <c r="H428" s="4070"/>
      <c r="I428" s="4478"/>
      <c r="J428" s="5042"/>
      <c r="K428" s="5043"/>
      <c r="L428" s="5044"/>
      <c r="M428" s="5045"/>
      <c r="N428" s="5045"/>
      <c r="O428" s="5045"/>
      <c r="P428" s="5046"/>
      <c r="T428" s="5047"/>
    </row>
    <row r="429" spans="1:256" s="2617" customFormat="1" ht="27" customHeight="1">
      <c r="A429" s="2621"/>
      <c r="B429" s="2622"/>
      <c r="C429" s="2623"/>
      <c r="D429" s="2618" t="s">
        <v>8119</v>
      </c>
      <c r="E429" s="2616"/>
      <c r="F429" s="2624"/>
      <c r="G429" s="2625"/>
      <c r="H429" s="4071"/>
      <c r="I429" s="4478"/>
      <c r="J429" s="5040"/>
      <c r="K429" s="5043"/>
      <c r="L429" s="5049"/>
      <c r="M429" s="5037"/>
      <c r="N429" s="1061"/>
      <c r="O429" s="1061"/>
      <c r="P429" s="5046"/>
      <c r="Q429" s="5050"/>
      <c r="R429" s="5051"/>
      <c r="T429" s="5047"/>
      <c r="U429" s="5052"/>
      <c r="V429" s="5053"/>
      <c r="W429" s="5053"/>
      <c r="X429" s="5046"/>
      <c r="Y429" s="1061"/>
    </row>
    <row r="430" spans="1:256" s="1061" customFormat="1" ht="27" customHeight="1">
      <c r="A430" s="1433" t="s">
        <v>8120</v>
      </c>
      <c r="B430" s="2627"/>
      <c r="C430" s="1089" t="s">
        <v>8121</v>
      </c>
      <c r="D430" s="1062" t="s">
        <v>8122</v>
      </c>
      <c r="E430" s="1089" t="s">
        <v>141</v>
      </c>
      <c r="F430" s="1063">
        <f>F427</f>
        <v>72.599999999999994</v>
      </c>
      <c r="G430" s="1266"/>
      <c r="H430" s="4064">
        <f t="shared" ref="H430:H433" si="11">ROUND(F430*G430,2)</f>
        <v>0</v>
      </c>
      <c r="I430" s="230" t="s">
        <v>644</v>
      </c>
      <c r="J430" s="5042"/>
      <c r="K430" s="5043"/>
      <c r="L430" s="5044"/>
      <c r="M430" s="5045"/>
      <c r="N430" s="5045"/>
      <c r="O430" s="5045"/>
      <c r="P430" s="5046"/>
      <c r="Q430" s="2617"/>
      <c r="R430" s="2617"/>
      <c r="T430" s="5047"/>
      <c r="U430" s="5028"/>
      <c r="W430" s="5054"/>
      <c r="X430" s="1421"/>
      <c r="Y430" s="5055"/>
      <c r="Z430" s="1091"/>
      <c r="AA430" s="1091"/>
      <c r="AB430" s="1091"/>
      <c r="AC430" s="1091"/>
      <c r="AD430" s="1091"/>
    </row>
    <row r="431" spans="1:256" s="1061" customFormat="1" ht="27" customHeight="1">
      <c r="A431" s="1433" t="s">
        <v>8123</v>
      </c>
      <c r="B431" s="2627"/>
      <c r="C431" s="1089" t="s">
        <v>8124</v>
      </c>
      <c r="D431" s="1062" t="s">
        <v>8125</v>
      </c>
      <c r="E431" s="1089" t="s">
        <v>141</v>
      </c>
      <c r="F431" s="1063">
        <f>(72.6)*1.05</f>
        <v>76.23</v>
      </c>
      <c r="G431" s="1266"/>
      <c r="H431" s="4064">
        <f t="shared" si="11"/>
        <v>0</v>
      </c>
      <c r="I431" s="230" t="s">
        <v>644</v>
      </c>
      <c r="J431" s="5042"/>
      <c r="K431" s="5043"/>
      <c r="L431" s="5044"/>
      <c r="M431" s="1091"/>
      <c r="N431" s="1091"/>
      <c r="O431" s="1091"/>
      <c r="P431" s="1091"/>
      <c r="Q431" s="1091"/>
      <c r="R431" s="5057"/>
      <c r="T431" s="5047"/>
      <c r="U431" s="5028"/>
      <c r="W431" s="5054"/>
      <c r="X431" s="1421"/>
      <c r="Y431" s="5055"/>
      <c r="Z431" s="1091"/>
      <c r="AA431" s="1091"/>
      <c r="AB431" s="1091"/>
      <c r="AC431" s="1091"/>
      <c r="AD431" s="1091"/>
    </row>
    <row r="432" spans="1:256" s="1061" customFormat="1" ht="27" customHeight="1">
      <c r="A432" s="1433" t="s">
        <v>8126</v>
      </c>
      <c r="B432" s="2627"/>
      <c r="C432" s="1089">
        <v>713411121</v>
      </c>
      <c r="D432" s="1062" t="s">
        <v>8127</v>
      </c>
      <c r="E432" s="1089" t="s">
        <v>611</v>
      </c>
      <c r="F432" s="1063">
        <f>(72.6)*1.82</f>
        <v>132.13200000000001</v>
      </c>
      <c r="G432" s="1266"/>
      <c r="H432" s="4064">
        <f t="shared" si="11"/>
        <v>0</v>
      </c>
      <c r="I432" s="230" t="s">
        <v>142</v>
      </c>
      <c r="J432" s="5042"/>
      <c r="K432" s="5043"/>
      <c r="L432" s="5049"/>
      <c r="M432" s="5037"/>
      <c r="P432" s="5046"/>
      <c r="Q432" s="5050"/>
      <c r="R432" s="5051"/>
      <c r="T432" s="5047"/>
      <c r="U432" s="5028"/>
      <c r="W432" s="5054"/>
      <c r="X432" s="1421"/>
      <c r="Y432" s="5055"/>
      <c r="Z432" s="1091"/>
      <c r="AA432" s="1091"/>
      <c r="AB432" s="1091"/>
      <c r="AC432" s="1091"/>
      <c r="AD432" s="1091"/>
    </row>
    <row r="433" spans="1:42" s="1061" customFormat="1" ht="27" customHeight="1">
      <c r="A433" s="1433" t="s">
        <v>8128</v>
      </c>
      <c r="B433" s="2627"/>
      <c r="C433" s="1281" t="s">
        <v>8129</v>
      </c>
      <c r="D433" s="1258" t="s">
        <v>8130</v>
      </c>
      <c r="E433" s="1281" t="s">
        <v>611</v>
      </c>
      <c r="F433" s="1415">
        <f>((72.6)*1.82)*1.1</f>
        <v>145.34520000000001</v>
      </c>
      <c r="G433" s="1282"/>
      <c r="H433" s="4065">
        <f t="shared" si="11"/>
        <v>0</v>
      </c>
      <c r="I433" s="1283" t="s">
        <v>644</v>
      </c>
      <c r="J433" s="5042"/>
      <c r="K433" s="5043"/>
      <c r="L433" s="5014"/>
      <c r="T433" s="5047"/>
      <c r="AA433" s="1091"/>
      <c r="AB433" s="1091"/>
      <c r="AC433" s="1091"/>
      <c r="AD433" s="1091"/>
    </row>
    <row r="434" spans="1:42" customFormat="1" ht="13.5" customHeight="1">
      <c r="A434" s="2435"/>
      <c r="B434" s="2604"/>
      <c r="C434" s="2604"/>
      <c r="D434" s="2605" t="s">
        <v>8131</v>
      </c>
      <c r="E434" s="2604"/>
      <c r="F434" s="2606">
        <f>(2.2)*33</f>
        <v>72.600000000000009</v>
      </c>
      <c r="G434" s="1058"/>
      <c r="H434" s="4063"/>
      <c r="I434" s="4479"/>
      <c r="J434" s="5058"/>
      <c r="K434" s="5015"/>
      <c r="L434" s="5056"/>
      <c r="M434" s="5071"/>
      <c r="N434" s="5071"/>
      <c r="O434" s="5059"/>
      <c r="P434" s="5059"/>
      <c r="Q434" s="5059"/>
      <c r="R434" s="5059"/>
      <c r="S434" s="5059"/>
      <c r="T434" s="5059"/>
      <c r="U434" s="5059"/>
      <c r="V434" s="52"/>
      <c r="W434" s="5059"/>
      <c r="X434" s="1277"/>
      <c r="Y434" s="1277"/>
      <c r="Z434" s="1470"/>
    </row>
    <row r="435" spans="1:42" s="2617" customFormat="1" ht="27" customHeight="1">
      <c r="A435" s="2621"/>
      <c r="B435" s="2622"/>
      <c r="C435" s="2623"/>
      <c r="D435" s="2618" t="s">
        <v>8132</v>
      </c>
      <c r="E435" s="2616"/>
      <c r="F435" s="2619"/>
      <c r="G435" s="2626"/>
      <c r="H435" s="4071"/>
      <c r="I435" s="4478"/>
      <c r="J435" s="5040"/>
      <c r="K435" s="5043"/>
      <c r="L435" s="5049"/>
      <c r="M435" s="5037"/>
      <c r="N435" s="1061"/>
      <c r="O435" s="1061"/>
      <c r="P435" s="5046"/>
      <c r="Q435" s="5050"/>
      <c r="R435" s="5051"/>
      <c r="S435" s="5047"/>
      <c r="T435" s="5045"/>
      <c r="U435" s="5052"/>
      <c r="V435" s="5053"/>
      <c r="W435" s="5053"/>
      <c r="X435" s="5046"/>
      <c r="Y435" s="1061"/>
    </row>
    <row r="436" spans="1:42" s="1061" customFormat="1" ht="27" customHeight="1">
      <c r="A436" s="1444"/>
      <c r="B436" s="2603"/>
      <c r="C436" s="1281"/>
      <c r="D436" s="1062" t="s">
        <v>8133</v>
      </c>
      <c r="E436" s="1281"/>
      <c r="F436" s="1415"/>
      <c r="G436" s="2656"/>
      <c r="H436" s="4072"/>
      <c r="I436" s="4480"/>
      <c r="J436" s="5069"/>
      <c r="K436" s="5061"/>
      <c r="L436" s="5008"/>
      <c r="M436" s="52"/>
      <c r="N436" s="52"/>
      <c r="P436" s="52"/>
      <c r="Q436" s="52"/>
      <c r="R436" s="2610"/>
      <c r="S436" s="5062"/>
      <c r="T436" s="52"/>
      <c r="U436" s="52"/>
      <c r="V436" s="52"/>
      <c r="W436" s="52"/>
      <c r="AA436" s="52"/>
      <c r="AB436" s="5063"/>
      <c r="AC436" s="52"/>
      <c r="AD436" s="5064"/>
      <c r="AE436" s="52"/>
      <c r="AF436" s="1277"/>
      <c r="AG436" s="1277"/>
      <c r="AH436" s="4854"/>
      <c r="AI436" s="1277"/>
      <c r="AJ436" s="1277"/>
      <c r="AK436" s="1277"/>
      <c r="AL436" s="1563"/>
      <c r="AM436" s="1277"/>
      <c r="AN436" s="1277"/>
      <c r="AO436" s="1277"/>
      <c r="AP436" s="1563"/>
    </row>
    <row r="437" spans="1:42" s="2617" customFormat="1" ht="13.5" customHeight="1">
      <c r="A437" s="2615">
        <v>77</v>
      </c>
      <c r="B437" s="2616">
        <v>751</v>
      </c>
      <c r="C437" s="2616" t="s">
        <v>8134</v>
      </c>
      <c r="D437" s="2616" t="s">
        <v>8135</v>
      </c>
      <c r="E437" s="2616" t="s">
        <v>141</v>
      </c>
      <c r="F437" s="1071">
        <f>ROUND(SUM(F444),3)</f>
        <v>6.6</v>
      </c>
      <c r="G437" s="1081">
        <f>ROUND(SUM(H440:H443)/F437,2)</f>
        <v>0</v>
      </c>
      <c r="H437" s="3789">
        <f>ROUND(F437*G437,2)</f>
        <v>0</v>
      </c>
      <c r="I437" s="122" t="s">
        <v>60</v>
      </c>
      <c r="J437" s="5042"/>
      <c r="K437" s="5043"/>
      <c r="L437" s="5044"/>
      <c r="M437" s="5045"/>
      <c r="N437" s="5045"/>
      <c r="O437" s="5045"/>
      <c r="P437" s="5046"/>
      <c r="T437" s="5047"/>
    </row>
    <row r="438" spans="1:42" s="2617" customFormat="1" ht="13.5" customHeight="1">
      <c r="A438" s="2615"/>
      <c r="B438" s="2616"/>
      <c r="C438" s="2616"/>
      <c r="D438" s="2618" t="s">
        <v>8136</v>
      </c>
      <c r="E438" s="2616"/>
      <c r="F438" s="2619"/>
      <c r="G438" s="2620"/>
      <c r="H438" s="4070"/>
      <c r="I438" s="4478"/>
      <c r="J438" s="5042"/>
      <c r="K438" s="5043"/>
      <c r="L438" s="5044"/>
      <c r="M438" s="5045"/>
      <c r="N438" s="5045"/>
      <c r="O438" s="5045"/>
      <c r="P438" s="5046"/>
      <c r="T438" s="5047"/>
    </row>
    <row r="439" spans="1:42" s="2617" customFormat="1" ht="27" customHeight="1">
      <c r="A439" s="2621"/>
      <c r="B439" s="2622"/>
      <c r="C439" s="2623"/>
      <c r="D439" s="2618" t="s">
        <v>8119</v>
      </c>
      <c r="E439" s="2616"/>
      <c r="F439" s="2624"/>
      <c r="G439" s="2625"/>
      <c r="H439" s="4071"/>
      <c r="I439" s="4478"/>
      <c r="J439" s="5040"/>
      <c r="K439" s="5043"/>
      <c r="L439" s="5049"/>
      <c r="M439" s="5037"/>
      <c r="N439" s="1061"/>
      <c r="O439" s="1061"/>
      <c r="P439" s="5046"/>
      <c r="Q439" s="5050"/>
      <c r="R439" s="5051"/>
      <c r="T439" s="5047"/>
      <c r="U439" s="5052"/>
      <c r="V439" s="5053"/>
      <c r="W439" s="5053"/>
      <c r="X439" s="5046"/>
      <c r="Y439" s="1061"/>
    </row>
    <row r="440" spans="1:42" s="1061" customFormat="1" ht="27" customHeight="1">
      <c r="A440" s="1433" t="s">
        <v>8137</v>
      </c>
      <c r="B440" s="2627"/>
      <c r="C440" s="1089" t="s">
        <v>8138</v>
      </c>
      <c r="D440" s="1062" t="s">
        <v>8139</v>
      </c>
      <c r="E440" s="1089" t="s">
        <v>141</v>
      </c>
      <c r="F440" s="1063">
        <f>F437</f>
        <v>6.6</v>
      </c>
      <c r="G440" s="1266"/>
      <c r="H440" s="4064">
        <f t="shared" ref="H440:H443" si="12">ROUND(F440*G440,2)</f>
        <v>0</v>
      </c>
      <c r="I440" s="230" t="s">
        <v>644</v>
      </c>
      <c r="J440" s="5042"/>
      <c r="K440" s="5043"/>
      <c r="L440" s="5044"/>
      <c r="M440" s="5045"/>
      <c r="N440" s="5045"/>
      <c r="O440" s="5045"/>
      <c r="P440" s="5046"/>
      <c r="Q440" s="2617"/>
      <c r="R440" s="2617"/>
      <c r="T440" s="5047"/>
      <c r="U440" s="5028"/>
      <c r="W440" s="5054"/>
      <c r="X440" s="1421"/>
      <c r="Y440" s="5055"/>
      <c r="Z440" s="1091"/>
      <c r="AA440" s="1091"/>
      <c r="AB440" s="1091"/>
      <c r="AC440" s="1091"/>
      <c r="AD440" s="1091"/>
    </row>
    <row r="441" spans="1:42" s="1061" customFormat="1" ht="27" customHeight="1">
      <c r="A441" s="1433" t="s">
        <v>8140</v>
      </c>
      <c r="B441" s="2627"/>
      <c r="C441" s="1089" t="s">
        <v>8124</v>
      </c>
      <c r="D441" s="1062" t="s">
        <v>8141</v>
      </c>
      <c r="E441" s="1089" t="s">
        <v>141</v>
      </c>
      <c r="F441" s="1063">
        <f>(6.6)*1.05</f>
        <v>6.93</v>
      </c>
      <c r="G441" s="1266"/>
      <c r="H441" s="4064">
        <f t="shared" si="12"/>
        <v>0</v>
      </c>
      <c r="I441" s="230" t="s">
        <v>644</v>
      </c>
      <c r="J441" s="5042"/>
      <c r="K441" s="5043"/>
      <c r="L441" s="5044"/>
      <c r="M441" s="1091"/>
      <c r="N441" s="1091"/>
      <c r="O441" s="1091"/>
      <c r="P441" s="1091"/>
      <c r="Q441" s="1091"/>
      <c r="R441" s="5057"/>
      <c r="T441" s="5047"/>
      <c r="U441" s="5028"/>
      <c r="W441" s="5054"/>
      <c r="X441" s="1421"/>
      <c r="Y441" s="5055"/>
      <c r="Z441" s="1091"/>
      <c r="AA441" s="1091"/>
      <c r="AB441" s="1091"/>
      <c r="AC441" s="1091"/>
      <c r="AD441" s="1091"/>
    </row>
    <row r="442" spans="1:42" s="1061" customFormat="1" ht="27" customHeight="1">
      <c r="A442" s="1433" t="s">
        <v>8142</v>
      </c>
      <c r="B442" s="2627"/>
      <c r="C442" s="1089">
        <v>713411121</v>
      </c>
      <c r="D442" s="1062" t="s">
        <v>8143</v>
      </c>
      <c r="E442" s="1089" t="s">
        <v>611</v>
      </c>
      <c r="F442" s="1063">
        <f>(6.6)*1.97</f>
        <v>13.001999999999999</v>
      </c>
      <c r="G442" s="1266"/>
      <c r="H442" s="4064">
        <f t="shared" si="12"/>
        <v>0</v>
      </c>
      <c r="I442" s="230" t="s">
        <v>142</v>
      </c>
      <c r="J442" s="5042"/>
      <c r="K442" s="5043"/>
      <c r="L442" s="5049"/>
      <c r="M442" s="5037"/>
      <c r="P442" s="5046"/>
      <c r="Q442" s="5050"/>
      <c r="R442" s="5051"/>
      <c r="T442" s="5047"/>
      <c r="U442" s="5028"/>
      <c r="W442" s="5054"/>
      <c r="X442" s="1421"/>
      <c r="Y442" s="5055"/>
      <c r="Z442" s="1091"/>
      <c r="AA442" s="1091"/>
      <c r="AB442" s="1091"/>
      <c r="AC442" s="1091"/>
      <c r="AD442" s="1091"/>
    </row>
    <row r="443" spans="1:42" s="1061" customFormat="1" ht="27" customHeight="1">
      <c r="A443" s="1444" t="s">
        <v>8144</v>
      </c>
      <c r="B443" s="2627"/>
      <c r="C443" s="1281" t="s">
        <v>8129</v>
      </c>
      <c r="D443" s="1258" t="s">
        <v>8145</v>
      </c>
      <c r="E443" s="1281" t="s">
        <v>611</v>
      </c>
      <c r="F443" s="1415">
        <f>((6.6)*1.97)*1.1</f>
        <v>14.302199999999999</v>
      </c>
      <c r="G443" s="1282"/>
      <c r="H443" s="4065">
        <f t="shared" si="12"/>
        <v>0</v>
      </c>
      <c r="I443" s="1283" t="s">
        <v>644</v>
      </c>
      <c r="J443" s="5042"/>
      <c r="K443" s="5043"/>
      <c r="L443" s="5014"/>
      <c r="T443" s="5047"/>
      <c r="AA443" s="1091"/>
      <c r="AB443" s="1091"/>
      <c r="AC443" s="1091"/>
      <c r="AD443" s="1091"/>
    </row>
    <row r="444" spans="1:42" customFormat="1" ht="13.5" customHeight="1">
      <c r="A444" s="2435"/>
      <c r="B444" s="2604"/>
      <c r="C444" s="2604"/>
      <c r="D444" s="2605" t="s">
        <v>8146</v>
      </c>
      <c r="E444" s="2604"/>
      <c r="F444" s="2606">
        <f>(0.2)*33</f>
        <v>6.6000000000000005</v>
      </c>
      <c r="G444" s="1058"/>
      <c r="H444" s="4063"/>
      <c r="I444" s="4479"/>
      <c r="J444" s="5058"/>
      <c r="K444" s="5015"/>
      <c r="L444" s="5056"/>
      <c r="M444" s="5071"/>
      <c r="N444" s="5071"/>
      <c r="O444" s="5059"/>
      <c r="P444" s="5059"/>
      <c r="Q444" s="5059"/>
      <c r="R444" s="5059"/>
      <c r="S444" s="5059"/>
      <c r="T444" s="5059"/>
      <c r="U444" s="5059"/>
      <c r="V444" s="52"/>
      <c r="W444" s="5059"/>
      <c r="X444" s="1277"/>
      <c r="Y444" s="1277"/>
      <c r="Z444" s="1470"/>
    </row>
    <row r="445" spans="1:42" s="2617" customFormat="1" ht="27" customHeight="1">
      <c r="A445" s="2621"/>
      <c r="B445" s="2622"/>
      <c r="C445" s="2623"/>
      <c r="D445" s="2618" t="s">
        <v>8132</v>
      </c>
      <c r="E445" s="2616"/>
      <c r="F445" s="2619"/>
      <c r="G445" s="2626"/>
      <c r="H445" s="4071"/>
      <c r="I445" s="4478"/>
      <c r="J445" s="5276"/>
      <c r="K445" s="5277"/>
      <c r="L445" s="5049"/>
      <c r="M445" s="5037"/>
      <c r="N445" s="1061"/>
      <c r="O445" s="1061"/>
      <c r="P445" s="5046"/>
      <c r="Q445" s="5050"/>
      <c r="R445" s="5051"/>
      <c r="S445" s="5047"/>
      <c r="T445" s="5045"/>
      <c r="U445" s="5052"/>
      <c r="V445" s="5053"/>
      <c r="W445" s="5053"/>
      <c r="X445" s="5046"/>
      <c r="Y445" s="1061"/>
    </row>
    <row r="446" spans="1:42" s="1061" customFormat="1" ht="27" customHeight="1">
      <c r="A446" s="1444"/>
      <c r="B446" s="2603"/>
      <c r="C446" s="1281"/>
      <c r="D446" s="1062" t="s">
        <v>8147</v>
      </c>
      <c r="E446" s="1281"/>
      <c r="F446" s="1415"/>
      <c r="G446" s="2656"/>
      <c r="H446" s="4072"/>
      <c r="I446" s="4480"/>
      <c r="J446" s="5069"/>
      <c r="K446" s="5061"/>
      <c r="L446" s="5008"/>
      <c r="M446" s="52"/>
      <c r="N446" s="52"/>
      <c r="P446" s="52"/>
      <c r="Q446" s="52"/>
      <c r="R446" s="2610"/>
      <c r="S446" s="5062"/>
      <c r="T446" s="52"/>
      <c r="U446" s="52"/>
      <c r="V446" s="52"/>
      <c r="W446" s="52"/>
      <c r="AA446" s="52"/>
      <c r="AB446" s="5063"/>
      <c r="AC446" s="52"/>
      <c r="AD446" s="5064"/>
      <c r="AE446" s="52"/>
      <c r="AF446" s="1277"/>
      <c r="AG446" s="1277"/>
      <c r="AH446" s="4854"/>
      <c r="AI446" s="1277"/>
      <c r="AJ446" s="1277"/>
      <c r="AK446" s="1277"/>
      <c r="AL446" s="1563"/>
      <c r="AM446" s="1277"/>
      <c r="AN446" s="1277"/>
      <c r="AO446" s="1277"/>
      <c r="AP446" s="1563"/>
    </row>
    <row r="447" spans="1:42" s="2617" customFormat="1" ht="13.5" customHeight="1">
      <c r="A447" s="2615">
        <v>78</v>
      </c>
      <c r="B447" s="2616">
        <v>751</v>
      </c>
      <c r="C447" s="2616" t="s">
        <v>8148</v>
      </c>
      <c r="D447" s="2616" t="s">
        <v>8149</v>
      </c>
      <c r="E447" s="2616" t="s">
        <v>141</v>
      </c>
      <c r="F447" s="1071">
        <f>ROUND(SUM(F454),3)</f>
        <v>6.6</v>
      </c>
      <c r="G447" s="1081">
        <f>ROUND(SUM(H450:H453)/F447,2)</f>
        <v>0</v>
      </c>
      <c r="H447" s="3789">
        <f>ROUND(F447*G447,2)</f>
        <v>0</v>
      </c>
      <c r="I447" s="122" t="s">
        <v>60</v>
      </c>
      <c r="J447" s="5042"/>
      <c r="K447" s="5043"/>
      <c r="L447" s="5044"/>
      <c r="M447" s="5045"/>
      <c r="N447" s="5045"/>
      <c r="O447" s="5045"/>
      <c r="P447" s="5046"/>
      <c r="T447" s="5047"/>
    </row>
    <row r="448" spans="1:42" s="2617" customFormat="1" ht="13.5" customHeight="1">
      <c r="A448" s="2615"/>
      <c r="B448" s="2616"/>
      <c r="C448" s="2616"/>
      <c r="D448" s="2618" t="s">
        <v>8150</v>
      </c>
      <c r="E448" s="2616"/>
      <c r="F448" s="2619"/>
      <c r="G448" s="2620"/>
      <c r="H448" s="4070"/>
      <c r="I448" s="4478"/>
      <c r="J448" s="5042"/>
      <c r="K448" s="5043"/>
      <c r="L448" s="5044"/>
      <c r="M448" s="5045"/>
      <c r="N448" s="5045"/>
      <c r="O448" s="5045"/>
      <c r="P448" s="5046"/>
      <c r="T448" s="5047"/>
    </row>
    <row r="449" spans="1:42" s="2617" customFormat="1" ht="27" customHeight="1">
      <c r="A449" s="2621"/>
      <c r="B449" s="2622"/>
      <c r="C449" s="2623"/>
      <c r="D449" s="2618" t="s">
        <v>8119</v>
      </c>
      <c r="E449" s="2616"/>
      <c r="F449" s="2624"/>
      <c r="G449" s="2625"/>
      <c r="H449" s="4071"/>
      <c r="I449" s="4478"/>
      <c r="J449" s="5040"/>
      <c r="K449" s="5043"/>
      <c r="L449" s="5049"/>
      <c r="M449" s="5037"/>
      <c r="N449" s="1061"/>
      <c r="O449" s="1061"/>
      <c r="P449" s="5046"/>
      <c r="Q449" s="5050"/>
      <c r="R449" s="5051"/>
      <c r="T449" s="5047"/>
      <c r="U449" s="5052"/>
      <c r="V449" s="5053"/>
      <c r="W449" s="5053"/>
      <c r="X449" s="5046"/>
      <c r="Y449" s="1061"/>
    </row>
    <row r="450" spans="1:42" s="1061" customFormat="1" ht="27" customHeight="1">
      <c r="A450" s="1433" t="s">
        <v>8151</v>
      </c>
      <c r="B450" s="2627"/>
      <c r="C450" s="1089" t="s">
        <v>8138</v>
      </c>
      <c r="D450" s="1062" t="s">
        <v>8139</v>
      </c>
      <c r="E450" s="1089" t="s">
        <v>141</v>
      </c>
      <c r="F450" s="1063">
        <f>F447</f>
        <v>6.6</v>
      </c>
      <c r="G450" s="1266"/>
      <c r="H450" s="4064">
        <f t="shared" ref="H450:H453" si="13">ROUND(F450*G450,2)</f>
        <v>0</v>
      </c>
      <c r="I450" s="230" t="s">
        <v>644</v>
      </c>
      <c r="J450" s="5042"/>
      <c r="K450" s="5043"/>
      <c r="L450" s="5044"/>
      <c r="M450" s="5045"/>
      <c r="N450" s="5045"/>
      <c r="O450" s="5045"/>
      <c r="P450" s="5046"/>
      <c r="Q450" s="2617"/>
      <c r="R450" s="2617"/>
      <c r="T450" s="5047"/>
      <c r="U450" s="5028"/>
      <c r="W450" s="5054"/>
      <c r="X450" s="1421"/>
      <c r="Y450" s="5055"/>
      <c r="Z450" s="1091"/>
      <c r="AA450" s="1091"/>
      <c r="AB450" s="1091"/>
      <c r="AC450" s="1091"/>
      <c r="AD450" s="1091"/>
    </row>
    <row r="451" spans="1:42" s="1061" customFormat="1" ht="27" customHeight="1">
      <c r="A451" s="1433" t="s">
        <v>8152</v>
      </c>
      <c r="B451" s="2627"/>
      <c r="C451" s="1089" t="s">
        <v>8124</v>
      </c>
      <c r="D451" s="1062" t="s">
        <v>8141</v>
      </c>
      <c r="E451" s="1089" t="s">
        <v>141</v>
      </c>
      <c r="F451" s="1063">
        <f>(6.6)*1.05</f>
        <v>6.93</v>
      </c>
      <c r="G451" s="1266"/>
      <c r="H451" s="4064">
        <f t="shared" si="13"/>
        <v>0</v>
      </c>
      <c r="I451" s="230" t="s">
        <v>644</v>
      </c>
      <c r="J451" s="5042"/>
      <c r="K451" s="5043"/>
      <c r="L451" s="5044"/>
      <c r="M451" s="1091"/>
      <c r="N451" s="1091"/>
      <c r="O451" s="1091"/>
      <c r="P451" s="1091"/>
      <c r="Q451" s="1091"/>
      <c r="R451" s="5057"/>
      <c r="T451" s="5047"/>
      <c r="U451" s="5028"/>
      <c r="W451" s="5054"/>
      <c r="X451" s="1421"/>
      <c r="Y451" s="5055"/>
      <c r="Z451" s="1091"/>
      <c r="AA451" s="1091"/>
      <c r="AB451" s="1091"/>
      <c r="AC451" s="1091"/>
      <c r="AD451" s="1091"/>
    </row>
    <row r="452" spans="1:42" s="1061" customFormat="1" ht="27" customHeight="1">
      <c r="A452" s="1433" t="s">
        <v>8153</v>
      </c>
      <c r="B452" s="2627"/>
      <c r="C452" s="1089">
        <v>713411121</v>
      </c>
      <c r="D452" s="1062" t="s">
        <v>8154</v>
      </c>
      <c r="E452" s="1089" t="s">
        <v>611</v>
      </c>
      <c r="F452" s="1063">
        <f>(6.6)*2.08</f>
        <v>13.728</v>
      </c>
      <c r="G452" s="1266"/>
      <c r="H452" s="4064">
        <f t="shared" si="13"/>
        <v>0</v>
      </c>
      <c r="I452" s="230" t="s">
        <v>142</v>
      </c>
      <c r="J452" s="5042"/>
      <c r="K452" s="5043"/>
      <c r="L452" s="5049"/>
      <c r="M452" s="5037"/>
      <c r="P452" s="5046"/>
      <c r="Q452" s="5050"/>
      <c r="R452" s="5051"/>
      <c r="T452" s="5047"/>
      <c r="U452" s="5028"/>
      <c r="W452" s="5054"/>
      <c r="X452" s="1421"/>
      <c r="Y452" s="5055"/>
      <c r="Z452" s="1091"/>
      <c r="AA452" s="1091"/>
      <c r="AB452" s="1091"/>
      <c r="AC452" s="1091"/>
      <c r="AD452" s="1091"/>
    </row>
    <row r="453" spans="1:42" s="1061" customFormat="1" ht="27" customHeight="1">
      <c r="A453" s="1444" t="s">
        <v>8155</v>
      </c>
      <c r="B453" s="2627"/>
      <c r="C453" s="1281" t="s">
        <v>8129</v>
      </c>
      <c r="D453" s="1258" t="s">
        <v>8156</v>
      </c>
      <c r="E453" s="1281" t="s">
        <v>611</v>
      </c>
      <c r="F453" s="1415">
        <f>((6.6)*2.08)*1.1</f>
        <v>15.100800000000001</v>
      </c>
      <c r="G453" s="1282"/>
      <c r="H453" s="4065">
        <f t="shared" si="13"/>
        <v>0</v>
      </c>
      <c r="I453" s="1283" t="s">
        <v>644</v>
      </c>
      <c r="J453" s="5042"/>
      <c r="K453" s="5043"/>
      <c r="L453" s="5014"/>
      <c r="T453" s="5047"/>
      <c r="AA453" s="1091"/>
      <c r="AB453" s="1091"/>
      <c r="AC453" s="1091"/>
      <c r="AD453" s="1091"/>
    </row>
    <row r="454" spans="1:42" customFormat="1" ht="13.5" customHeight="1">
      <c r="A454" s="2435"/>
      <c r="B454" s="2604"/>
      <c r="C454" s="2604"/>
      <c r="D454" s="2605" t="s">
        <v>8157</v>
      </c>
      <c r="E454" s="2604"/>
      <c r="F454" s="2606">
        <f>(0.2)*33</f>
        <v>6.6000000000000005</v>
      </c>
      <c r="G454" s="1058"/>
      <c r="H454" s="4063"/>
      <c r="I454" s="4479"/>
      <c r="J454" s="5058"/>
      <c r="K454" s="5015"/>
      <c r="L454" s="5056"/>
      <c r="M454" s="5071"/>
      <c r="N454" s="5071"/>
      <c r="O454" s="5059"/>
      <c r="P454" s="5059"/>
      <c r="Q454" s="5059"/>
      <c r="R454" s="5059"/>
      <c r="S454" s="5059"/>
      <c r="T454" s="5059"/>
      <c r="U454" s="5059"/>
      <c r="V454" s="52"/>
      <c r="W454" s="5059"/>
      <c r="X454" s="1277"/>
      <c r="Y454" s="1277"/>
      <c r="Z454" s="1470"/>
    </row>
    <row r="455" spans="1:42" s="2617" customFormat="1" ht="27" customHeight="1">
      <c r="A455" s="2621"/>
      <c r="B455" s="2622"/>
      <c r="C455" s="2623"/>
      <c r="D455" s="2618" t="s">
        <v>8132</v>
      </c>
      <c r="E455" s="2616"/>
      <c r="F455" s="2619"/>
      <c r="G455" s="2626"/>
      <c r="H455" s="4071"/>
      <c r="I455" s="4478"/>
      <c r="J455" s="5276"/>
      <c r="K455" s="5043"/>
      <c r="L455" s="5049"/>
      <c r="M455" s="5037"/>
      <c r="N455" s="1061"/>
      <c r="O455" s="1061"/>
      <c r="P455" s="5046"/>
      <c r="Q455" s="5050"/>
      <c r="R455" s="5051"/>
      <c r="S455" s="5047"/>
      <c r="T455" s="5045"/>
      <c r="U455" s="5052"/>
      <c r="V455" s="5053"/>
      <c r="W455" s="5053"/>
      <c r="X455" s="5046"/>
      <c r="Y455" s="1061"/>
    </row>
    <row r="456" spans="1:42" s="1061" customFormat="1" ht="27" customHeight="1">
      <c r="A456" s="1444"/>
      <c r="B456" s="2603"/>
      <c r="C456" s="1281"/>
      <c r="D456" s="1062" t="s">
        <v>8158</v>
      </c>
      <c r="E456" s="1281"/>
      <c r="F456" s="1415"/>
      <c r="G456" s="2656"/>
      <c r="H456" s="4072"/>
      <c r="I456" s="4480"/>
      <c r="J456" s="5069"/>
      <c r="K456" s="5061"/>
      <c r="L456" s="5008"/>
      <c r="M456" s="52"/>
      <c r="N456" s="52"/>
      <c r="P456" s="52"/>
      <c r="Q456" s="52"/>
      <c r="R456" s="2610"/>
      <c r="S456" s="5062"/>
      <c r="T456" s="52"/>
      <c r="U456" s="52"/>
      <c r="V456" s="52"/>
      <c r="W456" s="52"/>
      <c r="AA456" s="52"/>
      <c r="AB456" s="5063"/>
      <c r="AC456" s="52"/>
      <c r="AD456" s="5064"/>
      <c r="AE456" s="52"/>
      <c r="AF456" s="1277"/>
      <c r="AG456" s="1277"/>
      <c r="AH456" s="4854"/>
      <c r="AI456" s="1277"/>
      <c r="AJ456" s="1277"/>
      <c r="AK456" s="1277"/>
      <c r="AL456" s="1563"/>
      <c r="AM456" s="1277"/>
      <c r="AN456" s="1277"/>
      <c r="AO456" s="1277"/>
      <c r="AP456" s="1563"/>
    </row>
    <row r="457" spans="1:42" ht="13.5" customHeight="1">
      <c r="A457" s="2559">
        <v>79</v>
      </c>
      <c r="B457" s="2550">
        <v>751</v>
      </c>
      <c r="C457" s="2550" t="s">
        <v>8159</v>
      </c>
      <c r="D457" s="1057" t="s">
        <v>8160</v>
      </c>
      <c r="E457" s="1057" t="s">
        <v>155</v>
      </c>
      <c r="F457" s="1071">
        <f>ROUND(SUM(F459:F461),3)</f>
        <v>33</v>
      </c>
      <c r="G457" s="1058"/>
      <c r="H457" s="3789">
        <f>ROUND(F457*G457,2)</f>
        <v>0</v>
      </c>
      <c r="I457" s="4477" t="s">
        <v>60</v>
      </c>
      <c r="J457" s="5077"/>
      <c r="Q457" s="5078"/>
    </row>
    <row r="458" spans="1:42" ht="13.5" customHeight="1">
      <c r="A458" s="2628"/>
      <c r="B458" s="2552"/>
      <c r="C458" s="2547"/>
      <c r="D458" s="1062" t="s">
        <v>8161</v>
      </c>
      <c r="E458" s="2547"/>
      <c r="F458" s="2629"/>
      <c r="G458" s="2657"/>
      <c r="H458" s="4073"/>
      <c r="I458" s="2551"/>
      <c r="J458" s="5086"/>
      <c r="K458" s="1061"/>
      <c r="L458" s="4854"/>
      <c r="M458" s="5093"/>
      <c r="P458" s="5094"/>
    </row>
    <row r="459" spans="1:42" ht="13.5" customHeight="1">
      <c r="A459" s="2628"/>
      <c r="B459" s="2552"/>
      <c r="C459" s="2547"/>
      <c r="D459" s="163" t="s">
        <v>6811</v>
      </c>
      <c r="E459" s="163"/>
      <c r="F459" s="200">
        <v>6</v>
      </c>
      <c r="G459" s="2657"/>
      <c r="H459" s="4073"/>
      <c r="I459" s="2551"/>
      <c r="J459" s="5080"/>
      <c r="K459" s="1061"/>
      <c r="L459" s="4598"/>
      <c r="M459" s="5095"/>
      <c r="N459" s="5095"/>
      <c r="O459" s="1061"/>
      <c r="P459" s="5086"/>
    </row>
    <row r="460" spans="1:42" ht="13.5" customHeight="1">
      <c r="A460" s="2628"/>
      <c r="B460" s="2552"/>
      <c r="C460" s="2547"/>
      <c r="D460" s="163" t="s">
        <v>6812</v>
      </c>
      <c r="E460" s="163"/>
      <c r="F460" s="200">
        <v>14</v>
      </c>
      <c r="G460" s="2657"/>
      <c r="H460" s="4073"/>
      <c r="I460" s="2551"/>
      <c r="J460" s="5080"/>
      <c r="K460" s="1061"/>
      <c r="M460" s="5095"/>
      <c r="N460" s="5095"/>
      <c r="O460" s="1061"/>
      <c r="P460" s="5086"/>
    </row>
    <row r="461" spans="1:42" ht="13.5" customHeight="1">
      <c r="A461" s="2628"/>
      <c r="B461" s="2552"/>
      <c r="C461" s="2547"/>
      <c r="D461" s="163" t="s">
        <v>6813</v>
      </c>
      <c r="E461" s="163"/>
      <c r="F461" s="200">
        <v>13</v>
      </c>
      <c r="G461" s="2657"/>
      <c r="H461" s="4073"/>
      <c r="I461" s="2551"/>
      <c r="J461" s="5080"/>
      <c r="K461" s="1061"/>
      <c r="M461" s="5095"/>
      <c r="N461" s="5095"/>
      <c r="O461" s="1061"/>
      <c r="P461" s="5086"/>
    </row>
    <row r="462" spans="1:42" ht="27" customHeight="1">
      <c r="A462" s="2614"/>
      <c r="B462" s="2550"/>
      <c r="C462" s="2550"/>
      <c r="D462" s="1062" t="s">
        <v>8162</v>
      </c>
      <c r="E462" s="2550"/>
      <c r="F462" s="2658"/>
      <c r="G462" s="2657"/>
      <c r="H462" s="3997"/>
      <c r="I462" s="2551"/>
      <c r="L462" s="1070"/>
    </row>
    <row r="463" spans="1:42" ht="13.5" customHeight="1">
      <c r="A463" s="2559">
        <v>80</v>
      </c>
      <c r="B463" s="2550">
        <v>751</v>
      </c>
      <c r="C463" s="2550" t="s">
        <v>8163</v>
      </c>
      <c r="D463" s="1057" t="s">
        <v>8164</v>
      </c>
      <c r="E463" s="1057" t="s">
        <v>155</v>
      </c>
      <c r="F463" s="1071">
        <f>ROUND(SUM(F465:F467),3)</f>
        <v>33</v>
      </c>
      <c r="G463" s="1058"/>
      <c r="H463" s="3789">
        <f>ROUND(F463*G463,2)</f>
        <v>0</v>
      </c>
      <c r="I463" s="4477" t="s">
        <v>60</v>
      </c>
      <c r="J463" s="5077"/>
      <c r="Q463" s="5078"/>
    </row>
    <row r="464" spans="1:42" ht="13.5" customHeight="1">
      <c r="A464" s="2628"/>
      <c r="B464" s="2552"/>
      <c r="C464" s="2547"/>
      <c r="D464" s="1062" t="s">
        <v>8161</v>
      </c>
      <c r="E464" s="2547"/>
      <c r="F464" s="2629"/>
      <c r="G464" s="2657"/>
      <c r="H464" s="4073"/>
      <c r="I464" s="2551"/>
      <c r="J464" s="5086"/>
      <c r="K464" s="1061"/>
      <c r="L464" s="4854"/>
      <c r="M464" s="5093"/>
      <c r="P464" s="5094"/>
    </row>
    <row r="465" spans="1:40" ht="13.5" customHeight="1">
      <c r="A465" s="2628"/>
      <c r="B465" s="2552"/>
      <c r="C465" s="2547"/>
      <c r="D465" s="163" t="s">
        <v>6811</v>
      </c>
      <c r="E465" s="163"/>
      <c r="F465" s="200">
        <v>6</v>
      </c>
      <c r="G465" s="2657"/>
      <c r="H465" s="4073"/>
      <c r="I465" s="2551"/>
      <c r="J465" s="5080"/>
      <c r="K465" s="1061"/>
      <c r="L465" s="4598"/>
      <c r="M465" s="5095"/>
      <c r="N465" s="5095"/>
      <c r="O465" s="1061"/>
      <c r="P465" s="5086"/>
    </row>
    <row r="466" spans="1:40" ht="13.5" customHeight="1">
      <c r="A466" s="2628"/>
      <c r="B466" s="2552"/>
      <c r="C466" s="2547"/>
      <c r="D466" s="163" t="s">
        <v>6812</v>
      </c>
      <c r="E466" s="163"/>
      <c r="F466" s="200">
        <v>14</v>
      </c>
      <c r="G466" s="2657"/>
      <c r="H466" s="4073"/>
      <c r="I466" s="2551"/>
      <c r="J466" s="5080"/>
      <c r="K466" s="1061"/>
      <c r="M466" s="5095"/>
      <c r="N466" s="5095"/>
      <c r="O466" s="1061"/>
      <c r="P466" s="5086"/>
    </row>
    <row r="467" spans="1:40" ht="13.5" customHeight="1">
      <c r="A467" s="2628"/>
      <c r="B467" s="2552"/>
      <c r="C467" s="2547"/>
      <c r="D467" s="163" t="s">
        <v>6813</v>
      </c>
      <c r="E467" s="163"/>
      <c r="F467" s="200">
        <v>13</v>
      </c>
      <c r="G467" s="2657"/>
      <c r="H467" s="4073"/>
      <c r="I467" s="2551"/>
      <c r="J467" s="5080"/>
      <c r="K467" s="1061"/>
      <c r="M467" s="5095"/>
      <c r="N467" s="5095"/>
      <c r="O467" s="1061"/>
      <c r="P467" s="5086"/>
    </row>
    <row r="468" spans="1:40" ht="27" customHeight="1">
      <c r="A468" s="2614"/>
      <c r="B468" s="2550"/>
      <c r="C468" s="2550"/>
      <c r="D468" s="1062" t="s">
        <v>8162</v>
      </c>
      <c r="E468" s="2550"/>
      <c r="F468" s="2658"/>
      <c r="G468" s="2657"/>
      <c r="H468" s="3997"/>
      <c r="I468" s="2551"/>
      <c r="L468" s="1070"/>
    </row>
    <row r="469" spans="1:40" customFormat="1" ht="13.5" customHeight="1">
      <c r="A469" s="1336">
        <v>81</v>
      </c>
      <c r="B469" s="1056" t="s">
        <v>7943</v>
      </c>
      <c r="C469" s="2550" t="s">
        <v>8165</v>
      </c>
      <c r="D469" s="1057" t="s">
        <v>8166</v>
      </c>
      <c r="E469" s="1057" t="s">
        <v>155</v>
      </c>
      <c r="F469" s="1071">
        <f>ROUND(SUM(F475:F477),3)</f>
        <v>33</v>
      </c>
      <c r="G469" s="1081">
        <f>ROUND(SUM(H471:H474)/F469,2)</f>
        <v>0</v>
      </c>
      <c r="H469" s="3789">
        <f>ROUND(F469*G469,2)</f>
        <v>0</v>
      </c>
      <c r="I469" s="1059" t="s">
        <v>60</v>
      </c>
      <c r="J469" s="4985"/>
      <c r="K469" s="1091"/>
      <c r="L469" s="1091"/>
      <c r="M469" s="1091"/>
      <c r="N469" s="1091"/>
      <c r="O469" s="1091"/>
      <c r="P469" s="1277"/>
      <c r="Q469" s="1277"/>
      <c r="R469" s="1277"/>
      <c r="S469" s="1277"/>
      <c r="T469" s="1277"/>
      <c r="U469" s="5127"/>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8167</v>
      </c>
      <c r="E470" s="1449"/>
      <c r="F470" s="2581"/>
      <c r="G470" s="1561"/>
      <c r="H470" s="4062"/>
      <c r="I470" s="4473"/>
      <c r="J470" s="2630"/>
      <c r="K470" s="2586"/>
      <c r="L470" s="1277"/>
      <c r="M470" s="1277"/>
      <c r="N470" s="1277"/>
      <c r="O470" s="1277"/>
      <c r="P470" s="1277"/>
      <c r="Q470" s="1470"/>
      <c r="R470" s="1277"/>
      <c r="S470" s="1277"/>
      <c r="T470" s="1277"/>
      <c r="U470" s="5127"/>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6438</v>
      </c>
      <c r="B471" s="1086"/>
      <c r="C471" s="1089">
        <v>763131912</v>
      </c>
      <c r="D471" s="1062" t="s">
        <v>8168</v>
      </c>
      <c r="E471" s="1089" t="s">
        <v>155</v>
      </c>
      <c r="F471" s="1063">
        <f>F469</f>
        <v>33</v>
      </c>
      <c r="G471" s="1266"/>
      <c r="H471" s="4064">
        <f t="shared" ref="H471:H474" si="14">ROUND(F471*G471,2)</f>
        <v>0</v>
      </c>
      <c r="I471" s="230" t="s">
        <v>142</v>
      </c>
      <c r="J471" s="5128"/>
      <c r="K471" s="5129"/>
      <c r="L471" s="1091"/>
      <c r="M471" s="1091"/>
      <c r="N471" s="1091"/>
      <c r="O471" s="1091"/>
      <c r="P471" s="1091"/>
      <c r="Q471" s="1277"/>
      <c r="R471" s="1277"/>
      <c r="S471" s="1277"/>
      <c r="T471" s="1277"/>
      <c r="U471" s="5028"/>
      <c r="W471" s="5054"/>
      <c r="X471" s="1421"/>
      <c r="Y471" s="5055"/>
      <c r="Z471" s="1091"/>
      <c r="AA471" s="1091"/>
      <c r="AB471" s="1091"/>
      <c r="AC471" s="1091"/>
      <c r="AD471" s="1091"/>
    </row>
    <row r="472" spans="1:40" s="1061" customFormat="1" ht="13.5" customHeight="1">
      <c r="A472" s="1433" t="s">
        <v>6439</v>
      </c>
      <c r="B472" s="1086"/>
      <c r="C472" s="1089" t="s">
        <v>8169</v>
      </c>
      <c r="D472" s="1062" t="s">
        <v>8170</v>
      </c>
      <c r="E472" s="1089" t="s">
        <v>155</v>
      </c>
      <c r="F472" s="1063">
        <f>F469</f>
        <v>33</v>
      </c>
      <c r="G472" s="1266"/>
      <c r="H472" s="4064">
        <f t="shared" si="14"/>
        <v>0</v>
      </c>
      <c r="I472" s="230" t="s">
        <v>644</v>
      </c>
      <c r="J472" s="5130"/>
      <c r="K472" s="5131"/>
      <c r="L472" s="1091"/>
      <c r="M472" s="1091"/>
      <c r="N472" s="1091"/>
      <c r="O472" s="1091"/>
      <c r="P472" s="1091"/>
      <c r="Q472" s="1277"/>
      <c r="R472" s="1277"/>
      <c r="S472" s="1277"/>
      <c r="T472" s="1277"/>
      <c r="U472" s="5127"/>
      <c r="W472" s="5054"/>
      <c r="X472" s="1421"/>
      <c r="Y472" s="5055"/>
      <c r="Z472" s="1091"/>
      <c r="AA472" s="1091"/>
      <c r="AB472" s="1091"/>
      <c r="AC472" s="1091"/>
      <c r="AD472" s="1091"/>
    </row>
    <row r="473" spans="1:40" s="1061" customFormat="1" ht="13.5" customHeight="1">
      <c r="A473" s="1444" t="s">
        <v>6442</v>
      </c>
      <c r="B473" s="2603"/>
      <c r="C473" s="1281" t="s">
        <v>6457</v>
      </c>
      <c r="D473" s="1258" t="s">
        <v>8171</v>
      </c>
      <c r="E473" s="1281" t="s">
        <v>155</v>
      </c>
      <c r="F473" s="1415">
        <f>F469</f>
        <v>33</v>
      </c>
      <c r="G473" s="1282"/>
      <c r="H473" s="4065">
        <f t="shared" si="14"/>
        <v>0</v>
      </c>
      <c r="I473" s="1283" t="s">
        <v>644</v>
      </c>
      <c r="J473" s="5130"/>
      <c r="K473" s="2608"/>
      <c r="L473" s="1091"/>
      <c r="M473" s="1091"/>
      <c r="N473" s="1091"/>
      <c r="O473" s="1091"/>
      <c r="P473" s="1091"/>
      <c r="Q473" s="1277"/>
      <c r="R473" s="1277"/>
      <c r="S473" s="1277"/>
      <c r="T473" s="1277"/>
      <c r="U473" s="5127"/>
      <c r="W473" s="5054"/>
      <c r="X473" s="1421"/>
      <c r="Y473" s="5055"/>
      <c r="Z473" s="1091"/>
      <c r="AA473" s="1091"/>
      <c r="AB473" s="1091"/>
      <c r="AC473" s="1091"/>
      <c r="AD473" s="1091"/>
    </row>
    <row r="474" spans="1:40" s="1061" customFormat="1" ht="40.5" customHeight="1">
      <c r="A474" s="1433" t="s">
        <v>6445</v>
      </c>
      <c r="B474" s="1086"/>
      <c r="C474" s="1089" t="s">
        <v>6432</v>
      </c>
      <c r="D474" s="1062" t="s">
        <v>6433</v>
      </c>
      <c r="E474" s="1089" t="s">
        <v>23</v>
      </c>
      <c r="F474" s="1063">
        <f>F469</f>
        <v>33</v>
      </c>
      <c r="G474" s="1266"/>
      <c r="H474" s="4064">
        <f t="shared" si="14"/>
        <v>0</v>
      </c>
      <c r="I474" s="230" t="s">
        <v>644</v>
      </c>
      <c r="J474" s="5128"/>
      <c r="K474" s="1091"/>
      <c r="L474" s="5132"/>
      <c r="M474" s="1091"/>
      <c r="N474" s="5129"/>
      <c r="O474" s="1091"/>
      <c r="P474" s="5129"/>
      <c r="Q474" s="1277"/>
      <c r="R474" s="1277"/>
      <c r="S474" s="1277"/>
      <c r="T474" s="1277"/>
      <c r="U474" s="5028"/>
      <c r="W474" s="5054"/>
      <c r="X474" s="1421"/>
      <c r="Y474" s="5055"/>
      <c r="Z474" s="1091"/>
      <c r="AA474" s="1091"/>
      <c r="AB474" s="1091"/>
      <c r="AC474" s="1091"/>
      <c r="AD474" s="1091"/>
    </row>
    <row r="475" spans="1:40" customFormat="1" ht="13.5" customHeight="1">
      <c r="A475" s="1560"/>
      <c r="B475" s="1449"/>
      <c r="C475" s="2631"/>
      <c r="D475" s="1062" t="s">
        <v>8172</v>
      </c>
      <c r="E475" s="1449"/>
      <c r="F475" s="1063">
        <v>6</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631"/>
      <c r="D476" s="1062" t="s">
        <v>8173</v>
      </c>
      <c r="E476" s="1449"/>
      <c r="F476" s="1063">
        <f>14</f>
        <v>14</v>
      </c>
      <c r="G476" s="1561"/>
      <c r="H476" s="4062"/>
      <c r="I476" s="4473"/>
      <c r="J476" s="2630"/>
      <c r="K476" s="2586"/>
      <c r="L476" s="1277"/>
      <c r="M476" s="1277"/>
      <c r="N476" s="1277"/>
      <c r="O476" s="1277"/>
      <c r="P476" s="1277"/>
      <c r="Q476" s="1470"/>
      <c r="R476" s="1277"/>
      <c r="S476" s="1277"/>
      <c r="T476" s="1277"/>
      <c r="U476" s="512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631"/>
      <c r="D477" s="1062" t="s">
        <v>8174</v>
      </c>
      <c r="E477" s="1449"/>
      <c r="F477" s="1063">
        <f>13</f>
        <v>13</v>
      </c>
      <c r="G477" s="1561"/>
      <c r="H477" s="4062"/>
      <c r="I477" s="4473"/>
      <c r="J477" s="2630"/>
      <c r="K477" s="2586"/>
      <c r="L477" s="1277"/>
      <c r="M477" s="1277"/>
      <c r="N477" s="1277"/>
      <c r="O477" s="1277"/>
      <c r="P477" s="1277"/>
      <c r="Q477" s="1470"/>
      <c r="R477" s="1277"/>
      <c r="S477" s="1277"/>
      <c r="T477" s="1277"/>
      <c r="U477" s="512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6435</v>
      </c>
      <c r="E478" s="1449"/>
      <c r="F478" s="1095"/>
      <c r="G478" s="1561"/>
      <c r="H478" s="4062"/>
      <c r="I478" s="4473"/>
      <c r="J478" s="4985"/>
      <c r="K478" s="1277"/>
      <c r="L478" s="1277"/>
      <c r="M478" s="1277"/>
      <c r="N478" s="2298"/>
      <c r="O478" s="1277"/>
      <c r="P478" s="1277"/>
      <c r="Q478" s="2298"/>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7943</v>
      </c>
      <c r="C479" s="2550" t="s">
        <v>8175</v>
      </c>
      <c r="D479" s="1057" t="s">
        <v>8176</v>
      </c>
      <c r="E479" s="1057" t="s">
        <v>23</v>
      </c>
      <c r="F479" s="1071">
        <f>ROUND(SUM(F481),3)</f>
        <v>66</v>
      </c>
      <c r="G479" s="1058"/>
      <c r="H479" s="3789">
        <f>ROUND(F479*G479,2)</f>
        <v>0</v>
      </c>
      <c r="I479" s="1059" t="s">
        <v>60</v>
      </c>
      <c r="J479" s="5272"/>
      <c r="K479" s="1091"/>
      <c r="L479" s="1277"/>
      <c r="M479" s="1277"/>
      <c r="N479" s="1277"/>
      <c r="O479" s="1277"/>
      <c r="P479" s="1277"/>
      <c r="Q479" s="1277"/>
      <c r="R479" s="5127"/>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8177</v>
      </c>
      <c r="E480" s="1449"/>
      <c r="F480" s="1063"/>
      <c r="G480" s="1561"/>
      <c r="H480" s="4062"/>
      <c r="I480" s="4473"/>
      <c r="J480" s="5272"/>
      <c r="K480" s="2586"/>
      <c r="S480" s="1277"/>
      <c r="T480" s="4856"/>
      <c r="U480" s="2586"/>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8178</v>
      </c>
      <c r="E481" s="1449"/>
      <c r="F481" s="1063">
        <f>33*2</f>
        <v>66</v>
      </c>
      <c r="G481" s="1561"/>
      <c r="H481" s="4062"/>
      <c r="I481" s="4473"/>
      <c r="J481" s="5272"/>
      <c r="K481" s="2586"/>
      <c r="S481" s="1277"/>
      <c r="T481" s="4856"/>
      <c r="U481" s="2586"/>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94" t="s">
        <v>6525</v>
      </c>
      <c r="E482" s="1449"/>
      <c r="F482" s="1063"/>
      <c r="G482" s="1561"/>
      <c r="H482" s="4062"/>
      <c r="I482" s="4368"/>
      <c r="J482" s="4855"/>
      <c r="L482" s="2526"/>
      <c r="Q482" s="5019"/>
    </row>
    <row r="483" spans="1:98" customFormat="1" ht="13.5" customHeight="1">
      <c r="A483" s="2655"/>
      <c r="B483" s="1449"/>
      <c r="C483" s="1449"/>
      <c r="D483" s="1407" t="s">
        <v>6526</v>
      </c>
      <c r="E483" s="1449"/>
      <c r="F483" s="1063"/>
      <c r="G483" s="1561"/>
      <c r="H483" s="4062"/>
      <c r="I483" s="4473"/>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7943</v>
      </c>
      <c r="C484" s="1057">
        <v>998751202</v>
      </c>
      <c r="D484" s="1057" t="s">
        <v>7944</v>
      </c>
      <c r="E484" s="1057" t="s">
        <v>8</v>
      </c>
      <c r="F484" s="1071">
        <v>0.55000000000000004</v>
      </c>
      <c r="G484" s="1081"/>
      <c r="H484" s="3789">
        <f>ROUND(F484*G484,2)</f>
        <v>0</v>
      </c>
      <c r="I484" s="1059" t="s">
        <v>142</v>
      </c>
      <c r="J484" s="5262"/>
      <c r="M484" s="4973"/>
    </row>
    <row r="485" spans="1:98" customFormat="1" ht="13.5" customHeight="1">
      <c r="A485" s="1336">
        <v>84</v>
      </c>
      <c r="B485" s="339" t="s">
        <v>188</v>
      </c>
      <c r="C485" s="2604" t="s">
        <v>7945</v>
      </c>
      <c r="D485" s="2604" t="s">
        <v>7946</v>
      </c>
      <c r="E485" s="2604" t="s">
        <v>191</v>
      </c>
      <c r="F485" s="1071">
        <f>ROUND(SUM(F486),3)</f>
        <v>20</v>
      </c>
      <c r="G485" s="1058"/>
      <c r="H485" s="3789">
        <f>ROUND(F485*G485,2)</f>
        <v>0</v>
      </c>
      <c r="I485" s="1059" t="s">
        <v>142</v>
      </c>
    </row>
    <row r="486" spans="1:98" customFormat="1" ht="13.5" customHeight="1">
      <c r="A486" s="2435"/>
      <c r="B486" s="2604"/>
      <c r="C486" s="2604"/>
      <c r="D486" s="2605" t="s">
        <v>7947</v>
      </c>
      <c r="E486" s="2604"/>
      <c r="F486" s="2606">
        <v>20</v>
      </c>
      <c r="G486" s="1058"/>
      <c r="H486" s="4063"/>
      <c r="I486" s="2607"/>
    </row>
    <row r="487" spans="1:98" s="1102" customFormat="1" ht="27" customHeight="1">
      <c r="A487" s="2435"/>
      <c r="B487" s="2604"/>
      <c r="C487" s="2604"/>
      <c r="D487" s="2605" t="s">
        <v>7948</v>
      </c>
      <c r="E487" s="2604"/>
      <c r="F487" s="3583"/>
      <c r="G487" s="1058"/>
      <c r="H487" s="4063"/>
      <c r="I487" s="2607"/>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632"/>
      <c r="B488" s="2633"/>
      <c r="C488" s="2633"/>
      <c r="D488" s="2633" t="s">
        <v>0</v>
      </c>
      <c r="E488" s="2633"/>
      <c r="F488" s="2634"/>
      <c r="G488" s="2635"/>
      <c r="H488" s="2635">
        <f>H7</f>
        <v>0</v>
      </c>
      <c r="I488" s="53"/>
    </row>
    <row r="489" spans="1:98" ht="11.25">
      <c r="A489" s="2636"/>
      <c r="B489" s="2636"/>
      <c r="C489" s="2637"/>
      <c r="D489" s="2637"/>
      <c r="E489" s="2638"/>
      <c r="F489" s="2639"/>
      <c r="G489" s="2640"/>
      <c r="H489" s="2640"/>
      <c r="I489" s="2641"/>
    </row>
    <row r="490" spans="1:98" ht="13.5" customHeight="1">
      <c r="A490" s="5727" t="s">
        <v>99</v>
      </c>
      <c r="B490" s="5728"/>
      <c r="C490" s="5729"/>
      <c r="D490" s="2642" t="s">
        <v>10513</v>
      </c>
      <c r="E490" s="2643"/>
      <c r="F490" s="2644"/>
      <c r="G490" s="2645"/>
      <c r="H490" s="4060">
        <f>H488</f>
        <v>0</v>
      </c>
      <c r="I490" s="2646"/>
    </row>
    <row r="491" spans="1:98" ht="13.5" customHeight="1">
      <c r="A491" s="2647"/>
      <c r="B491" s="2648"/>
      <c r="C491" s="2648"/>
      <c r="D491" s="2649"/>
      <c r="E491" s="2650"/>
      <c r="F491" s="2651"/>
      <c r="G491" s="2652"/>
      <c r="H491" s="2653"/>
      <c r="I491" s="53"/>
    </row>
    <row r="492" spans="1:98" ht="13.5" customHeight="1">
      <c r="A492" s="48" t="s">
        <v>1</v>
      </c>
      <c r="B492" s="48"/>
      <c r="C492" s="48"/>
      <c r="D492" s="48"/>
      <c r="E492" s="48"/>
      <c r="F492" s="48"/>
      <c r="G492" s="48"/>
      <c r="H492" s="48"/>
      <c r="I492" s="48"/>
    </row>
    <row r="493" spans="1:98" ht="27" customHeight="1">
      <c r="A493" s="5650" t="s">
        <v>8179</v>
      </c>
      <c r="B493" s="5650"/>
      <c r="C493" s="5650"/>
      <c r="D493" s="5650"/>
      <c r="E493" s="5650"/>
      <c r="F493" s="5650"/>
      <c r="G493" s="5650"/>
      <c r="H493" s="48"/>
      <c r="I493" s="53"/>
    </row>
    <row r="494" spans="1:98" ht="93.75" customHeight="1">
      <c r="A494" s="5650" t="s">
        <v>26</v>
      </c>
      <c r="B494" s="5650"/>
      <c r="C494" s="5650"/>
      <c r="D494" s="5650"/>
      <c r="E494" s="5650"/>
      <c r="F494" s="5650"/>
      <c r="G494" s="5650"/>
      <c r="H494" s="48"/>
      <c r="I494" s="48"/>
    </row>
    <row r="495" spans="1:98" ht="13.5" customHeight="1">
      <c r="A495" s="5650" t="s">
        <v>27</v>
      </c>
      <c r="B495" s="5650"/>
      <c r="C495" s="5650"/>
      <c r="D495" s="5650"/>
      <c r="E495" s="5650"/>
      <c r="F495" s="5650"/>
      <c r="G495" s="5650"/>
      <c r="H495" s="318"/>
      <c r="I495" s="318"/>
    </row>
    <row r="496" spans="1:98" ht="13.5" customHeight="1">
      <c r="A496" s="5650" t="s">
        <v>28</v>
      </c>
      <c r="B496" s="5650"/>
      <c r="C496" s="5650"/>
      <c r="D496" s="5650"/>
      <c r="E496" s="5650"/>
      <c r="F496" s="5650"/>
      <c r="G496" s="5650"/>
      <c r="H496" s="318"/>
      <c r="I496" s="318"/>
    </row>
    <row r="497" spans="1:9" ht="27" customHeight="1">
      <c r="A497" s="5652" t="s">
        <v>8180</v>
      </c>
      <c r="B497" s="5652"/>
      <c r="C497" s="5652"/>
      <c r="D497" s="5652"/>
      <c r="E497" s="5652"/>
      <c r="F497" s="5652"/>
      <c r="G497" s="5652"/>
      <c r="H497" s="318"/>
      <c r="I497" s="318"/>
    </row>
    <row r="498" spans="1:9" ht="40.5" customHeight="1">
      <c r="A498" s="5652" t="s">
        <v>61</v>
      </c>
      <c r="B498" s="5652"/>
      <c r="C498" s="5652"/>
      <c r="D498" s="5652"/>
      <c r="E498" s="5652"/>
      <c r="F498" s="5652"/>
      <c r="G498" s="5652"/>
      <c r="I498" s="53"/>
    </row>
    <row r="499" spans="1:9" ht="11.25">
      <c r="A499" s="5650"/>
      <c r="B499" s="5732"/>
      <c r="C499" s="5732"/>
      <c r="D499" s="5732"/>
      <c r="E499" s="5732"/>
      <c r="F499" s="5732"/>
      <c r="G499" s="5732"/>
      <c r="H499" s="318"/>
      <c r="I499" s="318"/>
    </row>
    <row r="500" spans="1:9" ht="11.25">
      <c r="A500" s="54"/>
      <c r="B500" s="2654"/>
      <c r="C500" s="2654"/>
      <c r="D500" s="2654"/>
      <c r="E500" s="2654"/>
      <c r="F500" s="2654"/>
      <c r="G500" s="2654"/>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734" t="s">
        <v>112</v>
      </c>
      <c r="B2" s="5735"/>
      <c r="C2" s="5735"/>
      <c r="D2" s="5735"/>
      <c r="E2" s="5735"/>
      <c r="F2" s="5735"/>
      <c r="G2" s="5735"/>
      <c r="H2" s="5735"/>
      <c r="I2" s="5735"/>
      <c r="J2" s="5735"/>
      <c r="K2" s="2563"/>
      <c r="L2" s="2457"/>
      <c r="M2" s="2457"/>
      <c r="N2" s="2457"/>
      <c r="O2" s="2457"/>
      <c r="P2" s="2458"/>
      <c r="Q2" s="2458"/>
      <c r="R2" s="5330"/>
      <c r="S2" s="2457"/>
      <c r="T2" s="2457"/>
      <c r="U2" s="2457"/>
    </row>
    <row r="3" spans="1:22" s="2659" customFormat="1" ht="13.5" customHeight="1">
      <c r="A3" s="2660" t="s">
        <v>8183</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10501</v>
      </c>
      <c r="I5" s="3786" t="s">
        <v>10502</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10499</v>
      </c>
      <c r="I6" s="3786" t="s">
        <v>10500</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H8+H163+H277+H322+H379+H409+H440</f>
        <v>0</v>
      </c>
      <c r="I7" s="4115">
        <f>I8+I163+I277+I322+I379+I409+I440</f>
        <v>0</v>
      </c>
      <c r="K7" s="2457"/>
      <c r="L7" s="2457"/>
      <c r="M7" s="2457"/>
      <c r="N7" s="5332"/>
      <c r="O7" s="5332"/>
      <c r="P7" s="2458"/>
      <c r="Q7" s="2458"/>
      <c r="S7" s="5260"/>
      <c r="V7" s="5333"/>
    </row>
    <row r="8" spans="1:22" s="1061" customFormat="1" ht="13.5" customHeight="1">
      <c r="A8" s="2628"/>
      <c r="B8" s="2547"/>
      <c r="C8" s="2547">
        <v>741</v>
      </c>
      <c r="D8" s="2547" t="s">
        <v>8184</v>
      </c>
      <c r="E8" s="2547"/>
      <c r="F8" s="2629"/>
      <c r="G8" s="3586"/>
      <c r="H8" s="4074">
        <f>SUM(H9:H162)</f>
        <v>0</v>
      </c>
      <c r="I8" s="4115">
        <f>SUM(I9:I162)</f>
        <v>0</v>
      </c>
      <c r="J8" s="2548"/>
      <c r="R8" s="2458"/>
      <c r="S8" s="2457"/>
      <c r="T8" s="2457"/>
      <c r="U8" s="2457"/>
    </row>
    <row r="9" spans="1:22" s="2457" customFormat="1" ht="13.5" customHeight="1">
      <c r="A9" s="2614">
        <v>1</v>
      </c>
      <c r="B9" s="2469">
        <v>741</v>
      </c>
      <c r="C9" s="2469" t="s">
        <v>7137</v>
      </c>
      <c r="D9" s="2469" t="s">
        <v>8185</v>
      </c>
      <c r="E9" s="3587" t="s">
        <v>155</v>
      </c>
      <c r="F9" s="3588">
        <f>SUM(F11:F14)</f>
        <v>48</v>
      </c>
      <c r="G9" s="2471"/>
      <c r="H9" s="3975">
        <f t="shared" ref="H9" si="0">ROUND(F9*G9,2)</f>
        <v>0</v>
      </c>
      <c r="I9" s="4116"/>
      <c r="J9" s="2470" t="s">
        <v>60</v>
      </c>
      <c r="K9" s="2455"/>
      <c r="L9" s="2456"/>
      <c r="P9" s="2458"/>
      <c r="Q9" s="2458"/>
      <c r="R9" s="2458"/>
      <c r="U9" s="2459"/>
    </row>
    <row r="10" spans="1:22" s="2457" customFormat="1" ht="13.5" customHeight="1">
      <c r="A10" s="4462"/>
      <c r="B10" s="2469"/>
      <c r="C10" s="2469"/>
      <c r="D10" s="4463" t="s">
        <v>8186</v>
      </c>
      <c r="E10" s="3587"/>
      <c r="F10" s="3588"/>
      <c r="G10" s="2471"/>
      <c r="H10" s="4075"/>
      <c r="I10" s="4116"/>
      <c r="J10" s="2470"/>
      <c r="K10" s="2526"/>
      <c r="P10" s="2458"/>
      <c r="Q10" s="2458"/>
      <c r="R10" s="2458"/>
      <c r="U10" s="2459"/>
    </row>
    <row r="11" spans="1:22" s="2560" customFormat="1" ht="13.5" customHeight="1">
      <c r="A11" s="4361"/>
      <c r="B11" s="2469"/>
      <c r="C11" s="2469"/>
      <c r="D11" s="4463" t="s">
        <v>6532</v>
      </c>
      <c r="E11" s="2469"/>
      <c r="F11" s="4464">
        <v>34</v>
      </c>
      <c r="G11" s="2471"/>
      <c r="H11" s="4075"/>
      <c r="I11" s="4116"/>
      <c r="J11" s="2470"/>
      <c r="L11" s="2457"/>
      <c r="P11" s="2458"/>
      <c r="Q11" s="2458"/>
      <c r="R11" s="2458"/>
    </row>
    <row r="12" spans="1:22" s="2560" customFormat="1" ht="13.5" customHeight="1">
      <c r="A12" s="4361"/>
      <c r="B12" s="2469"/>
      <c r="C12" s="2469"/>
      <c r="D12" s="4463" t="s">
        <v>6528</v>
      </c>
      <c r="E12" s="2469"/>
      <c r="F12" s="4464">
        <v>4</v>
      </c>
      <c r="G12" s="2471"/>
      <c r="H12" s="4075"/>
      <c r="I12" s="4116"/>
      <c r="J12" s="2470"/>
      <c r="L12" s="2457"/>
      <c r="P12" s="2458"/>
      <c r="Q12" s="2458"/>
      <c r="R12" s="2458"/>
    </row>
    <row r="13" spans="1:22" s="2560" customFormat="1" ht="13.5" customHeight="1">
      <c r="A13" s="4361"/>
      <c r="B13" s="2469"/>
      <c r="C13" s="2469"/>
      <c r="D13" s="4463" t="s">
        <v>6529</v>
      </c>
      <c r="E13" s="2469"/>
      <c r="F13" s="4464">
        <v>5</v>
      </c>
      <c r="G13" s="2471"/>
      <c r="H13" s="4075"/>
      <c r="I13" s="4116"/>
      <c r="J13" s="2470"/>
      <c r="L13" s="2457"/>
      <c r="P13" s="2458"/>
      <c r="Q13" s="2458"/>
      <c r="R13" s="2458"/>
    </row>
    <row r="14" spans="1:22" s="2560" customFormat="1" ht="13.5" customHeight="1">
      <c r="A14" s="4361"/>
      <c r="B14" s="2469"/>
      <c r="C14" s="2469"/>
      <c r="D14" s="4463" t="s">
        <v>6530</v>
      </c>
      <c r="E14" s="2469"/>
      <c r="F14" s="4464">
        <v>5</v>
      </c>
      <c r="G14" s="2471"/>
      <c r="H14" s="4075"/>
      <c r="I14" s="4116"/>
      <c r="J14" s="2470"/>
      <c r="L14" s="2457"/>
      <c r="P14" s="2458"/>
      <c r="Q14" s="2458"/>
      <c r="R14" s="2458"/>
    </row>
    <row r="15" spans="1:22" s="2457" customFormat="1" ht="13.5" customHeight="1">
      <c r="A15" s="4462"/>
      <c r="B15" s="2469"/>
      <c r="C15" s="2469"/>
      <c r="D15" s="4360" t="s">
        <v>8386</v>
      </c>
      <c r="E15" s="3587"/>
      <c r="F15" s="4464"/>
      <c r="G15" s="2471"/>
      <c r="H15" s="4075"/>
      <c r="I15" s="4116"/>
      <c r="J15" s="2470"/>
      <c r="N15" s="2474"/>
      <c r="P15" s="2458"/>
      <c r="Q15" s="5334"/>
      <c r="R15" s="2458"/>
    </row>
    <row r="16" spans="1:22" s="2457" customFormat="1" ht="13.5" customHeight="1">
      <c r="A16" s="2614">
        <v>2</v>
      </c>
      <c r="B16" s="2469">
        <v>741</v>
      </c>
      <c r="C16" s="2469" t="s">
        <v>7142</v>
      </c>
      <c r="D16" s="2469" t="s">
        <v>8188</v>
      </c>
      <c r="E16" s="3587" t="s">
        <v>155</v>
      </c>
      <c r="F16" s="3588">
        <f>SUM(F18:F21)</f>
        <v>24</v>
      </c>
      <c r="G16" s="2471"/>
      <c r="H16" s="3975">
        <f t="shared" ref="H16" si="1">ROUND(F16*G16,2)</f>
        <v>0</v>
      </c>
      <c r="I16" s="4116"/>
      <c r="J16" s="2470" t="s">
        <v>60</v>
      </c>
      <c r="K16" s="2455"/>
      <c r="L16" s="2456"/>
      <c r="P16" s="2458"/>
      <c r="Q16" s="2458"/>
      <c r="R16" s="2458"/>
      <c r="U16" s="2459"/>
    </row>
    <row r="17" spans="1:21" s="2457" customFormat="1" ht="13.5" customHeight="1">
      <c r="A17" s="4462"/>
      <c r="B17" s="2469"/>
      <c r="C17" s="2469"/>
      <c r="D17" s="4463" t="s">
        <v>8189</v>
      </c>
      <c r="E17" s="3587"/>
      <c r="F17" s="3588"/>
      <c r="G17" s="2471"/>
      <c r="H17" s="4075"/>
      <c r="I17" s="4116"/>
      <c r="J17" s="2470"/>
      <c r="K17" s="2526"/>
      <c r="P17" s="2458"/>
      <c r="Q17" s="2458"/>
      <c r="R17" s="2458"/>
      <c r="U17" s="2459"/>
    </row>
    <row r="18" spans="1:21" s="2560" customFormat="1" ht="13.5" customHeight="1">
      <c r="A18" s="4361"/>
      <c r="B18" s="2469"/>
      <c r="C18" s="2469"/>
      <c r="D18" s="4463" t="s">
        <v>6532</v>
      </c>
      <c r="E18" s="2469"/>
      <c r="F18" s="4464">
        <v>15</v>
      </c>
      <c r="G18" s="2471"/>
      <c r="H18" s="4075"/>
      <c r="I18" s="4116"/>
      <c r="J18" s="2470"/>
      <c r="L18" s="2457"/>
      <c r="P18" s="2458"/>
      <c r="Q18" s="2458"/>
      <c r="R18" s="2458"/>
    </row>
    <row r="19" spans="1:21" s="2560" customFormat="1" ht="13.5" customHeight="1">
      <c r="A19" s="4361"/>
      <c r="B19" s="2469"/>
      <c r="C19" s="2469"/>
      <c r="D19" s="4463" t="s">
        <v>6528</v>
      </c>
      <c r="E19" s="2469"/>
      <c r="F19" s="4464">
        <v>1</v>
      </c>
      <c r="G19" s="2471"/>
      <c r="H19" s="4075"/>
      <c r="I19" s="4116"/>
      <c r="J19" s="2470"/>
      <c r="L19" s="2457"/>
      <c r="P19" s="2458"/>
      <c r="Q19" s="2458"/>
      <c r="R19" s="2458"/>
    </row>
    <row r="20" spans="1:21" s="2560" customFormat="1" ht="13.5" customHeight="1">
      <c r="A20" s="4361"/>
      <c r="B20" s="2469"/>
      <c r="C20" s="2469"/>
      <c r="D20" s="4463" t="s">
        <v>6529</v>
      </c>
      <c r="E20" s="2469"/>
      <c r="F20" s="4464">
        <v>4</v>
      </c>
      <c r="G20" s="2471"/>
      <c r="H20" s="4075"/>
      <c r="I20" s="4116"/>
      <c r="J20" s="2470"/>
      <c r="L20" s="2457"/>
      <c r="P20" s="2458"/>
      <c r="Q20" s="2458"/>
      <c r="R20" s="2458"/>
    </row>
    <row r="21" spans="1:21" s="2560" customFormat="1" ht="13.5" customHeight="1">
      <c r="A21" s="4361"/>
      <c r="B21" s="2469"/>
      <c r="C21" s="2469"/>
      <c r="D21" s="4463" t="s">
        <v>6530</v>
      </c>
      <c r="E21" s="2469"/>
      <c r="F21" s="4464">
        <v>4</v>
      </c>
      <c r="G21" s="2471"/>
      <c r="H21" s="4075"/>
      <c r="I21" s="4116"/>
      <c r="J21" s="2470"/>
      <c r="L21" s="2457"/>
      <c r="P21" s="2458"/>
      <c r="Q21" s="2458"/>
      <c r="R21" s="2458"/>
    </row>
    <row r="22" spans="1:21" s="2457" customFormat="1" ht="13.5" customHeight="1">
      <c r="A22" s="4462"/>
      <c r="B22" s="2469"/>
      <c r="C22" s="2469"/>
      <c r="D22" s="4360" t="s">
        <v>8386</v>
      </c>
      <c r="E22" s="3587"/>
      <c r="F22" s="4464"/>
      <c r="G22" s="2471"/>
      <c r="H22" s="4075"/>
      <c r="I22" s="4116"/>
      <c r="J22" s="2470"/>
      <c r="N22" s="2474"/>
      <c r="P22" s="2458"/>
      <c r="Q22" s="5334"/>
      <c r="R22" s="2458"/>
    </row>
    <row r="23" spans="1:21" s="2457" customFormat="1" ht="13.5" customHeight="1">
      <c r="A23" s="2614">
        <v>3</v>
      </c>
      <c r="B23" s="2469">
        <v>741</v>
      </c>
      <c r="C23" s="2469" t="s">
        <v>8190</v>
      </c>
      <c r="D23" s="2469" t="s">
        <v>8191</v>
      </c>
      <c r="E23" s="3587" t="s">
        <v>155</v>
      </c>
      <c r="F23" s="3588">
        <f>SUM(F25:F28)</f>
        <v>143</v>
      </c>
      <c r="G23" s="2471"/>
      <c r="H23" s="3975">
        <f t="shared" ref="H23" si="2">ROUND(F23*G23,2)</f>
        <v>0</v>
      </c>
      <c r="I23" s="4116"/>
      <c r="J23" s="2470" t="s">
        <v>60</v>
      </c>
      <c r="K23" s="2455"/>
      <c r="L23" s="2456"/>
      <c r="N23" s="2474"/>
      <c r="P23" s="2458"/>
      <c r="Q23" s="5334"/>
      <c r="R23" s="2458"/>
      <c r="U23" s="2459"/>
    </row>
    <row r="24" spans="1:21" s="2457" customFormat="1" ht="13.5" customHeight="1">
      <c r="A24" s="4462"/>
      <c r="B24" s="2469"/>
      <c r="C24" s="2469"/>
      <c r="D24" s="4463" t="s">
        <v>8192</v>
      </c>
      <c r="E24" s="3587"/>
      <c r="F24" s="3588"/>
      <c r="G24" s="2471"/>
      <c r="H24" s="4075"/>
      <c r="I24" s="4116"/>
      <c r="J24" s="2470"/>
      <c r="K24" s="2526"/>
      <c r="O24" s="5335"/>
      <c r="P24" s="2458"/>
      <c r="Q24" s="2458"/>
      <c r="R24" s="2458"/>
      <c r="U24" s="2459"/>
    </row>
    <row r="25" spans="1:21" s="2457" customFormat="1" ht="13.5" customHeight="1">
      <c r="A25" s="4462"/>
      <c r="B25" s="2469"/>
      <c r="C25" s="2469"/>
      <c r="D25" s="4463" t="s">
        <v>6532</v>
      </c>
      <c r="E25" s="2469"/>
      <c r="F25" s="4464">
        <v>1</v>
      </c>
      <c r="G25" s="2471"/>
      <c r="H25" s="4075"/>
      <c r="I25" s="4116"/>
      <c r="J25" s="2470"/>
      <c r="N25" s="2474"/>
      <c r="P25" s="2458"/>
      <c r="Q25" s="5334"/>
      <c r="R25" s="2458"/>
    </row>
    <row r="26" spans="1:21" s="2457" customFormat="1" ht="13.5" customHeight="1">
      <c r="A26" s="4462"/>
      <c r="B26" s="2469"/>
      <c r="C26" s="2469"/>
      <c r="D26" s="4463" t="s">
        <v>6528</v>
      </c>
      <c r="E26" s="2469"/>
      <c r="F26" s="4464">
        <v>48</v>
      </c>
      <c r="G26" s="2471"/>
      <c r="H26" s="4075"/>
      <c r="I26" s="4116"/>
      <c r="J26" s="2470"/>
      <c r="N26" s="2474"/>
      <c r="P26" s="2458"/>
      <c r="Q26" s="5334"/>
      <c r="R26" s="2458"/>
    </row>
    <row r="27" spans="1:21" s="2457" customFormat="1" ht="13.5" customHeight="1">
      <c r="A27" s="4462"/>
      <c r="B27" s="2469"/>
      <c r="C27" s="2469"/>
      <c r="D27" s="4463" t="s">
        <v>6529</v>
      </c>
      <c r="E27" s="2469"/>
      <c r="F27" s="4464">
        <v>46</v>
      </c>
      <c r="G27" s="2471"/>
      <c r="H27" s="4075"/>
      <c r="I27" s="4116"/>
      <c r="J27" s="2470"/>
      <c r="N27" s="2474"/>
      <c r="P27" s="2458"/>
      <c r="Q27" s="5334"/>
      <c r="R27" s="2458"/>
    </row>
    <row r="28" spans="1:21" s="2457" customFormat="1" ht="13.5" customHeight="1">
      <c r="A28" s="4462"/>
      <c r="B28" s="2469"/>
      <c r="C28" s="2469"/>
      <c r="D28" s="4463" t="s">
        <v>6530</v>
      </c>
      <c r="E28" s="2469"/>
      <c r="F28" s="4464">
        <v>48</v>
      </c>
      <c r="G28" s="2471"/>
      <c r="H28" s="4075"/>
      <c r="I28" s="4116"/>
      <c r="J28" s="2470"/>
      <c r="N28" s="2474"/>
      <c r="P28" s="2458"/>
      <c r="Q28" s="5334"/>
      <c r="R28" s="2458"/>
    </row>
    <row r="29" spans="1:21" s="2457" customFormat="1" ht="13.5" customHeight="1">
      <c r="A29" s="4462"/>
      <c r="B29" s="2469"/>
      <c r="C29" s="2469"/>
      <c r="D29" s="4360" t="s">
        <v>8386</v>
      </c>
      <c r="E29" s="3587"/>
      <c r="F29" s="4464"/>
      <c r="G29" s="2471"/>
      <c r="H29" s="4075"/>
      <c r="I29" s="4116"/>
      <c r="J29" s="2470"/>
      <c r="N29" s="2474"/>
      <c r="P29" s="2458"/>
      <c r="Q29" s="5334"/>
      <c r="R29" s="2458"/>
    </row>
    <row r="30" spans="1:21" s="2457" customFormat="1" ht="13.5" customHeight="1">
      <c r="A30" s="2614">
        <v>4</v>
      </c>
      <c r="B30" s="2469">
        <v>741</v>
      </c>
      <c r="C30" s="2469" t="s">
        <v>8193</v>
      </c>
      <c r="D30" s="2469" t="s">
        <v>8387</v>
      </c>
      <c r="E30" s="3587" t="s">
        <v>155</v>
      </c>
      <c r="F30" s="3588">
        <f>SUM(F32:F34)</f>
        <v>82</v>
      </c>
      <c r="G30" s="2471"/>
      <c r="H30" s="3975">
        <f t="shared" ref="H30" si="3">ROUND(F30*G30,2)</f>
        <v>0</v>
      </c>
      <c r="I30" s="4116"/>
      <c r="J30" s="2470" t="s">
        <v>60</v>
      </c>
      <c r="K30" s="2455"/>
      <c r="L30" s="2456"/>
      <c r="N30" s="2474"/>
      <c r="P30" s="2458"/>
      <c r="Q30" s="5334"/>
      <c r="R30" s="2458"/>
      <c r="U30" s="2459"/>
    </row>
    <row r="31" spans="1:21" s="2457" customFormat="1" ht="13.5" customHeight="1">
      <c r="A31" s="4462"/>
      <c r="B31" s="2469"/>
      <c r="C31" s="2469"/>
      <c r="D31" s="4463" t="s">
        <v>8194</v>
      </c>
      <c r="E31" s="3587"/>
      <c r="F31" s="3588"/>
      <c r="G31" s="2471"/>
      <c r="H31" s="4075"/>
      <c r="I31" s="4116"/>
      <c r="J31" s="2470"/>
      <c r="K31" s="2456"/>
      <c r="O31" s="5335"/>
      <c r="P31" s="2458"/>
      <c r="Q31" s="2458"/>
      <c r="R31" s="2458"/>
      <c r="U31" s="2459"/>
    </row>
    <row r="32" spans="1:21" s="2457" customFormat="1" ht="13.5" customHeight="1">
      <c r="A32" s="4462"/>
      <c r="B32" s="2469"/>
      <c r="C32" s="2469"/>
      <c r="D32" s="4463" t="s">
        <v>6528</v>
      </c>
      <c r="E32" s="2469"/>
      <c r="F32" s="4464">
        <v>24</v>
      </c>
      <c r="G32" s="2471"/>
      <c r="H32" s="4075"/>
      <c r="I32" s="4116"/>
      <c r="J32" s="2470"/>
      <c r="P32" s="2458"/>
      <c r="Q32" s="2458"/>
      <c r="R32" s="2458"/>
    </row>
    <row r="33" spans="1:21" s="2457" customFormat="1" ht="13.5" customHeight="1">
      <c r="A33" s="4462"/>
      <c r="B33" s="2469"/>
      <c r="C33" s="2469"/>
      <c r="D33" s="4463" t="s">
        <v>6529</v>
      </c>
      <c r="E33" s="2469"/>
      <c r="F33" s="4464">
        <v>30</v>
      </c>
      <c r="G33" s="2471"/>
      <c r="H33" s="4075"/>
      <c r="I33" s="4116"/>
      <c r="J33" s="2470"/>
      <c r="P33" s="2458"/>
      <c r="Q33" s="2458"/>
      <c r="R33" s="2458"/>
    </row>
    <row r="34" spans="1:21" s="2457" customFormat="1" ht="13.5" customHeight="1">
      <c r="A34" s="4462"/>
      <c r="B34" s="2469"/>
      <c r="C34" s="2469"/>
      <c r="D34" s="4463" t="s">
        <v>6530</v>
      </c>
      <c r="E34" s="2469"/>
      <c r="F34" s="4464">
        <v>28</v>
      </c>
      <c r="G34" s="2471"/>
      <c r="H34" s="4075"/>
      <c r="I34" s="4116"/>
      <c r="J34" s="2470"/>
      <c r="P34" s="2458"/>
      <c r="Q34" s="2458"/>
      <c r="R34" s="2458"/>
    </row>
    <row r="35" spans="1:21" s="2457" customFormat="1" ht="13.5" customHeight="1">
      <c r="A35" s="4462"/>
      <c r="B35" s="2469"/>
      <c r="C35" s="2469"/>
      <c r="D35" s="4360" t="s">
        <v>8386</v>
      </c>
      <c r="E35" s="3587"/>
      <c r="F35" s="4464"/>
      <c r="G35" s="2471"/>
      <c r="H35" s="4075"/>
      <c r="I35" s="4116"/>
      <c r="J35" s="2470"/>
      <c r="N35" s="2474"/>
      <c r="P35" s="2458"/>
      <c r="Q35" s="5334"/>
      <c r="R35" s="2458"/>
    </row>
    <row r="36" spans="1:21" s="2457" customFormat="1" ht="13.5" customHeight="1">
      <c r="A36" s="2614">
        <v>5</v>
      </c>
      <c r="B36" s="2469">
        <v>741</v>
      </c>
      <c r="C36" s="2469" t="s">
        <v>8195</v>
      </c>
      <c r="D36" s="2469" t="s">
        <v>8196</v>
      </c>
      <c r="E36" s="3587" t="s">
        <v>155</v>
      </c>
      <c r="F36" s="3588">
        <f>SUM(F38:F40)</f>
        <v>46</v>
      </c>
      <c r="G36" s="2471"/>
      <c r="H36" s="3975">
        <f t="shared" ref="H36" si="4">ROUND(F36*G36,2)</f>
        <v>0</v>
      </c>
      <c r="I36" s="4116"/>
      <c r="J36" s="2470" t="s">
        <v>60</v>
      </c>
      <c r="K36" s="2455"/>
      <c r="L36" s="2456"/>
      <c r="P36" s="2458"/>
      <c r="Q36" s="2458"/>
      <c r="R36" s="2458"/>
      <c r="U36" s="2459"/>
    </row>
    <row r="37" spans="1:21" s="2457" customFormat="1" ht="13.5" customHeight="1">
      <c r="A37" s="4462"/>
      <c r="B37" s="2469"/>
      <c r="C37" s="2469"/>
      <c r="D37" s="4463" t="s">
        <v>8197</v>
      </c>
      <c r="E37" s="3587"/>
      <c r="F37" s="3588"/>
      <c r="G37" s="2471"/>
      <c r="H37" s="4075"/>
      <c r="I37" s="4116"/>
      <c r="J37" s="2470"/>
      <c r="K37" s="2526"/>
      <c r="P37" s="2458"/>
      <c r="Q37" s="2458"/>
      <c r="R37" s="2458"/>
      <c r="U37" s="2459"/>
    </row>
    <row r="38" spans="1:21" s="2457" customFormat="1" ht="13.5" customHeight="1">
      <c r="A38" s="4462"/>
      <c r="B38" s="2469"/>
      <c r="C38" s="2469"/>
      <c r="D38" s="4463" t="s">
        <v>6528</v>
      </c>
      <c r="E38" s="2469"/>
      <c r="F38" s="4464">
        <v>30</v>
      </c>
      <c r="G38" s="2471"/>
      <c r="H38" s="4075"/>
      <c r="I38" s="4116"/>
      <c r="J38" s="2470"/>
      <c r="P38" s="2458"/>
      <c r="Q38" s="2458"/>
      <c r="R38" s="2458"/>
    </row>
    <row r="39" spans="1:21" s="2457" customFormat="1" ht="13.5" customHeight="1">
      <c r="A39" s="4462"/>
      <c r="B39" s="2469"/>
      <c r="C39" s="2469"/>
      <c r="D39" s="4463" t="s">
        <v>6529</v>
      </c>
      <c r="E39" s="2469"/>
      <c r="F39" s="4464">
        <v>8</v>
      </c>
      <c r="G39" s="2471"/>
      <c r="H39" s="4075"/>
      <c r="I39" s="4116"/>
      <c r="J39" s="2470"/>
      <c r="P39" s="2458"/>
      <c r="Q39" s="2458"/>
      <c r="R39" s="2458"/>
    </row>
    <row r="40" spans="1:21" s="2560" customFormat="1" ht="13.5" customHeight="1">
      <c r="A40" s="4361"/>
      <c r="B40" s="2469"/>
      <c r="C40" s="2469"/>
      <c r="D40" s="4463" t="s">
        <v>6530</v>
      </c>
      <c r="E40" s="2469"/>
      <c r="F40" s="4464">
        <v>8</v>
      </c>
      <c r="G40" s="2471"/>
      <c r="H40" s="4075"/>
      <c r="I40" s="4116"/>
      <c r="J40" s="2470"/>
      <c r="L40" s="2457"/>
      <c r="P40" s="2458"/>
      <c r="Q40" s="2458"/>
      <c r="R40" s="2458"/>
    </row>
    <row r="41" spans="1:21" s="2457" customFormat="1" ht="13.5" customHeight="1">
      <c r="A41" s="4462"/>
      <c r="B41" s="2469"/>
      <c r="C41" s="2469"/>
      <c r="D41" s="4360" t="s">
        <v>8386</v>
      </c>
      <c r="E41" s="3587"/>
      <c r="F41" s="4464"/>
      <c r="G41" s="2471"/>
      <c r="H41" s="4075"/>
      <c r="I41" s="4116"/>
      <c r="J41" s="2470"/>
      <c r="N41" s="2474"/>
      <c r="P41" s="2458"/>
      <c r="Q41" s="5334"/>
      <c r="R41" s="2458"/>
    </row>
    <row r="42" spans="1:21" s="2457" customFormat="1" ht="13.5" customHeight="1">
      <c r="A42" s="2614">
        <v>6</v>
      </c>
      <c r="B42" s="2469">
        <v>741</v>
      </c>
      <c r="C42" s="2469" t="s">
        <v>8198</v>
      </c>
      <c r="D42" s="2469" t="s">
        <v>8199</v>
      </c>
      <c r="E42" s="3587" t="s">
        <v>155</v>
      </c>
      <c r="F42" s="3588">
        <f>SUM(F44:F46)</f>
        <v>58</v>
      </c>
      <c r="G42" s="2471"/>
      <c r="H42" s="3975">
        <f t="shared" ref="H42" si="5">ROUND(F42*G42,2)</f>
        <v>0</v>
      </c>
      <c r="I42" s="4116"/>
      <c r="J42" s="2470" t="s">
        <v>60</v>
      </c>
      <c r="K42" s="2455"/>
      <c r="L42" s="2456"/>
      <c r="N42" s="2474"/>
      <c r="P42" s="2458"/>
      <c r="Q42" s="5334"/>
      <c r="R42" s="2458"/>
      <c r="U42" s="2459"/>
    </row>
    <row r="43" spans="1:21" s="2457" customFormat="1" ht="13.5" customHeight="1">
      <c r="A43" s="4462"/>
      <c r="B43" s="2469"/>
      <c r="C43" s="2469"/>
      <c r="D43" s="4463" t="s">
        <v>8200</v>
      </c>
      <c r="E43" s="3587"/>
      <c r="F43" s="3588"/>
      <c r="G43" s="2471"/>
      <c r="H43" s="4075"/>
      <c r="I43" s="4116"/>
      <c r="J43" s="2470"/>
      <c r="K43" s="2526"/>
      <c r="O43" s="5335"/>
      <c r="P43" s="2458"/>
      <c r="Q43" s="2458"/>
      <c r="R43" s="2458"/>
      <c r="U43" s="2459"/>
    </row>
    <row r="44" spans="1:21" s="2560" customFormat="1" ht="13.5" customHeight="1">
      <c r="A44" s="4361"/>
      <c r="B44" s="2469"/>
      <c r="C44" s="2469"/>
      <c r="D44" s="4463" t="s">
        <v>6528</v>
      </c>
      <c r="E44" s="2469"/>
      <c r="F44" s="4464">
        <v>6</v>
      </c>
      <c r="G44" s="2471"/>
      <c r="H44" s="4075"/>
      <c r="I44" s="4116"/>
      <c r="J44" s="2470"/>
      <c r="L44" s="2457"/>
      <c r="P44" s="2458"/>
      <c r="Q44" s="2458"/>
      <c r="R44" s="2458"/>
    </row>
    <row r="45" spans="1:21" s="2560" customFormat="1" ht="13.5" customHeight="1">
      <c r="A45" s="4361"/>
      <c r="B45" s="2469"/>
      <c r="C45" s="2469"/>
      <c r="D45" s="4463" t="s">
        <v>6529</v>
      </c>
      <c r="E45" s="2469"/>
      <c r="F45" s="4464">
        <v>26</v>
      </c>
      <c r="G45" s="2471"/>
      <c r="H45" s="4075"/>
      <c r="I45" s="4116"/>
      <c r="J45" s="2470"/>
      <c r="L45" s="2457"/>
      <c r="P45" s="2458"/>
      <c r="Q45" s="2458"/>
      <c r="R45" s="2458"/>
    </row>
    <row r="46" spans="1:21" s="2560" customFormat="1" ht="13.5" customHeight="1">
      <c r="A46" s="4361"/>
      <c r="B46" s="2469"/>
      <c r="C46" s="2469"/>
      <c r="D46" s="4463" t="s">
        <v>6530</v>
      </c>
      <c r="E46" s="2469"/>
      <c r="F46" s="4464">
        <v>26</v>
      </c>
      <c r="G46" s="2471"/>
      <c r="H46" s="4075"/>
      <c r="I46" s="4116"/>
      <c r="J46" s="2470"/>
      <c r="L46" s="2457"/>
      <c r="P46" s="2458"/>
      <c r="Q46" s="2458"/>
      <c r="R46" s="2458"/>
    </row>
    <row r="47" spans="1:21" s="2457" customFormat="1" ht="13.5" customHeight="1">
      <c r="A47" s="4462"/>
      <c r="B47" s="2469"/>
      <c r="C47" s="2469"/>
      <c r="D47" s="4360" t="s">
        <v>8386</v>
      </c>
      <c r="E47" s="3587"/>
      <c r="F47" s="4464"/>
      <c r="G47" s="2471"/>
      <c r="H47" s="4075"/>
      <c r="I47" s="4116"/>
      <c r="J47" s="2470"/>
      <c r="N47" s="2474"/>
      <c r="P47" s="2458"/>
      <c r="Q47" s="5334"/>
      <c r="R47" s="2458"/>
    </row>
    <row r="48" spans="1:21" s="2457" customFormat="1" ht="13.5" customHeight="1">
      <c r="A48" s="2614">
        <v>7</v>
      </c>
      <c r="B48" s="2469">
        <v>741</v>
      </c>
      <c r="C48" s="2469" t="s">
        <v>8201</v>
      </c>
      <c r="D48" s="2469" t="s">
        <v>8202</v>
      </c>
      <c r="E48" s="3587" t="s">
        <v>155</v>
      </c>
      <c r="F48" s="3588">
        <f>SUM(F50:F53)</f>
        <v>133</v>
      </c>
      <c r="G48" s="2471"/>
      <c r="H48" s="3975">
        <f t="shared" ref="H48" si="6">ROUND(F48*G48,2)</f>
        <v>0</v>
      </c>
      <c r="I48" s="4116"/>
      <c r="J48" s="2470" t="s">
        <v>60</v>
      </c>
      <c r="K48" s="2455"/>
      <c r="L48" s="2456"/>
      <c r="P48" s="2458"/>
      <c r="Q48" s="2458"/>
      <c r="R48" s="2458"/>
      <c r="U48" s="2459"/>
    </row>
    <row r="49" spans="1:21" s="2457" customFormat="1" ht="13.5" customHeight="1">
      <c r="A49" s="4462"/>
      <c r="B49" s="2469"/>
      <c r="C49" s="2469"/>
      <c r="D49" s="4463" t="s">
        <v>8203</v>
      </c>
      <c r="E49" s="3587"/>
      <c r="F49" s="3588"/>
      <c r="G49" s="2471"/>
      <c r="H49" s="4075"/>
      <c r="I49" s="4116"/>
      <c r="J49" s="2470"/>
      <c r="K49" s="2526"/>
      <c r="P49" s="2458"/>
      <c r="Q49" s="2458"/>
      <c r="R49" s="2458"/>
      <c r="U49" s="2459"/>
    </row>
    <row r="50" spans="1:21" s="2560" customFormat="1" ht="13.5" customHeight="1">
      <c r="A50" s="4361"/>
      <c r="B50" s="2469"/>
      <c r="C50" s="2469"/>
      <c r="D50" s="4463" t="s">
        <v>6532</v>
      </c>
      <c r="E50" s="2469"/>
      <c r="F50" s="4464">
        <v>18</v>
      </c>
      <c r="G50" s="2471"/>
      <c r="H50" s="4075"/>
      <c r="I50" s="4116"/>
      <c r="J50" s="2470"/>
      <c r="L50" s="2457"/>
      <c r="P50" s="2458"/>
      <c r="Q50" s="2458"/>
      <c r="R50" s="2458"/>
    </row>
    <row r="51" spans="1:21" s="2560" customFormat="1" ht="13.5" customHeight="1">
      <c r="A51" s="4361"/>
      <c r="B51" s="2469"/>
      <c r="C51" s="2469"/>
      <c r="D51" s="4463" t="s">
        <v>6528</v>
      </c>
      <c r="E51" s="2469"/>
      <c r="F51" s="4464">
        <v>51</v>
      </c>
      <c r="G51" s="2471"/>
      <c r="H51" s="4075"/>
      <c r="I51" s="4116"/>
      <c r="J51" s="2470"/>
      <c r="L51" s="2457"/>
      <c r="P51" s="2458"/>
      <c r="Q51" s="2458"/>
      <c r="R51" s="2458"/>
    </row>
    <row r="52" spans="1:21" s="2560" customFormat="1" ht="13.5" customHeight="1">
      <c r="A52" s="4361"/>
      <c r="B52" s="2469"/>
      <c r="C52" s="2469"/>
      <c r="D52" s="4463" t="s">
        <v>6529</v>
      </c>
      <c r="E52" s="2469"/>
      <c r="F52" s="4464">
        <v>32</v>
      </c>
      <c r="G52" s="2471"/>
      <c r="H52" s="4075"/>
      <c r="I52" s="4116"/>
      <c r="J52" s="2470"/>
      <c r="L52" s="2457"/>
      <c r="P52" s="2458"/>
      <c r="Q52" s="2458"/>
      <c r="R52" s="2458"/>
    </row>
    <row r="53" spans="1:21" s="2560" customFormat="1" ht="13.5" customHeight="1">
      <c r="A53" s="4361"/>
      <c r="B53" s="2469"/>
      <c r="C53" s="2469"/>
      <c r="D53" s="4463" t="s">
        <v>6530</v>
      </c>
      <c r="E53" s="2469"/>
      <c r="F53" s="4464">
        <v>32</v>
      </c>
      <c r="G53" s="2471"/>
      <c r="H53" s="4075"/>
      <c r="I53" s="4116"/>
      <c r="J53" s="2470"/>
      <c r="L53" s="2457"/>
      <c r="P53" s="2458"/>
      <c r="Q53" s="2458"/>
      <c r="R53" s="2458"/>
    </row>
    <row r="54" spans="1:21" s="2457" customFormat="1" ht="13.5" customHeight="1">
      <c r="A54" s="4462"/>
      <c r="B54" s="2469"/>
      <c r="C54" s="2469"/>
      <c r="D54" s="4360" t="s">
        <v>8386</v>
      </c>
      <c r="E54" s="3587"/>
      <c r="F54" s="4464"/>
      <c r="G54" s="2471"/>
      <c r="H54" s="4075"/>
      <c r="I54" s="4116"/>
      <c r="J54" s="2470"/>
      <c r="N54" s="2474"/>
      <c r="P54" s="2458"/>
      <c r="Q54" s="5334"/>
      <c r="R54" s="2458"/>
    </row>
    <row r="55" spans="1:21" s="2457" customFormat="1" ht="13.5" customHeight="1">
      <c r="A55" s="2614">
        <v>8</v>
      </c>
      <c r="B55" s="2469">
        <v>741</v>
      </c>
      <c r="C55" s="2469" t="s">
        <v>8204</v>
      </c>
      <c r="D55" s="2469" t="s">
        <v>11579</v>
      </c>
      <c r="E55" s="3587" t="s">
        <v>155</v>
      </c>
      <c r="F55" s="3588">
        <f>SUM(F57:F59)</f>
        <v>52</v>
      </c>
      <c r="G55" s="3238"/>
      <c r="H55" s="3975">
        <f t="shared" ref="H55" si="7">ROUND(F55*G55,2)</f>
        <v>0</v>
      </c>
      <c r="I55" s="4116"/>
      <c r="J55" s="2470" t="s">
        <v>60</v>
      </c>
      <c r="K55" s="2455"/>
      <c r="L55" s="2456"/>
      <c r="P55" s="2458"/>
      <c r="Q55" s="2458"/>
      <c r="R55" s="2458"/>
      <c r="U55" s="2459"/>
    </row>
    <row r="56" spans="1:21" s="2457" customFormat="1" ht="13.5" customHeight="1">
      <c r="A56" s="4462"/>
      <c r="B56" s="2469"/>
      <c r="C56" s="2469"/>
      <c r="D56" s="4463" t="s">
        <v>11580</v>
      </c>
      <c r="E56" s="3587"/>
      <c r="F56" s="3588"/>
      <c r="G56" s="2471"/>
      <c r="H56" s="4075"/>
      <c r="I56" s="4116"/>
      <c r="J56" s="2470"/>
      <c r="K56" s="2526"/>
      <c r="P56" s="2458"/>
      <c r="Q56" s="2458"/>
      <c r="R56" s="2458"/>
      <c r="U56" s="2459"/>
    </row>
    <row r="57" spans="1:21" s="2560" customFormat="1" ht="13.5" customHeight="1">
      <c r="A57" s="4361"/>
      <c r="B57" s="2469"/>
      <c r="C57" s="2469"/>
      <c r="D57" s="4463" t="s">
        <v>6528</v>
      </c>
      <c r="E57" s="2469"/>
      <c r="F57" s="4464">
        <v>17</v>
      </c>
      <c r="G57" s="2471"/>
      <c r="H57" s="4075"/>
      <c r="I57" s="4116"/>
      <c r="J57" s="2470"/>
      <c r="L57" s="2457"/>
      <c r="P57" s="2458"/>
      <c r="Q57" s="2458"/>
      <c r="R57" s="2458"/>
    </row>
    <row r="58" spans="1:21" s="2560" customFormat="1" ht="13.5" customHeight="1">
      <c r="A58" s="4361"/>
      <c r="B58" s="2469"/>
      <c r="C58" s="2469"/>
      <c r="D58" s="4463" t="s">
        <v>6529</v>
      </c>
      <c r="E58" s="2469"/>
      <c r="F58" s="4464">
        <v>18</v>
      </c>
      <c r="G58" s="2471"/>
      <c r="H58" s="4075"/>
      <c r="I58" s="4116"/>
      <c r="J58" s="2470"/>
      <c r="L58" s="2457"/>
      <c r="P58" s="2458"/>
      <c r="Q58" s="2458"/>
      <c r="R58" s="2458"/>
    </row>
    <row r="59" spans="1:21" s="2560" customFormat="1" ht="13.5" customHeight="1">
      <c r="A59" s="4361"/>
      <c r="B59" s="2469"/>
      <c r="C59" s="2469"/>
      <c r="D59" s="4463" t="s">
        <v>6530</v>
      </c>
      <c r="E59" s="2469"/>
      <c r="F59" s="4464">
        <v>17</v>
      </c>
      <c r="G59" s="2471"/>
      <c r="H59" s="4075"/>
      <c r="I59" s="4116"/>
      <c r="J59" s="2470"/>
      <c r="L59" s="2457"/>
      <c r="P59" s="2458"/>
      <c r="Q59" s="2458"/>
      <c r="R59" s="2458"/>
    </row>
    <row r="60" spans="1:21" s="2457" customFormat="1" ht="13.5" customHeight="1">
      <c r="A60" s="4462"/>
      <c r="B60" s="2469"/>
      <c r="C60" s="2469"/>
      <c r="D60" s="4360" t="s">
        <v>8386</v>
      </c>
      <c r="E60" s="3587"/>
      <c r="F60" s="4464"/>
      <c r="G60" s="2471"/>
      <c r="H60" s="4075"/>
      <c r="I60" s="4116"/>
      <c r="J60" s="2470"/>
      <c r="N60" s="2474"/>
      <c r="P60" s="2458"/>
      <c r="Q60" s="5334"/>
      <c r="R60" s="2458"/>
    </row>
    <row r="61" spans="1:21" s="2457" customFormat="1" ht="13.5" customHeight="1">
      <c r="A61" s="2614">
        <v>9</v>
      </c>
      <c r="B61" s="2469">
        <v>741</v>
      </c>
      <c r="C61" s="2469" t="s">
        <v>8205</v>
      </c>
      <c r="D61" s="2469" t="s">
        <v>8388</v>
      </c>
      <c r="E61" s="3587" t="s">
        <v>141</v>
      </c>
      <c r="F61" s="3588">
        <f>SUM(F63:F65)</f>
        <v>40.635000000000005</v>
      </c>
      <c r="G61" s="2471"/>
      <c r="H61" s="3975">
        <f t="shared" ref="H61" si="8">ROUND(F61*G61,2)</f>
        <v>0</v>
      </c>
      <c r="I61" s="4116"/>
      <c r="J61" s="2470" t="s">
        <v>60</v>
      </c>
      <c r="K61" s="2455"/>
      <c r="L61" s="2456"/>
      <c r="P61" s="2458"/>
      <c r="Q61" s="2458"/>
      <c r="R61" s="2458"/>
      <c r="U61" s="2459"/>
    </row>
    <row r="62" spans="1:21" s="2457" customFormat="1" ht="13.5" customHeight="1">
      <c r="A62" s="4462"/>
      <c r="B62" s="2469"/>
      <c r="C62" s="2469"/>
      <c r="D62" s="4463" t="s">
        <v>8206</v>
      </c>
      <c r="E62" s="3587"/>
      <c r="F62" s="3588"/>
      <c r="G62" s="2471"/>
      <c r="H62" s="4075"/>
      <c r="I62" s="4116"/>
      <c r="J62" s="3589"/>
      <c r="K62" s="2456"/>
      <c r="P62" s="2458"/>
      <c r="Q62" s="2458"/>
      <c r="R62" s="2458"/>
      <c r="U62" s="2459"/>
    </row>
    <row r="63" spans="1:21" s="2560" customFormat="1" ht="13.5" customHeight="1">
      <c r="A63" s="4361"/>
      <c r="B63" s="2469"/>
      <c r="C63" s="2469"/>
      <c r="D63" s="4463" t="s">
        <v>8389</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8390</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8391</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8392</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8207</v>
      </c>
      <c r="D67" s="2469" t="s">
        <v>8208</v>
      </c>
      <c r="E67" s="3587" t="s">
        <v>155</v>
      </c>
      <c r="F67" s="3588">
        <f>SUM(F69:F72)</f>
        <v>19</v>
      </c>
      <c r="G67" s="2471"/>
      <c r="H67" s="3975">
        <f t="shared" ref="H67" si="9">ROUND(F67*G67,2)</f>
        <v>0</v>
      </c>
      <c r="I67" s="4116"/>
      <c r="J67" s="2470" t="s">
        <v>60</v>
      </c>
      <c r="K67" s="2455"/>
      <c r="L67" s="2456"/>
      <c r="P67" s="2458"/>
      <c r="Q67" s="2458"/>
      <c r="R67" s="2458"/>
      <c r="U67" s="2459"/>
    </row>
    <row r="68" spans="1:21" s="2457" customFormat="1" ht="13.5" customHeight="1">
      <c r="A68" s="4462"/>
      <c r="B68" s="2469"/>
      <c r="C68" s="2469"/>
      <c r="D68" s="4463" t="s">
        <v>8209</v>
      </c>
      <c r="E68" s="3587"/>
      <c r="F68" s="3588"/>
      <c r="G68" s="2471"/>
      <c r="H68" s="4075"/>
      <c r="I68" s="4116"/>
      <c r="J68" s="2470"/>
      <c r="K68" s="2526"/>
      <c r="P68" s="2458"/>
      <c r="Q68" s="2458"/>
      <c r="R68" s="2458"/>
      <c r="U68" s="2459"/>
    </row>
    <row r="69" spans="1:21" s="2457" customFormat="1" ht="13.5" customHeight="1">
      <c r="A69" s="4462"/>
      <c r="B69" s="2469"/>
      <c r="C69" s="2469"/>
      <c r="D69" s="4463" t="s">
        <v>6532</v>
      </c>
      <c r="E69" s="2469"/>
      <c r="F69" s="4464">
        <v>2</v>
      </c>
      <c r="G69" s="2471"/>
      <c r="H69" s="4075"/>
      <c r="I69" s="4116"/>
      <c r="J69" s="2470"/>
      <c r="P69" s="2458"/>
      <c r="Q69" s="2458"/>
      <c r="R69" s="2458"/>
    </row>
    <row r="70" spans="1:21" s="2560" customFormat="1" ht="13.5" customHeight="1">
      <c r="A70" s="4361"/>
      <c r="B70" s="2469"/>
      <c r="C70" s="2469"/>
      <c r="D70" s="4463" t="s">
        <v>6528</v>
      </c>
      <c r="E70" s="2469"/>
      <c r="F70" s="4464">
        <v>9</v>
      </c>
      <c r="G70" s="2471"/>
      <c r="H70" s="4075"/>
      <c r="I70" s="4116"/>
      <c r="J70" s="2470"/>
      <c r="L70" s="2457"/>
      <c r="P70" s="2458"/>
      <c r="Q70" s="2458"/>
      <c r="R70" s="2458"/>
    </row>
    <row r="71" spans="1:21" s="2560" customFormat="1" ht="13.5" customHeight="1">
      <c r="A71" s="4361"/>
      <c r="B71" s="2469"/>
      <c r="C71" s="2469"/>
      <c r="D71" s="4463" t="s">
        <v>6529</v>
      </c>
      <c r="E71" s="2469"/>
      <c r="F71" s="4464">
        <v>4</v>
      </c>
      <c r="G71" s="2471"/>
      <c r="H71" s="4075"/>
      <c r="I71" s="4116"/>
      <c r="J71" s="2470"/>
      <c r="L71" s="2457"/>
      <c r="P71" s="2458"/>
      <c r="Q71" s="2458"/>
      <c r="R71" s="2458"/>
    </row>
    <row r="72" spans="1:21" s="2560" customFormat="1" ht="13.5" customHeight="1">
      <c r="A72" s="4361"/>
      <c r="B72" s="2469"/>
      <c r="C72" s="2469"/>
      <c r="D72" s="4463" t="s">
        <v>6530</v>
      </c>
      <c r="E72" s="2469"/>
      <c r="F72" s="4464">
        <v>4</v>
      </c>
      <c r="G72" s="2471"/>
      <c r="H72" s="4075"/>
      <c r="I72" s="4116"/>
      <c r="J72" s="2470"/>
      <c r="L72" s="2457"/>
      <c r="P72" s="2458"/>
      <c r="Q72" s="2458"/>
      <c r="R72" s="2458"/>
    </row>
    <row r="73" spans="1:21" s="2457" customFormat="1" ht="13.5" customHeight="1">
      <c r="A73" s="4462"/>
      <c r="B73" s="2469"/>
      <c r="C73" s="2469"/>
      <c r="D73" s="4360" t="s">
        <v>8386</v>
      </c>
      <c r="E73" s="3587"/>
      <c r="F73" s="4464"/>
      <c r="G73" s="2471"/>
      <c r="H73" s="4075"/>
      <c r="I73" s="4116"/>
      <c r="J73" s="2470"/>
      <c r="N73" s="2474"/>
      <c r="P73" s="2458"/>
      <c r="Q73" s="5334"/>
      <c r="R73" s="2458"/>
    </row>
    <row r="74" spans="1:21" s="2457" customFormat="1" ht="13.5" customHeight="1">
      <c r="A74" s="2614">
        <v>11</v>
      </c>
      <c r="B74" s="2469">
        <v>741</v>
      </c>
      <c r="C74" s="2469" t="s">
        <v>8210</v>
      </c>
      <c r="D74" s="2469" t="s">
        <v>8211</v>
      </c>
      <c r="E74" s="3587" t="s">
        <v>155</v>
      </c>
      <c r="F74" s="3588">
        <f>SUM(F76:F76)</f>
        <v>4</v>
      </c>
      <c r="G74" s="2471"/>
      <c r="H74" s="3975">
        <f t="shared" ref="H74" si="10">ROUND(F74*G74,2)</f>
        <v>0</v>
      </c>
      <c r="I74" s="4116"/>
      <c r="J74" s="2470" t="s">
        <v>60</v>
      </c>
      <c r="L74" s="2563"/>
      <c r="P74" s="2458"/>
      <c r="Q74" s="2458"/>
      <c r="R74" s="2458"/>
    </row>
    <row r="75" spans="1:21" s="2457" customFormat="1" ht="13.5" customHeight="1">
      <c r="A75" s="4462"/>
      <c r="B75" s="2469"/>
      <c r="C75" s="2469"/>
      <c r="D75" s="4463" t="s">
        <v>8212</v>
      </c>
      <c r="E75" s="3587"/>
      <c r="F75" s="3588"/>
      <c r="G75" s="2471"/>
      <c r="H75" s="4075"/>
      <c r="I75" s="4116"/>
      <c r="J75" s="2470"/>
      <c r="K75" s="2456"/>
      <c r="P75" s="2458"/>
      <c r="Q75" s="2458"/>
      <c r="R75" s="2458"/>
      <c r="U75" s="2455"/>
    </row>
    <row r="76" spans="1:21" s="2560" customFormat="1" ht="13.5" customHeight="1">
      <c r="A76" s="4361"/>
      <c r="B76" s="2469"/>
      <c r="C76" s="2469"/>
      <c r="D76" s="4463" t="s">
        <v>6528</v>
      </c>
      <c r="E76" s="2469"/>
      <c r="F76" s="4464">
        <v>4</v>
      </c>
      <c r="G76" s="2471"/>
      <c r="H76" s="4075"/>
      <c r="I76" s="4116"/>
      <c r="J76" s="2470"/>
      <c r="L76" s="2457"/>
      <c r="P76" s="2458"/>
      <c r="Q76" s="2458"/>
      <c r="R76" s="2458"/>
    </row>
    <row r="77" spans="1:21" s="2457" customFormat="1" ht="13.5" customHeight="1">
      <c r="A77" s="4462"/>
      <c r="B77" s="2469"/>
      <c r="C77" s="2469"/>
      <c r="D77" s="4360" t="s">
        <v>8386</v>
      </c>
      <c r="E77" s="3587"/>
      <c r="F77" s="4464"/>
      <c r="G77" s="2471"/>
      <c r="H77" s="4075"/>
      <c r="I77" s="4116"/>
      <c r="J77" s="2470"/>
      <c r="N77" s="2474"/>
      <c r="P77" s="2458"/>
      <c r="Q77" s="5334"/>
      <c r="R77" s="2458"/>
    </row>
    <row r="78" spans="1:21" s="2457" customFormat="1" ht="13.5" customHeight="1">
      <c r="A78" s="2614">
        <v>12</v>
      </c>
      <c r="B78" s="2469">
        <v>741</v>
      </c>
      <c r="C78" s="2469" t="s">
        <v>8213</v>
      </c>
      <c r="D78" s="2469" t="s">
        <v>8214</v>
      </c>
      <c r="E78" s="3587" t="s">
        <v>155</v>
      </c>
      <c r="F78" s="3588">
        <f>SUM(F80:F82)</f>
        <v>34</v>
      </c>
      <c r="G78" s="2471"/>
      <c r="H78" s="3975">
        <f t="shared" ref="H78" si="11">ROUND(F78*G78,2)</f>
        <v>0</v>
      </c>
      <c r="I78" s="4116"/>
      <c r="J78" s="2470" t="s">
        <v>60</v>
      </c>
      <c r="K78" s="2563"/>
      <c r="P78" s="2458"/>
      <c r="Q78" s="2458"/>
      <c r="R78" s="2458"/>
    </row>
    <row r="79" spans="1:21" s="2457" customFormat="1" ht="13.5" customHeight="1">
      <c r="A79" s="4462"/>
      <c r="B79" s="2469"/>
      <c r="C79" s="2469"/>
      <c r="D79" s="4463" t="s">
        <v>8215</v>
      </c>
      <c r="E79" s="3587"/>
      <c r="F79" s="3588"/>
      <c r="G79" s="2471"/>
      <c r="H79" s="4075"/>
      <c r="I79" s="4116"/>
      <c r="J79" s="2470"/>
      <c r="K79" s="2456"/>
      <c r="P79" s="2458"/>
      <c r="Q79" s="2458"/>
      <c r="R79" s="2458"/>
      <c r="U79" s="2459"/>
    </row>
    <row r="80" spans="1:21" s="2560" customFormat="1" ht="13.5" customHeight="1">
      <c r="A80" s="4361"/>
      <c r="B80" s="2469"/>
      <c r="C80" s="2469"/>
      <c r="D80" s="4463" t="s">
        <v>6528</v>
      </c>
      <c r="E80" s="2469"/>
      <c r="F80" s="4464">
        <v>6</v>
      </c>
      <c r="G80" s="2471"/>
      <c r="H80" s="4075"/>
      <c r="I80" s="4116"/>
      <c r="J80" s="2470"/>
      <c r="L80" s="2457"/>
      <c r="P80" s="2458"/>
      <c r="Q80" s="2458"/>
      <c r="R80" s="2458"/>
    </row>
    <row r="81" spans="1:21" s="2560" customFormat="1" ht="13.5" customHeight="1">
      <c r="A81" s="4361"/>
      <c r="B81" s="2469"/>
      <c r="C81" s="2469"/>
      <c r="D81" s="4463" t="s">
        <v>6529</v>
      </c>
      <c r="E81" s="2469"/>
      <c r="F81" s="4464">
        <v>14</v>
      </c>
      <c r="G81" s="2471"/>
      <c r="H81" s="4075"/>
      <c r="I81" s="4116"/>
      <c r="J81" s="2470"/>
      <c r="L81" s="2457"/>
      <c r="P81" s="2458"/>
      <c r="Q81" s="2458"/>
      <c r="R81" s="2458"/>
    </row>
    <row r="82" spans="1:21" s="2560" customFormat="1" ht="13.5" customHeight="1">
      <c r="A82" s="4361"/>
      <c r="B82" s="2469"/>
      <c r="C82" s="2469"/>
      <c r="D82" s="4463" t="s">
        <v>6530</v>
      </c>
      <c r="E82" s="2469"/>
      <c r="F82" s="4464">
        <v>14</v>
      </c>
      <c r="G82" s="2471"/>
      <c r="H82" s="4075"/>
      <c r="I82" s="4116"/>
      <c r="J82" s="2470"/>
      <c r="L82" s="2457"/>
      <c r="P82" s="2458"/>
      <c r="Q82" s="2458"/>
      <c r="R82" s="2458"/>
    </row>
    <row r="83" spans="1:21" s="2457" customFormat="1" ht="13.5" customHeight="1">
      <c r="A83" s="4462"/>
      <c r="B83" s="2469"/>
      <c r="C83" s="2469"/>
      <c r="D83" s="4360" t="s">
        <v>8386</v>
      </c>
      <c r="E83" s="3587"/>
      <c r="F83" s="4464"/>
      <c r="G83" s="2471"/>
      <c r="H83" s="4075"/>
      <c r="I83" s="4116"/>
      <c r="J83" s="2470"/>
      <c r="N83" s="2474"/>
      <c r="P83" s="2458"/>
      <c r="Q83" s="5334"/>
      <c r="R83" s="2458"/>
    </row>
    <row r="84" spans="1:21" s="2457" customFormat="1" ht="13.5" customHeight="1">
      <c r="A84" s="2614">
        <v>13</v>
      </c>
      <c r="B84" s="2469">
        <v>741</v>
      </c>
      <c r="C84" s="2469" t="s">
        <v>8216</v>
      </c>
      <c r="D84" s="2469" t="s">
        <v>8217</v>
      </c>
      <c r="E84" s="3587" t="s">
        <v>155</v>
      </c>
      <c r="F84" s="3588">
        <f>SUM(F86:F88)</f>
        <v>37</v>
      </c>
      <c r="G84" s="5739" t="s">
        <v>11578</v>
      </c>
      <c r="H84" s="5740"/>
      <c r="I84" s="4116"/>
      <c r="J84" s="2470" t="s">
        <v>60</v>
      </c>
      <c r="K84" s="5336"/>
      <c r="L84" s="2456"/>
      <c r="P84" s="2458"/>
      <c r="Q84" s="2458"/>
      <c r="R84" s="2458"/>
      <c r="U84" s="2459"/>
    </row>
    <row r="85" spans="1:21" s="2457" customFormat="1" ht="13.5" customHeight="1">
      <c r="A85" s="4462"/>
      <c r="B85" s="2469"/>
      <c r="C85" s="2469"/>
      <c r="D85" s="4463" t="s">
        <v>8218</v>
      </c>
      <c r="E85" s="3587"/>
      <c r="F85" s="3588"/>
      <c r="G85" s="2471"/>
      <c r="H85" s="4075"/>
      <c r="I85" s="4116"/>
      <c r="J85" s="2470"/>
      <c r="K85" s="2526"/>
      <c r="P85" s="2458"/>
      <c r="Q85" s="2458"/>
      <c r="R85" s="2458"/>
      <c r="S85" s="2458"/>
      <c r="U85" s="2459"/>
    </row>
    <row r="86" spans="1:21" s="2560" customFormat="1" ht="13.5" customHeight="1">
      <c r="A86" s="4361"/>
      <c r="B86" s="2469"/>
      <c r="C86" s="2469"/>
      <c r="D86" s="4463" t="s">
        <v>6528</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6529</v>
      </c>
      <c r="E87" s="2469"/>
      <c r="F87" s="4464">
        <v>15</v>
      </c>
      <c r="G87" s="2471"/>
      <c r="H87" s="4075"/>
      <c r="I87" s="4116"/>
      <c r="J87" s="2470"/>
      <c r="L87" s="2457"/>
      <c r="P87" s="2458"/>
      <c r="Q87" s="2458"/>
      <c r="R87" s="2458"/>
    </row>
    <row r="88" spans="1:21" s="2560" customFormat="1" ht="13.5" customHeight="1">
      <c r="A88" s="4361"/>
      <c r="B88" s="2469"/>
      <c r="C88" s="2469"/>
      <c r="D88" s="4463" t="s">
        <v>6530</v>
      </c>
      <c r="E88" s="2469"/>
      <c r="F88" s="4464">
        <v>15</v>
      </c>
      <c r="G88" s="2471"/>
      <c r="H88" s="4075"/>
      <c r="I88" s="4116"/>
      <c r="J88" s="2470"/>
      <c r="L88" s="2457"/>
      <c r="P88" s="2458"/>
      <c r="Q88" s="2458"/>
      <c r="R88" s="2458"/>
    </row>
    <row r="89" spans="1:21" s="2457" customFormat="1" ht="13.5" customHeight="1">
      <c r="A89" s="4462"/>
      <c r="B89" s="2469"/>
      <c r="C89" s="2469"/>
      <c r="D89" s="4360" t="s">
        <v>8386</v>
      </c>
      <c r="E89" s="3587"/>
      <c r="F89" s="4464"/>
      <c r="G89" s="2471"/>
      <c r="H89" s="4075"/>
      <c r="I89" s="4116"/>
      <c r="J89" s="2470"/>
      <c r="N89" s="2474"/>
      <c r="P89" s="2458"/>
      <c r="Q89" s="5334"/>
      <c r="R89" s="2458"/>
    </row>
    <row r="90" spans="1:21" s="2457" customFormat="1" ht="13.5" customHeight="1">
      <c r="A90" s="2614">
        <v>14</v>
      </c>
      <c r="B90" s="2469">
        <v>741</v>
      </c>
      <c r="C90" s="2469" t="s">
        <v>8219</v>
      </c>
      <c r="D90" s="2469" t="s">
        <v>8220</v>
      </c>
      <c r="E90" s="3587" t="s">
        <v>155</v>
      </c>
      <c r="F90" s="3588">
        <f>SUM(F92:F94)</f>
        <v>34</v>
      </c>
      <c r="G90" s="2471"/>
      <c r="H90" s="3975">
        <f t="shared" ref="H90" si="12">ROUND(F90*G90,2)</f>
        <v>0</v>
      </c>
      <c r="I90" s="4116"/>
      <c r="J90" s="2470" t="s">
        <v>60</v>
      </c>
      <c r="K90" s="2455"/>
      <c r="L90" s="2456"/>
      <c r="P90" s="2458"/>
      <c r="Q90" s="2458"/>
      <c r="R90" s="2458"/>
      <c r="U90" s="2459"/>
    </row>
    <row r="91" spans="1:21" s="2457" customFormat="1" ht="13.5" customHeight="1">
      <c r="A91" s="4462"/>
      <c r="B91" s="2469"/>
      <c r="C91" s="2469"/>
      <c r="D91" s="4463" t="s">
        <v>8221</v>
      </c>
      <c r="E91" s="3587"/>
      <c r="F91" s="3588"/>
      <c r="G91" s="2471"/>
      <c r="H91" s="4075"/>
      <c r="I91" s="4116"/>
      <c r="J91" s="2470"/>
      <c r="K91" s="2526"/>
      <c r="P91" s="2458"/>
      <c r="Q91" s="2458"/>
      <c r="R91" s="2458"/>
      <c r="S91" s="2458"/>
      <c r="U91" s="2459"/>
    </row>
    <row r="92" spans="1:21" s="2560" customFormat="1" ht="13.5" customHeight="1">
      <c r="A92" s="4361"/>
      <c r="B92" s="2469"/>
      <c r="C92" s="2469"/>
      <c r="D92" s="4463" t="s">
        <v>6528</v>
      </c>
      <c r="E92" s="2469"/>
      <c r="F92" s="4464">
        <v>6</v>
      </c>
      <c r="G92" s="2471"/>
      <c r="H92" s="4075"/>
      <c r="I92" s="4116"/>
      <c r="J92" s="2470"/>
      <c r="L92" s="2457"/>
      <c r="P92" s="2458"/>
      <c r="Q92" s="2458"/>
      <c r="R92" s="2455"/>
    </row>
    <row r="93" spans="1:21" s="2560" customFormat="1" ht="13.5" customHeight="1">
      <c r="A93" s="4361"/>
      <c r="B93" s="2469"/>
      <c r="C93" s="2469"/>
      <c r="D93" s="4463" t="s">
        <v>6529</v>
      </c>
      <c r="E93" s="2469"/>
      <c r="F93" s="4464">
        <v>14</v>
      </c>
      <c r="G93" s="2471"/>
      <c r="H93" s="4075"/>
      <c r="I93" s="4116"/>
      <c r="J93" s="2470"/>
      <c r="L93" s="2457"/>
      <c r="P93" s="2458"/>
      <c r="Q93" s="2458"/>
      <c r="R93" s="2458"/>
    </row>
    <row r="94" spans="1:21" s="2560" customFormat="1" ht="13.5" customHeight="1">
      <c r="A94" s="4361"/>
      <c r="B94" s="2469"/>
      <c r="C94" s="2469"/>
      <c r="D94" s="4463" t="s">
        <v>6530</v>
      </c>
      <c r="E94" s="2469"/>
      <c r="F94" s="4464">
        <v>14</v>
      </c>
      <c r="G94" s="2471"/>
      <c r="H94" s="4075"/>
      <c r="I94" s="4116"/>
      <c r="J94" s="2470"/>
      <c r="L94" s="2457"/>
      <c r="P94" s="2458"/>
      <c r="Q94" s="2458"/>
      <c r="R94" s="2458"/>
    </row>
    <row r="95" spans="1:21" s="2457" customFormat="1" ht="13.5" customHeight="1">
      <c r="A95" s="4462"/>
      <c r="B95" s="2469"/>
      <c r="C95" s="2469"/>
      <c r="D95" s="4360" t="s">
        <v>8386</v>
      </c>
      <c r="E95" s="3587"/>
      <c r="F95" s="4464"/>
      <c r="G95" s="2471"/>
      <c r="H95" s="4075"/>
      <c r="I95" s="4116"/>
      <c r="J95" s="2470"/>
      <c r="N95" s="2474"/>
      <c r="P95" s="2458"/>
      <c r="Q95" s="5334"/>
      <c r="R95" s="2458"/>
    </row>
    <row r="96" spans="1:21" s="2457" customFormat="1" ht="13.5" customHeight="1">
      <c r="A96" s="2614">
        <v>15</v>
      </c>
      <c r="B96" s="2469">
        <v>741</v>
      </c>
      <c r="C96" s="2469" t="s">
        <v>8222</v>
      </c>
      <c r="D96" s="2469" t="s">
        <v>8223</v>
      </c>
      <c r="E96" s="3587" t="s">
        <v>155</v>
      </c>
      <c r="F96" s="3588">
        <f>SUM(F98:F98)</f>
        <v>31</v>
      </c>
      <c r="G96" s="2471"/>
      <c r="H96" s="3975">
        <f t="shared" ref="H96" si="13">ROUND(F96*G96,2)</f>
        <v>0</v>
      </c>
      <c r="I96" s="4116"/>
      <c r="J96" s="2470" t="s">
        <v>60</v>
      </c>
      <c r="K96" s="2455"/>
      <c r="L96" s="2456"/>
      <c r="P96" s="2458"/>
      <c r="Q96" s="2458"/>
      <c r="R96" s="2458"/>
      <c r="U96" s="2459"/>
    </row>
    <row r="97" spans="1:21" s="2457" customFormat="1" ht="13.5" customHeight="1">
      <c r="A97" s="4462"/>
      <c r="B97" s="2469"/>
      <c r="C97" s="2469"/>
      <c r="D97" s="4463" t="s">
        <v>8224</v>
      </c>
      <c r="E97" s="3587"/>
      <c r="F97" s="3588"/>
      <c r="G97" s="2471"/>
      <c r="H97" s="4075"/>
      <c r="I97" s="4116"/>
      <c r="J97" s="2470"/>
      <c r="K97" s="2526"/>
      <c r="P97" s="2458"/>
      <c r="Q97" s="2458"/>
      <c r="R97" s="2458"/>
      <c r="U97" s="2459"/>
    </row>
    <row r="98" spans="1:21" s="2560" customFormat="1" ht="13.5" customHeight="1">
      <c r="A98" s="4361"/>
      <c r="B98" s="2469"/>
      <c r="C98" s="2469"/>
      <c r="D98" s="4463" t="s">
        <v>6532</v>
      </c>
      <c r="E98" s="2469"/>
      <c r="F98" s="4464">
        <v>31</v>
      </c>
      <c r="G98" s="2471"/>
      <c r="H98" s="4075"/>
      <c r="I98" s="4116"/>
      <c r="J98" s="2470"/>
      <c r="L98" s="2457"/>
      <c r="P98" s="2458"/>
      <c r="Q98" s="2458"/>
      <c r="R98" s="2458"/>
    </row>
    <row r="99" spans="1:21" s="2457" customFormat="1" ht="13.5" customHeight="1">
      <c r="A99" s="4462"/>
      <c r="B99" s="2469"/>
      <c r="C99" s="2469"/>
      <c r="D99" s="4360" t="s">
        <v>7141</v>
      </c>
      <c r="E99" s="3587"/>
      <c r="F99" s="4464"/>
      <c r="G99" s="2471"/>
      <c r="H99" s="4075"/>
      <c r="I99" s="4116"/>
      <c r="J99" s="2470"/>
      <c r="N99" s="2474"/>
      <c r="P99" s="2458"/>
      <c r="Q99" s="5334"/>
      <c r="R99" s="2458"/>
    </row>
    <row r="100" spans="1:21" s="2457" customFormat="1" ht="13.5" customHeight="1">
      <c r="A100" s="2614">
        <v>16</v>
      </c>
      <c r="B100" s="2469">
        <v>741</v>
      </c>
      <c r="C100" s="2469" t="s">
        <v>8225</v>
      </c>
      <c r="D100" s="2469" t="s">
        <v>8226</v>
      </c>
      <c r="E100" s="3587" t="s">
        <v>155</v>
      </c>
      <c r="F100" s="3588">
        <f>SUM(F102:F102)</f>
        <v>15</v>
      </c>
      <c r="G100" s="2471"/>
      <c r="H100" s="3975">
        <f t="shared" ref="H100" si="14">ROUND(F100*G100,2)</f>
        <v>0</v>
      </c>
      <c r="I100" s="4116"/>
      <c r="J100" s="2470" t="s">
        <v>60</v>
      </c>
      <c r="K100" s="2455"/>
      <c r="L100" s="2456"/>
      <c r="P100" s="2458"/>
      <c r="Q100" s="2458"/>
      <c r="R100" s="2458"/>
      <c r="U100" s="2459"/>
    </row>
    <row r="101" spans="1:21" s="2457" customFormat="1" ht="13.5" customHeight="1">
      <c r="A101" s="4462"/>
      <c r="B101" s="2469"/>
      <c r="C101" s="2469"/>
      <c r="D101" s="4463" t="s">
        <v>8227</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6532</v>
      </c>
      <c r="E102" s="2469"/>
      <c r="F102" s="4464">
        <v>15</v>
      </c>
      <c r="G102" s="2471"/>
      <c r="H102" s="4075"/>
      <c r="I102" s="4116"/>
      <c r="J102" s="2470"/>
      <c r="L102" s="2457"/>
      <c r="P102" s="2458"/>
      <c r="Q102" s="2458"/>
      <c r="R102" s="2458"/>
    </row>
    <row r="103" spans="1:21" s="2457" customFormat="1" ht="13.5" customHeight="1">
      <c r="A103" s="4462"/>
      <c r="B103" s="2469"/>
      <c r="C103" s="2469"/>
      <c r="D103" s="4360" t="s">
        <v>7141</v>
      </c>
      <c r="E103" s="3587"/>
      <c r="F103" s="4464"/>
      <c r="G103" s="2471"/>
      <c r="H103" s="4075"/>
      <c r="I103" s="4116"/>
      <c r="J103" s="2470"/>
      <c r="N103" s="2474"/>
      <c r="P103" s="2458"/>
      <c r="Q103" s="5334"/>
      <c r="R103" s="2458"/>
    </row>
    <row r="104" spans="1:21" s="2457" customFormat="1" ht="13.5" customHeight="1">
      <c r="A104" s="2614">
        <v>17</v>
      </c>
      <c r="B104" s="2469">
        <v>741</v>
      </c>
      <c r="C104" s="2469" t="s">
        <v>8228</v>
      </c>
      <c r="D104" s="2469" t="s">
        <v>8229</v>
      </c>
      <c r="E104" s="3587" t="s">
        <v>155</v>
      </c>
      <c r="F104" s="3588">
        <f>SUM(F106:F106)</f>
        <v>12</v>
      </c>
      <c r="G104" s="2471"/>
      <c r="H104" s="3975">
        <f t="shared" ref="H104" si="15">ROUND(F104*G104,2)</f>
        <v>0</v>
      </c>
      <c r="I104" s="4116"/>
      <c r="J104" s="2470" t="s">
        <v>60</v>
      </c>
      <c r="K104" s="2455"/>
      <c r="L104" s="2456"/>
      <c r="P104" s="2458"/>
      <c r="Q104" s="2458"/>
      <c r="R104" s="2458"/>
      <c r="U104" s="2459"/>
    </row>
    <row r="105" spans="1:21" s="2457" customFormat="1" ht="13.5" customHeight="1">
      <c r="A105" s="4462"/>
      <c r="B105" s="2469"/>
      <c r="C105" s="2469"/>
      <c r="D105" s="4463" t="s">
        <v>8230</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6528</v>
      </c>
      <c r="E106" s="2469"/>
      <c r="F106" s="4464">
        <v>12</v>
      </c>
      <c r="G106" s="2471"/>
      <c r="H106" s="4075"/>
      <c r="I106" s="4116"/>
      <c r="J106" s="2470"/>
      <c r="L106" s="2457"/>
      <c r="P106" s="2458"/>
      <c r="Q106" s="2458"/>
      <c r="R106" s="2455"/>
    </row>
    <row r="107" spans="1:21" s="2457" customFormat="1" ht="13.5" customHeight="1">
      <c r="A107" s="4462"/>
      <c r="B107" s="2469"/>
      <c r="C107" s="2469"/>
      <c r="D107" s="4360" t="s">
        <v>8386</v>
      </c>
      <c r="E107" s="3587"/>
      <c r="F107" s="4464"/>
      <c r="G107" s="2471"/>
      <c r="H107" s="4075"/>
      <c r="I107" s="4116"/>
      <c r="J107" s="2470"/>
      <c r="N107" s="2474"/>
      <c r="P107" s="2458"/>
      <c r="Q107" s="5334"/>
      <c r="R107" s="2458"/>
    </row>
    <row r="108" spans="1:21" s="2457" customFormat="1" ht="13.5" customHeight="1">
      <c r="A108" s="2614">
        <v>18</v>
      </c>
      <c r="B108" s="2469">
        <v>741</v>
      </c>
      <c r="C108" s="2469" t="s">
        <v>8231</v>
      </c>
      <c r="D108" s="2469" t="s">
        <v>8232</v>
      </c>
      <c r="E108" s="3587" t="s">
        <v>155</v>
      </c>
      <c r="F108" s="3588">
        <f>SUM(F110:F112)</f>
        <v>33</v>
      </c>
      <c r="G108" s="2471"/>
      <c r="H108" s="3975">
        <f t="shared" ref="H108" si="16">ROUND(F108*G108,2)</f>
        <v>0</v>
      </c>
      <c r="I108" s="4116"/>
      <c r="J108" s="2470" t="s">
        <v>60</v>
      </c>
      <c r="K108" s="2455"/>
      <c r="L108" s="2456"/>
      <c r="P108" s="2458"/>
      <c r="Q108" s="2458"/>
      <c r="R108" s="2458"/>
      <c r="U108" s="2459"/>
    </row>
    <row r="109" spans="1:21" s="2457" customFormat="1" ht="13.5" customHeight="1">
      <c r="A109" s="4462"/>
      <c r="B109" s="2469"/>
      <c r="C109" s="2469"/>
      <c r="D109" s="4463" t="s">
        <v>8233</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6528</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6529</v>
      </c>
      <c r="E111" s="2469"/>
      <c r="F111" s="4464">
        <v>15</v>
      </c>
      <c r="G111" s="2471"/>
      <c r="H111" s="4075"/>
      <c r="I111" s="4116"/>
      <c r="J111" s="2470"/>
      <c r="L111" s="2457"/>
      <c r="P111" s="2458"/>
      <c r="Q111" s="2458"/>
      <c r="R111" s="2458"/>
    </row>
    <row r="112" spans="1:21" s="2560" customFormat="1" ht="13.5" customHeight="1">
      <c r="A112" s="4361"/>
      <c r="B112" s="2469"/>
      <c r="C112" s="2469"/>
      <c r="D112" s="4463" t="s">
        <v>6530</v>
      </c>
      <c r="E112" s="2469"/>
      <c r="F112" s="4464">
        <v>12</v>
      </c>
      <c r="G112" s="2471"/>
      <c r="H112" s="4075"/>
      <c r="I112" s="4116"/>
      <c r="J112" s="2470"/>
      <c r="L112" s="2457"/>
      <c r="P112" s="2458"/>
      <c r="Q112" s="2458"/>
      <c r="R112" s="2458"/>
    </row>
    <row r="113" spans="1:21" s="2457" customFormat="1" ht="13.5" customHeight="1">
      <c r="A113" s="4462"/>
      <c r="B113" s="2469"/>
      <c r="C113" s="2469"/>
      <c r="D113" s="4360" t="s">
        <v>8386</v>
      </c>
      <c r="E113" s="3587"/>
      <c r="F113" s="4464"/>
      <c r="G113" s="2471"/>
      <c r="H113" s="4075"/>
      <c r="I113" s="4116"/>
      <c r="J113" s="2470"/>
      <c r="N113" s="2474"/>
      <c r="P113" s="2458"/>
      <c r="Q113" s="5334"/>
      <c r="R113" s="2458"/>
    </row>
    <row r="114" spans="1:21" s="2457" customFormat="1" ht="13.5" customHeight="1">
      <c r="A114" s="2614">
        <v>19</v>
      </c>
      <c r="B114" s="2469">
        <v>741</v>
      </c>
      <c r="C114" s="2469" t="s">
        <v>8234</v>
      </c>
      <c r="D114" s="2469" t="s">
        <v>8235</v>
      </c>
      <c r="E114" s="3587" t="s">
        <v>155</v>
      </c>
      <c r="F114" s="3588">
        <f>SUM(F116:F116)</f>
        <v>15</v>
      </c>
      <c r="G114" s="2471"/>
      <c r="H114" s="3975">
        <f t="shared" ref="H114" si="17">ROUND(F114*G114,2)</f>
        <v>0</v>
      </c>
      <c r="I114" s="4116"/>
      <c r="J114" s="2470" t="s">
        <v>60</v>
      </c>
      <c r="K114" s="2563"/>
      <c r="P114" s="2458"/>
      <c r="Q114" s="5334"/>
      <c r="R114" s="2458"/>
    </row>
    <row r="115" spans="1:21" s="2457" customFormat="1" ht="13.5" customHeight="1">
      <c r="A115" s="4462"/>
      <c r="B115" s="2469"/>
      <c r="C115" s="2469"/>
      <c r="D115" s="4463" t="s">
        <v>8236</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6532</v>
      </c>
      <c r="E116" s="2469"/>
      <c r="F116" s="4464">
        <v>15</v>
      </c>
      <c r="G116" s="2471"/>
      <c r="H116" s="4075"/>
      <c r="I116" s="4116"/>
      <c r="J116" s="2470"/>
      <c r="N116" s="2474"/>
      <c r="P116" s="2458"/>
      <c r="Q116" s="5334"/>
      <c r="R116" s="2458"/>
    </row>
    <row r="117" spans="1:21" s="2457" customFormat="1" ht="13.5" customHeight="1">
      <c r="A117" s="4462"/>
      <c r="B117" s="2469"/>
      <c r="C117" s="2469"/>
      <c r="D117" s="4360" t="s">
        <v>7141</v>
      </c>
      <c r="E117" s="3587"/>
      <c r="F117" s="4464"/>
      <c r="G117" s="2471"/>
      <c r="H117" s="4075"/>
      <c r="I117" s="4116"/>
      <c r="J117" s="2470"/>
      <c r="N117" s="2474"/>
      <c r="P117" s="2458"/>
      <c r="Q117" s="5334"/>
      <c r="R117" s="2458"/>
    </row>
    <row r="118" spans="1:21" s="2457" customFormat="1" ht="13.5" customHeight="1">
      <c r="A118" s="2614">
        <v>20</v>
      </c>
      <c r="B118" s="2469">
        <v>741</v>
      </c>
      <c r="C118" s="2469" t="s">
        <v>8237</v>
      </c>
      <c r="D118" s="2469" t="s">
        <v>8238</v>
      </c>
      <c r="E118" s="3587" t="s">
        <v>155</v>
      </c>
      <c r="F118" s="3588">
        <f>SUM(F120:F123)</f>
        <v>55</v>
      </c>
      <c r="G118" s="2471"/>
      <c r="H118" s="3975">
        <f t="shared" ref="H118" si="18">ROUND(F118*G118,2)</f>
        <v>0</v>
      </c>
      <c r="I118" s="4116"/>
      <c r="J118" s="2470" t="s">
        <v>60</v>
      </c>
      <c r="N118" s="2474"/>
      <c r="P118" s="2458"/>
      <c r="Q118" s="5334"/>
      <c r="R118" s="2458"/>
    </row>
    <row r="119" spans="1:21" s="2457" customFormat="1" ht="13.5" customHeight="1">
      <c r="A119" s="4462"/>
      <c r="B119" s="2469"/>
      <c r="C119" s="2469"/>
      <c r="D119" s="4463" t="s">
        <v>8239</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6532</v>
      </c>
      <c r="E120" s="2469"/>
      <c r="F120" s="4464">
        <v>21</v>
      </c>
      <c r="G120" s="2471"/>
      <c r="H120" s="4075"/>
      <c r="I120" s="4116"/>
      <c r="J120" s="2470"/>
      <c r="N120" s="2474"/>
      <c r="P120" s="2455"/>
      <c r="Q120" s="5334"/>
      <c r="R120" s="2458"/>
    </row>
    <row r="121" spans="1:21" s="2457" customFormat="1" ht="13.5" customHeight="1">
      <c r="A121" s="4361"/>
      <c r="B121" s="2469"/>
      <c r="C121" s="2469"/>
      <c r="D121" s="4463" t="s">
        <v>6528</v>
      </c>
      <c r="E121" s="2469"/>
      <c r="F121" s="4464">
        <v>7</v>
      </c>
      <c r="G121" s="2471"/>
      <c r="H121" s="4075"/>
      <c r="I121" s="4116"/>
      <c r="J121" s="2470"/>
      <c r="N121" s="2474"/>
      <c r="P121" s="2458"/>
      <c r="Q121" s="5334"/>
      <c r="R121" s="2458"/>
    </row>
    <row r="122" spans="1:21" s="2457" customFormat="1" ht="13.5" customHeight="1">
      <c r="A122" s="4361"/>
      <c r="B122" s="2469"/>
      <c r="C122" s="2469"/>
      <c r="D122" s="4463" t="s">
        <v>6529</v>
      </c>
      <c r="E122" s="2469"/>
      <c r="F122" s="4464">
        <v>14</v>
      </c>
      <c r="G122" s="2471"/>
      <c r="H122" s="4075"/>
      <c r="I122" s="4116"/>
      <c r="J122" s="2470"/>
      <c r="N122" s="2474"/>
      <c r="P122" s="2458"/>
      <c r="Q122" s="5334"/>
      <c r="R122" s="2458"/>
    </row>
    <row r="123" spans="1:21" s="2457" customFormat="1" ht="13.5" customHeight="1">
      <c r="A123" s="4361"/>
      <c r="B123" s="2469"/>
      <c r="C123" s="2469"/>
      <c r="D123" s="4463" t="s">
        <v>6530</v>
      </c>
      <c r="E123" s="2469"/>
      <c r="F123" s="4464">
        <v>13</v>
      </c>
      <c r="G123" s="2471"/>
      <c r="H123" s="4075"/>
      <c r="I123" s="4116"/>
      <c r="J123" s="2470"/>
      <c r="N123" s="2474"/>
      <c r="P123" s="2458"/>
      <c r="Q123" s="5334"/>
      <c r="R123" s="2458"/>
    </row>
    <row r="124" spans="1:21" s="2457" customFormat="1" ht="13.5" customHeight="1">
      <c r="A124" s="4462"/>
      <c r="B124" s="2469"/>
      <c r="C124" s="2469"/>
      <c r="D124" s="4360" t="s">
        <v>8386</v>
      </c>
      <c r="E124" s="3587"/>
      <c r="F124" s="4464"/>
      <c r="G124" s="2471"/>
      <c r="H124" s="4075"/>
      <c r="I124" s="4116"/>
      <c r="J124" s="2470"/>
      <c r="N124" s="2474"/>
      <c r="P124" s="2458"/>
      <c r="Q124" s="5334"/>
      <c r="R124" s="2458"/>
    </row>
    <row r="125" spans="1:21" s="2457" customFormat="1" ht="13.5" customHeight="1">
      <c r="A125" s="2614">
        <v>21</v>
      </c>
      <c r="B125" s="2469">
        <v>741</v>
      </c>
      <c r="C125" s="2469" t="s">
        <v>8240</v>
      </c>
      <c r="D125" s="2469" t="s">
        <v>8241</v>
      </c>
      <c r="E125" s="3587" t="s">
        <v>155</v>
      </c>
      <c r="F125" s="3588">
        <f>SUM(F127:F130)</f>
        <v>140</v>
      </c>
      <c r="G125" s="2471"/>
      <c r="H125" s="3975">
        <f t="shared" ref="H125" si="19">ROUND(F125*G125,2)</f>
        <v>0</v>
      </c>
      <c r="I125" s="4116"/>
      <c r="J125" s="2470" t="s">
        <v>60</v>
      </c>
      <c r="N125" s="2474"/>
      <c r="P125" s="2458"/>
      <c r="Q125" s="5334"/>
      <c r="R125" s="2458"/>
    </row>
    <row r="126" spans="1:21" s="2457" customFormat="1" ht="13.5" customHeight="1">
      <c r="A126" s="4462"/>
      <c r="B126" s="2469"/>
      <c r="C126" s="2469"/>
      <c r="D126" s="4463" t="s">
        <v>8239</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6532</v>
      </c>
      <c r="E127" s="2469"/>
      <c r="F127" s="4464">
        <v>20</v>
      </c>
      <c r="G127" s="2471"/>
      <c r="H127" s="4075"/>
      <c r="I127" s="4116"/>
      <c r="J127" s="2470"/>
      <c r="N127" s="2474"/>
      <c r="P127" s="2458"/>
      <c r="Q127" s="5334"/>
      <c r="R127" s="2458"/>
    </row>
    <row r="128" spans="1:21" s="2457" customFormat="1" ht="13.5" customHeight="1">
      <c r="A128" s="4361"/>
      <c r="B128" s="2469"/>
      <c r="C128" s="2469"/>
      <c r="D128" s="4463" t="s">
        <v>6528</v>
      </c>
      <c r="E128" s="2469"/>
      <c r="F128" s="4464">
        <v>33</v>
      </c>
      <c r="G128" s="2471"/>
      <c r="H128" s="4075"/>
      <c r="I128" s="4116"/>
      <c r="J128" s="2470"/>
      <c r="N128" s="2474"/>
      <c r="P128" s="2458"/>
      <c r="Q128" s="5334"/>
      <c r="R128" s="2458"/>
    </row>
    <row r="129" spans="1:21" s="2457" customFormat="1" ht="13.5" customHeight="1">
      <c r="A129" s="4361"/>
      <c r="B129" s="2469"/>
      <c r="C129" s="2469"/>
      <c r="D129" s="4463" t="s">
        <v>6529</v>
      </c>
      <c r="E129" s="2469"/>
      <c r="F129" s="4464">
        <v>44</v>
      </c>
      <c r="G129" s="2471"/>
      <c r="H129" s="4075"/>
      <c r="I129" s="4116"/>
      <c r="J129" s="2470"/>
      <c r="N129" s="2474"/>
      <c r="P129" s="2458"/>
      <c r="Q129" s="5334"/>
      <c r="R129" s="2458"/>
    </row>
    <row r="130" spans="1:21" s="2457" customFormat="1" ht="13.5" customHeight="1">
      <c r="A130" s="4361"/>
      <c r="B130" s="2469"/>
      <c r="C130" s="2469"/>
      <c r="D130" s="4463" t="s">
        <v>6530</v>
      </c>
      <c r="E130" s="2469"/>
      <c r="F130" s="4464">
        <v>43</v>
      </c>
      <c r="G130" s="2471"/>
      <c r="H130" s="4075"/>
      <c r="I130" s="4116"/>
      <c r="J130" s="2470"/>
      <c r="N130" s="2474"/>
      <c r="P130" s="2458"/>
      <c r="Q130" s="5334"/>
      <c r="R130" s="2458"/>
    </row>
    <row r="131" spans="1:21" s="2457" customFormat="1" ht="13.5" customHeight="1">
      <c r="A131" s="4462"/>
      <c r="B131" s="2469"/>
      <c r="C131" s="2469"/>
      <c r="D131" s="4360" t="s">
        <v>8386</v>
      </c>
      <c r="E131" s="3587"/>
      <c r="F131" s="4464"/>
      <c r="G131" s="2471"/>
      <c r="H131" s="4075"/>
      <c r="I131" s="4116"/>
      <c r="J131" s="2470"/>
      <c r="N131" s="2474"/>
      <c r="P131" s="2458"/>
      <c r="Q131" s="5334"/>
      <c r="R131" s="2458"/>
    </row>
    <row r="132" spans="1:21" s="2457" customFormat="1" ht="13.5" customHeight="1">
      <c r="A132" s="2614">
        <v>22</v>
      </c>
      <c r="B132" s="2469">
        <v>741</v>
      </c>
      <c r="C132" s="2469" t="s">
        <v>8242</v>
      </c>
      <c r="D132" s="2469" t="s">
        <v>8243</v>
      </c>
      <c r="E132" s="3587" t="s">
        <v>155</v>
      </c>
      <c r="F132" s="3588">
        <f>SUM(F134:F137)</f>
        <v>38</v>
      </c>
      <c r="G132" s="2471"/>
      <c r="H132" s="3975">
        <f t="shared" ref="H132" si="20">ROUND(F132*G132,2)</f>
        <v>0</v>
      </c>
      <c r="I132" s="4116"/>
      <c r="J132" s="2470" t="s">
        <v>60</v>
      </c>
      <c r="N132" s="2474"/>
      <c r="P132" s="2458"/>
      <c r="Q132" s="5334"/>
      <c r="R132" s="2458"/>
    </row>
    <row r="133" spans="1:21" s="2457" customFormat="1" ht="13.5" customHeight="1">
      <c r="A133" s="4462"/>
      <c r="B133" s="2469"/>
      <c r="C133" s="2469"/>
      <c r="D133" s="4463" t="s">
        <v>8239</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6532</v>
      </c>
      <c r="E134" s="2469"/>
      <c r="F134" s="4464">
        <v>2</v>
      </c>
      <c r="G134" s="2471"/>
      <c r="H134" s="4075"/>
      <c r="I134" s="4116"/>
      <c r="J134" s="2470"/>
      <c r="N134" s="2474"/>
      <c r="P134" s="2458"/>
      <c r="Q134" s="5334"/>
      <c r="R134" s="2458"/>
    </row>
    <row r="135" spans="1:21" s="2457" customFormat="1" ht="13.5" customHeight="1">
      <c r="A135" s="4361"/>
      <c r="B135" s="2469"/>
      <c r="C135" s="2469"/>
      <c r="D135" s="4463" t="s">
        <v>6528</v>
      </c>
      <c r="E135" s="2469"/>
      <c r="F135" s="4464">
        <v>7</v>
      </c>
      <c r="G135" s="2471"/>
      <c r="H135" s="4075"/>
      <c r="I135" s="4116"/>
      <c r="J135" s="2470"/>
      <c r="N135" s="2474"/>
      <c r="P135" s="2458"/>
      <c r="Q135" s="5334"/>
      <c r="R135" s="2458"/>
    </row>
    <row r="136" spans="1:21" s="2457" customFormat="1" ht="13.5" customHeight="1">
      <c r="A136" s="4361"/>
      <c r="B136" s="2469"/>
      <c r="C136" s="2469"/>
      <c r="D136" s="4463" t="s">
        <v>6529</v>
      </c>
      <c r="E136" s="2469"/>
      <c r="F136" s="4464">
        <v>15</v>
      </c>
      <c r="G136" s="2471"/>
      <c r="H136" s="4075"/>
      <c r="I136" s="4116"/>
      <c r="J136" s="2470"/>
      <c r="N136" s="2474"/>
      <c r="P136" s="2458"/>
      <c r="Q136" s="5334"/>
      <c r="R136" s="2458"/>
    </row>
    <row r="137" spans="1:21" s="2457" customFormat="1" ht="13.5" customHeight="1">
      <c r="A137" s="4361"/>
      <c r="B137" s="2469"/>
      <c r="C137" s="2469"/>
      <c r="D137" s="4463" t="s">
        <v>6530</v>
      </c>
      <c r="E137" s="2469"/>
      <c r="F137" s="4464">
        <v>14</v>
      </c>
      <c r="G137" s="2471"/>
      <c r="H137" s="4075"/>
      <c r="I137" s="4116"/>
      <c r="J137" s="2470"/>
      <c r="N137" s="2474"/>
      <c r="P137" s="2458"/>
      <c r="Q137" s="5334"/>
      <c r="R137" s="2458"/>
    </row>
    <row r="138" spans="1:21" s="2457" customFormat="1" ht="13.5" customHeight="1">
      <c r="A138" s="4462"/>
      <c r="B138" s="2469"/>
      <c r="C138" s="2469"/>
      <c r="D138" s="4360" t="s">
        <v>8386</v>
      </c>
      <c r="E138" s="3587"/>
      <c r="F138" s="4464"/>
      <c r="G138" s="2471"/>
      <c r="H138" s="4075"/>
      <c r="I138" s="4116"/>
      <c r="J138" s="2470"/>
      <c r="N138" s="2474"/>
      <c r="P138" s="2458"/>
      <c r="Q138" s="5334"/>
      <c r="R138" s="2458"/>
    </row>
    <row r="139" spans="1:21" s="2457" customFormat="1" ht="13.5" customHeight="1">
      <c r="A139" s="2614">
        <v>23</v>
      </c>
      <c r="B139" s="2469">
        <v>741</v>
      </c>
      <c r="C139" s="2469" t="s">
        <v>8244</v>
      </c>
      <c r="D139" s="2469" t="s">
        <v>8245</v>
      </c>
      <c r="E139" s="3587" t="s">
        <v>155</v>
      </c>
      <c r="F139" s="3588">
        <f>SUM(F141:F143)</f>
        <v>8</v>
      </c>
      <c r="G139" s="2471"/>
      <c r="H139" s="3975">
        <f t="shared" ref="H139" si="21">ROUND(F139*G139,2)</f>
        <v>0</v>
      </c>
      <c r="I139" s="4116"/>
      <c r="J139" s="2470" t="s">
        <v>60</v>
      </c>
      <c r="N139" s="2474"/>
      <c r="P139" s="2458"/>
      <c r="Q139" s="5334"/>
      <c r="R139" s="2458"/>
    </row>
    <row r="140" spans="1:21" s="2457" customFormat="1" ht="13.5" customHeight="1">
      <c r="A140" s="4462"/>
      <c r="B140" s="2469"/>
      <c r="C140" s="2469"/>
      <c r="D140" s="4463" t="s">
        <v>8246</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6528</v>
      </c>
      <c r="E141" s="2469"/>
      <c r="F141" s="4464">
        <v>6</v>
      </c>
      <c r="G141" s="2471"/>
      <c r="H141" s="4075"/>
      <c r="I141" s="4116"/>
      <c r="J141" s="2470"/>
      <c r="N141" s="2474"/>
      <c r="P141" s="2458"/>
      <c r="Q141" s="5334"/>
      <c r="R141" s="2458"/>
    </row>
    <row r="142" spans="1:21" s="2457" customFormat="1" ht="13.5" customHeight="1">
      <c r="A142" s="4361"/>
      <c r="B142" s="2469"/>
      <c r="C142" s="2469"/>
      <c r="D142" s="4463" t="s">
        <v>6529</v>
      </c>
      <c r="E142" s="2469"/>
      <c r="F142" s="4464">
        <v>1</v>
      </c>
      <c r="G142" s="2471"/>
      <c r="H142" s="4075"/>
      <c r="I142" s="4116"/>
      <c r="J142" s="2470"/>
      <c r="N142" s="2474"/>
      <c r="P142" s="2458"/>
      <c r="Q142" s="5334"/>
      <c r="R142" s="2458"/>
    </row>
    <row r="143" spans="1:21" s="2457" customFormat="1" ht="13.5" customHeight="1">
      <c r="A143" s="4361"/>
      <c r="B143" s="2469"/>
      <c r="C143" s="2469"/>
      <c r="D143" s="4463" t="s">
        <v>6530</v>
      </c>
      <c r="E143" s="2469"/>
      <c r="F143" s="4464">
        <v>1</v>
      </c>
      <c r="G143" s="2471"/>
      <c r="H143" s="4075"/>
      <c r="I143" s="4116"/>
      <c r="J143" s="2470"/>
      <c r="N143" s="2474"/>
      <c r="P143" s="2458"/>
      <c r="Q143" s="5334"/>
      <c r="R143" s="2458"/>
    </row>
    <row r="144" spans="1:21" s="2457" customFormat="1" ht="13.5" customHeight="1">
      <c r="A144" s="4462"/>
      <c r="B144" s="2469"/>
      <c r="C144" s="2469"/>
      <c r="D144" s="4360" t="s">
        <v>8386</v>
      </c>
      <c r="E144" s="3587"/>
      <c r="F144" s="4464"/>
      <c r="G144" s="2471"/>
      <c r="H144" s="4075"/>
      <c r="I144" s="4116"/>
      <c r="J144" s="2470"/>
      <c r="N144" s="2474"/>
      <c r="P144" s="2458"/>
      <c r="Q144" s="5334"/>
      <c r="R144" s="2458"/>
    </row>
    <row r="145" spans="1:98" s="2457" customFormat="1" ht="13.5" customHeight="1">
      <c r="A145" s="2614">
        <v>24</v>
      </c>
      <c r="B145" s="2469">
        <v>741</v>
      </c>
      <c r="C145" s="2469" t="s">
        <v>8247</v>
      </c>
      <c r="D145" s="2469" t="s">
        <v>8393</v>
      </c>
      <c r="E145" s="3587" t="s">
        <v>155</v>
      </c>
      <c r="F145" s="3588">
        <f>SUM(F147:F150)</f>
        <v>66</v>
      </c>
      <c r="G145" s="2471"/>
      <c r="H145" s="3975">
        <f t="shared" ref="H145" si="22">ROUND(F145*G145,2)</f>
        <v>0</v>
      </c>
      <c r="I145" s="4116"/>
      <c r="J145" s="2470" t="s">
        <v>60</v>
      </c>
      <c r="N145" s="2474"/>
      <c r="P145" s="2458"/>
      <c r="Q145" s="5334"/>
      <c r="R145" s="2458"/>
    </row>
    <row r="146" spans="1:98" s="2457" customFormat="1" ht="13.5" customHeight="1">
      <c r="A146" s="4462"/>
      <c r="B146" s="2469"/>
      <c r="C146" s="2469"/>
      <c r="D146" s="4463" t="s">
        <v>8248</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6532</v>
      </c>
      <c r="E147" s="2469"/>
      <c r="F147" s="4464">
        <v>27</v>
      </c>
      <c r="G147" s="2471"/>
      <c r="H147" s="4075"/>
      <c r="I147" s="4116"/>
      <c r="J147" s="2470"/>
      <c r="N147" s="2474"/>
      <c r="P147" s="2458"/>
      <c r="Q147" s="5334"/>
      <c r="R147" s="2458"/>
    </row>
    <row r="148" spans="1:98" s="2457" customFormat="1" ht="13.5" customHeight="1">
      <c r="A148" s="4361"/>
      <c r="B148" s="2469"/>
      <c r="C148" s="2469"/>
      <c r="D148" s="4463" t="s">
        <v>6528</v>
      </c>
      <c r="E148" s="2469"/>
      <c r="F148" s="4464">
        <v>15</v>
      </c>
      <c r="G148" s="2471"/>
      <c r="H148" s="4075"/>
      <c r="I148" s="4116"/>
      <c r="J148" s="2470"/>
      <c r="P148" s="2458"/>
      <c r="Q148" s="2458"/>
      <c r="R148" s="2458"/>
    </row>
    <row r="149" spans="1:98" s="2457" customFormat="1" ht="13.5" customHeight="1">
      <c r="A149" s="4361"/>
      <c r="B149" s="2469"/>
      <c r="C149" s="2469"/>
      <c r="D149" s="4463" t="s">
        <v>6529</v>
      </c>
      <c r="E149" s="2469"/>
      <c r="F149" s="4464">
        <v>12</v>
      </c>
      <c r="G149" s="2471"/>
      <c r="H149" s="4075"/>
      <c r="I149" s="4116"/>
      <c r="J149" s="2470"/>
      <c r="P149" s="2458"/>
      <c r="Q149" s="2458"/>
      <c r="R149" s="2458"/>
    </row>
    <row r="150" spans="1:98" s="2560" customFormat="1" ht="13.5" customHeight="1">
      <c r="A150" s="4361"/>
      <c r="B150" s="2469"/>
      <c r="C150" s="2469"/>
      <c r="D150" s="4463" t="s">
        <v>6530</v>
      </c>
      <c r="E150" s="2469"/>
      <c r="F150" s="4464">
        <v>12</v>
      </c>
      <c r="G150" s="2471"/>
      <c r="H150" s="4075"/>
      <c r="I150" s="4116"/>
      <c r="J150" s="2470"/>
      <c r="L150" s="2457"/>
      <c r="P150" s="2458"/>
      <c r="Q150" s="2458"/>
      <c r="R150" s="2458"/>
    </row>
    <row r="151" spans="1:98" s="2457" customFormat="1" ht="13.5" customHeight="1">
      <c r="A151" s="4462"/>
      <c r="B151" s="2469"/>
      <c r="C151" s="2469"/>
      <c r="D151" s="4360" t="s">
        <v>8394</v>
      </c>
      <c r="E151" s="3587"/>
      <c r="F151" s="4464"/>
      <c r="G151" s="2471"/>
      <c r="H151" s="4075"/>
      <c r="I151" s="4116"/>
      <c r="J151" s="2470"/>
      <c r="N151" s="2474"/>
      <c r="P151" s="2458"/>
      <c r="Q151" s="5334"/>
      <c r="R151" s="2458"/>
    </row>
    <row r="152" spans="1:98" s="2457" customFormat="1" ht="13.5" customHeight="1">
      <c r="A152" s="2614">
        <v>25</v>
      </c>
      <c r="B152" s="2469">
        <v>741</v>
      </c>
      <c r="C152" s="2469" t="s">
        <v>8249</v>
      </c>
      <c r="D152" s="2469" t="s">
        <v>8250</v>
      </c>
      <c r="E152" s="3587" t="s">
        <v>155</v>
      </c>
      <c r="F152" s="3588">
        <f>SUM(F154:F157)</f>
        <v>8</v>
      </c>
      <c r="G152" s="2471"/>
      <c r="H152" s="3975">
        <f t="shared" ref="H152" si="23">ROUND(F152*G152,2)</f>
        <v>0</v>
      </c>
      <c r="I152" s="4116"/>
      <c r="J152" s="2470" t="s">
        <v>60</v>
      </c>
      <c r="P152" s="2458"/>
      <c r="Q152" s="2458"/>
      <c r="R152" s="2458"/>
    </row>
    <row r="153" spans="1:98" s="2457" customFormat="1" ht="13.5" customHeight="1">
      <c r="A153" s="2614"/>
      <c r="B153" s="2469"/>
      <c r="C153" s="2469"/>
      <c r="D153" s="4463" t="s">
        <v>8251</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6532</v>
      </c>
      <c r="E154" s="3587"/>
      <c r="F154" s="4464">
        <v>1</v>
      </c>
      <c r="G154" s="2471"/>
      <c r="H154" s="4075"/>
      <c r="I154" s="4116"/>
      <c r="J154" s="2470"/>
      <c r="N154" s="2474"/>
      <c r="P154" s="2455"/>
      <c r="Q154" s="2458"/>
      <c r="R154" s="2458"/>
    </row>
    <row r="155" spans="1:98" s="2457" customFormat="1" ht="13.5" customHeight="1">
      <c r="A155" s="2614"/>
      <c r="B155" s="2469"/>
      <c r="C155" s="2469"/>
      <c r="D155" s="4463" t="s">
        <v>6528</v>
      </c>
      <c r="E155" s="3587"/>
      <c r="F155" s="4464">
        <v>3</v>
      </c>
      <c r="G155" s="2471"/>
      <c r="H155" s="4075"/>
      <c r="I155" s="4116"/>
      <c r="J155" s="2470"/>
      <c r="P155" s="2458"/>
      <c r="Q155" s="2458"/>
      <c r="R155" s="2458"/>
    </row>
    <row r="156" spans="1:98" s="2457" customFormat="1" ht="13.5" customHeight="1">
      <c r="A156" s="2614"/>
      <c r="B156" s="2469"/>
      <c r="C156" s="2469"/>
      <c r="D156" s="4463" t="s">
        <v>6529</v>
      </c>
      <c r="E156" s="3587"/>
      <c r="F156" s="4464">
        <v>2</v>
      </c>
      <c r="G156" s="2471"/>
      <c r="H156" s="4075"/>
      <c r="I156" s="4116"/>
      <c r="J156" s="2470"/>
      <c r="P156" s="2458"/>
      <c r="Q156" s="2458"/>
      <c r="R156" s="2458"/>
    </row>
    <row r="157" spans="1:98" s="2457" customFormat="1" ht="13.5" customHeight="1">
      <c r="A157" s="4462"/>
      <c r="B157" s="2469"/>
      <c r="C157" s="2469"/>
      <c r="D157" s="4463" t="s">
        <v>6530</v>
      </c>
      <c r="E157" s="3587"/>
      <c r="F157" s="4464">
        <v>2</v>
      </c>
      <c r="G157" s="2471"/>
      <c r="H157" s="4075"/>
      <c r="I157" s="4116"/>
      <c r="J157" s="2470"/>
      <c r="P157" s="2458"/>
      <c r="Q157" s="2458"/>
      <c r="R157" s="2458"/>
    </row>
    <row r="158" spans="1:98" s="2457" customFormat="1" ht="13.5" customHeight="1">
      <c r="A158" s="4462"/>
      <c r="B158" s="2469"/>
      <c r="C158" s="2469"/>
      <c r="D158" s="4463" t="s">
        <v>8187</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8252</v>
      </c>
      <c r="E159" s="2550" t="s">
        <v>8</v>
      </c>
      <c r="F159" s="5278">
        <v>0.77</v>
      </c>
      <c r="G159" s="5279"/>
      <c r="H159" s="3975">
        <f t="shared" ref="H159:H160" si="24">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 t="shared" si="24"/>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7173</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7174</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8253</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7297</v>
      </c>
      <c r="D164" s="2550" t="s">
        <v>8254</v>
      </c>
      <c r="E164" s="5281" t="s">
        <v>155</v>
      </c>
      <c r="F164" s="5282">
        <f>SUM(F166:F169)</f>
        <v>704</v>
      </c>
      <c r="G164" s="2471"/>
      <c r="H164" s="3975">
        <f t="shared" ref="H164" si="25">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8255</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6532</v>
      </c>
      <c r="E166" s="2550"/>
      <c r="F166" s="4464">
        <v>55</v>
      </c>
      <c r="G166" s="5279"/>
      <c r="H166" s="4076"/>
      <c r="I166" s="4117"/>
      <c r="J166" s="2551"/>
      <c r="L166" s="5273"/>
    </row>
    <row r="167" spans="1:98" s="2549" customFormat="1" ht="13.5" customHeight="1">
      <c r="A167" s="5283"/>
      <c r="B167" s="5283"/>
      <c r="C167" s="5283"/>
      <c r="D167" s="4360" t="s">
        <v>6528</v>
      </c>
      <c r="E167" s="2550"/>
      <c r="F167" s="4464">
        <v>166</v>
      </c>
      <c r="G167" s="5279"/>
      <c r="H167" s="4076"/>
      <c r="I167" s="4117"/>
      <c r="J167" s="2551"/>
      <c r="L167" s="5273"/>
    </row>
    <row r="168" spans="1:98" s="2549" customFormat="1" ht="13.5" customHeight="1">
      <c r="A168" s="2559"/>
      <c r="B168" s="2550"/>
      <c r="C168" s="2550"/>
      <c r="D168" s="4360" t="s">
        <v>6529</v>
      </c>
      <c r="E168" s="2550"/>
      <c r="F168" s="4464">
        <v>245</v>
      </c>
      <c r="G168" s="5279"/>
      <c r="H168" s="4076"/>
      <c r="I168" s="4117"/>
      <c r="J168" s="2551"/>
    </row>
    <row r="169" spans="1:98" s="2549" customFormat="1" ht="13.5" customHeight="1">
      <c r="A169" s="2559"/>
      <c r="B169" s="2550"/>
      <c r="C169" s="2550"/>
      <c r="D169" s="4360" t="s">
        <v>6530</v>
      </c>
      <c r="E169" s="2550"/>
      <c r="F169" s="4464">
        <v>238</v>
      </c>
      <c r="G169" s="5279"/>
      <c r="H169" s="4076"/>
      <c r="I169" s="4117"/>
      <c r="J169" s="2551"/>
    </row>
    <row r="170" spans="1:98" s="2549" customFormat="1" ht="13.5" customHeight="1">
      <c r="A170" s="2559"/>
      <c r="B170" s="2550"/>
      <c r="C170" s="2550"/>
      <c r="D170" s="4360" t="s">
        <v>7304</v>
      </c>
      <c r="E170" s="5281"/>
      <c r="F170" s="2554"/>
      <c r="G170" s="5279"/>
      <c r="H170" s="4076"/>
      <c r="I170" s="4117"/>
      <c r="J170" s="2551"/>
      <c r="O170" s="5284"/>
    </row>
    <row r="171" spans="1:98" s="2549" customFormat="1" ht="13.5" customHeight="1">
      <c r="A171" s="2614">
        <v>29</v>
      </c>
      <c r="B171" s="2550">
        <v>741</v>
      </c>
      <c r="C171" s="2550" t="s">
        <v>8256</v>
      </c>
      <c r="D171" s="2550" t="s">
        <v>8257</v>
      </c>
      <c r="E171" s="5281" t="s">
        <v>155</v>
      </c>
      <c r="F171" s="5282">
        <f>SUM(F173:F176)</f>
        <v>164</v>
      </c>
      <c r="G171" s="2471"/>
      <c r="H171" s="3975">
        <f t="shared" ref="H171" si="26">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8258</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6532</v>
      </c>
      <c r="E173" s="2550"/>
      <c r="F173" s="4464">
        <v>48</v>
      </c>
      <c r="G173" s="5279"/>
      <c r="H173" s="4076"/>
      <c r="I173" s="4117"/>
      <c r="J173" s="2551"/>
    </row>
    <row r="174" spans="1:98" s="2549" customFormat="1" ht="13.5" customHeight="1">
      <c r="A174" s="4462"/>
      <c r="B174" s="2550"/>
      <c r="C174" s="2550"/>
      <c r="D174" s="4360" t="s">
        <v>6528</v>
      </c>
      <c r="E174" s="2550"/>
      <c r="F174" s="4464">
        <v>58</v>
      </c>
      <c r="G174" s="5279"/>
      <c r="H174" s="4076"/>
      <c r="I174" s="4117"/>
      <c r="J174" s="2551"/>
    </row>
    <row r="175" spans="1:98" s="2549" customFormat="1" ht="13.5" customHeight="1">
      <c r="A175" s="4462"/>
      <c r="B175" s="2550"/>
      <c r="C175" s="2550"/>
      <c r="D175" s="4360" t="s">
        <v>6529</v>
      </c>
      <c r="E175" s="2550"/>
      <c r="F175" s="4464">
        <v>26</v>
      </c>
      <c r="G175" s="5279"/>
      <c r="H175" s="4076"/>
      <c r="I175" s="4117"/>
      <c r="J175" s="2551"/>
    </row>
    <row r="176" spans="1:98" s="2549" customFormat="1" ht="13.5" customHeight="1">
      <c r="A176" s="4462"/>
      <c r="B176" s="2550"/>
      <c r="C176" s="2550"/>
      <c r="D176" s="4360" t="s">
        <v>6530</v>
      </c>
      <c r="E176" s="2550"/>
      <c r="F176" s="4464">
        <v>32</v>
      </c>
      <c r="G176" s="5279"/>
      <c r="H176" s="4076"/>
      <c r="I176" s="4117"/>
      <c r="J176" s="2551"/>
    </row>
    <row r="177" spans="1:24" s="2549" customFormat="1" ht="13.5" customHeight="1">
      <c r="A177" s="4462"/>
      <c r="B177" s="2550"/>
      <c r="C177" s="2550"/>
      <c r="D177" s="4360" t="s">
        <v>7304</v>
      </c>
      <c r="E177" s="5281"/>
      <c r="F177" s="2554"/>
      <c r="G177" s="5279"/>
      <c r="H177" s="4076"/>
      <c r="I177" s="4117"/>
      <c r="J177" s="2551"/>
    </row>
    <row r="178" spans="1:24" s="2549" customFormat="1" ht="13.5" customHeight="1">
      <c r="A178" s="2614">
        <v>30</v>
      </c>
      <c r="B178" s="2550">
        <v>741</v>
      </c>
      <c r="C178" s="2550" t="s">
        <v>8259</v>
      </c>
      <c r="D178" s="2550" t="s">
        <v>8260</v>
      </c>
      <c r="E178" s="5281" t="s">
        <v>155</v>
      </c>
      <c r="F178" s="5282">
        <f>SUM(F180:F182)</f>
        <v>8</v>
      </c>
      <c r="G178" s="2471"/>
      <c r="H178" s="3975">
        <f t="shared" ref="H178" si="27">ROUND(F178*G178,2)</f>
        <v>0</v>
      </c>
      <c r="I178" s="4117"/>
      <c r="J178" s="2470" t="s">
        <v>60</v>
      </c>
      <c r="K178" s="5340"/>
      <c r="L178" s="4838"/>
      <c r="X178" s="5341"/>
    </row>
    <row r="179" spans="1:24" s="2549" customFormat="1" ht="13.5" customHeight="1">
      <c r="A179" s="4462"/>
      <c r="B179" s="2550"/>
      <c r="C179" s="2550"/>
      <c r="D179" s="4360" t="s">
        <v>8261</v>
      </c>
      <c r="E179" s="5281"/>
      <c r="F179" s="5282"/>
      <c r="G179" s="5279"/>
      <c r="H179" s="4076"/>
      <c r="I179" s="4117"/>
      <c r="J179" s="2551"/>
      <c r="K179" s="2528"/>
      <c r="X179" s="5340"/>
    </row>
    <row r="180" spans="1:24" s="2549" customFormat="1" ht="13.5" customHeight="1">
      <c r="A180" s="4462"/>
      <c r="B180" s="2550"/>
      <c r="C180" s="2550"/>
      <c r="D180" s="4360" t="s">
        <v>6532</v>
      </c>
      <c r="E180" s="2550"/>
      <c r="F180" s="4464">
        <v>6</v>
      </c>
      <c r="G180" s="5279"/>
      <c r="H180" s="4076"/>
      <c r="I180" s="4117"/>
      <c r="J180" s="2551"/>
    </row>
    <row r="181" spans="1:24" s="2549" customFormat="1" ht="13.5" customHeight="1">
      <c r="A181" s="4462"/>
      <c r="B181" s="2550"/>
      <c r="C181" s="2550"/>
      <c r="D181" s="4360" t="s">
        <v>6528</v>
      </c>
      <c r="E181" s="2550"/>
      <c r="F181" s="4464">
        <v>1</v>
      </c>
      <c r="G181" s="5279"/>
      <c r="H181" s="4076"/>
      <c r="I181" s="4117"/>
      <c r="J181" s="2551"/>
    </row>
    <row r="182" spans="1:24" s="2549" customFormat="1" ht="13.5" customHeight="1">
      <c r="A182" s="4462"/>
      <c r="B182" s="2550"/>
      <c r="C182" s="2550"/>
      <c r="D182" s="4360" t="s">
        <v>6529</v>
      </c>
      <c r="E182" s="2550"/>
      <c r="F182" s="4464">
        <v>1</v>
      </c>
      <c r="G182" s="5279"/>
      <c r="H182" s="4076"/>
      <c r="I182" s="4117"/>
      <c r="J182" s="2551"/>
    </row>
    <row r="183" spans="1:24" s="2549" customFormat="1" ht="13.5" customHeight="1">
      <c r="A183" s="4462"/>
      <c r="B183" s="2550"/>
      <c r="C183" s="2550"/>
      <c r="D183" s="4360" t="s">
        <v>7304</v>
      </c>
      <c r="F183" s="5284"/>
      <c r="G183" s="5279"/>
      <c r="H183" s="4076"/>
      <c r="I183" s="4117"/>
      <c r="J183" s="2551"/>
    </row>
    <row r="184" spans="1:24" s="2549" customFormat="1" ht="13.5" customHeight="1">
      <c r="A184" s="2614">
        <v>31</v>
      </c>
      <c r="B184" s="2550">
        <v>741</v>
      </c>
      <c r="C184" s="2550" t="s">
        <v>8262</v>
      </c>
      <c r="D184" s="5285" t="s">
        <v>8263</v>
      </c>
      <c r="E184" s="5281" t="s">
        <v>155</v>
      </c>
      <c r="F184" s="5282">
        <f>SUM(F186:F190)</f>
        <v>279</v>
      </c>
      <c r="G184" s="2471"/>
      <c r="H184" s="3975">
        <f t="shared" ref="H184" si="28">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8264</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6339</v>
      </c>
      <c r="E186" s="2550"/>
      <c r="F186" s="4464">
        <v>19</v>
      </c>
      <c r="G186" s="5279"/>
      <c r="H186" s="4076"/>
      <c r="I186" s="4117"/>
      <c r="J186" s="2551"/>
    </row>
    <row r="187" spans="1:24" s="2549" customFormat="1" ht="13.5" customHeight="1">
      <c r="A187" s="4462"/>
      <c r="B187" s="2550"/>
      <c r="C187" s="2550"/>
      <c r="D187" s="2553" t="s">
        <v>6811</v>
      </c>
      <c r="E187" s="2550"/>
      <c r="F187" s="4464">
        <v>69</v>
      </c>
      <c r="G187" s="5279"/>
      <c r="H187" s="4076"/>
      <c r="I187" s="4117"/>
      <c r="J187" s="2551"/>
    </row>
    <row r="188" spans="1:24" s="2549" customFormat="1" ht="13.5" customHeight="1">
      <c r="A188" s="4462"/>
      <c r="B188" s="2550"/>
      <c r="C188" s="2550"/>
      <c r="D188" s="2553" t="s">
        <v>6529</v>
      </c>
      <c r="E188" s="2550"/>
      <c r="F188" s="4464">
        <v>81</v>
      </c>
      <c r="G188" s="5279"/>
      <c r="H188" s="4076"/>
      <c r="I188" s="4117"/>
      <c r="J188" s="2551"/>
    </row>
    <row r="189" spans="1:24" s="2549" customFormat="1" ht="13.5" customHeight="1">
      <c r="A189" s="4462"/>
      <c r="B189" s="2550"/>
      <c r="C189" s="2550"/>
      <c r="D189" s="2553" t="s">
        <v>6530</v>
      </c>
      <c r="E189" s="2550"/>
      <c r="F189" s="4464">
        <v>86</v>
      </c>
      <c r="G189" s="5279"/>
      <c r="H189" s="4076"/>
      <c r="I189" s="4117"/>
      <c r="J189" s="2551"/>
    </row>
    <row r="190" spans="1:24" s="2549" customFormat="1" ht="13.5" customHeight="1">
      <c r="A190" s="4462"/>
      <c r="B190" s="2550"/>
      <c r="C190" s="2550"/>
      <c r="D190" s="2553" t="s">
        <v>7486</v>
      </c>
      <c r="E190" s="2550"/>
      <c r="F190" s="4464">
        <v>24</v>
      </c>
      <c r="G190" s="5279"/>
      <c r="H190" s="4076"/>
      <c r="I190" s="4117"/>
      <c r="J190" s="2551"/>
    </row>
    <row r="191" spans="1:24" s="2549" customFormat="1" ht="13.5" customHeight="1">
      <c r="A191" s="4462"/>
      <c r="B191" s="2550"/>
      <c r="C191" s="2550"/>
      <c r="D191" s="2553" t="s">
        <v>8265</v>
      </c>
      <c r="E191" s="2550"/>
      <c r="F191" s="2554"/>
      <c r="G191" s="5279"/>
      <c r="H191" s="4076"/>
      <c r="I191" s="4117"/>
      <c r="J191" s="2551"/>
    </row>
    <row r="192" spans="1:24" s="2549" customFormat="1" ht="13.5" customHeight="1">
      <c r="A192" s="2614">
        <v>32</v>
      </c>
      <c r="B192" s="2550">
        <v>741</v>
      </c>
      <c r="C192" s="2550" t="s">
        <v>8266</v>
      </c>
      <c r="D192" s="5285" t="s">
        <v>8267</v>
      </c>
      <c r="E192" s="5281" t="s">
        <v>155</v>
      </c>
      <c r="F192" s="5282">
        <f>SUM(F194:F197)</f>
        <v>51</v>
      </c>
      <c r="G192" s="2471"/>
      <c r="H192" s="3975">
        <f t="shared" ref="H192" si="29">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8268</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8269</v>
      </c>
      <c r="E194" s="2550"/>
      <c r="F194" s="4464">
        <v>11</v>
      </c>
      <c r="G194" s="5279"/>
      <c r="H194" s="4076"/>
      <c r="I194" s="4117"/>
      <c r="J194" s="2551"/>
    </row>
    <row r="195" spans="1:24" s="2549" customFormat="1" ht="13.5" customHeight="1">
      <c r="A195" s="4462"/>
      <c r="B195" s="2550"/>
      <c r="C195" s="2550"/>
      <c r="D195" s="2553" t="s">
        <v>6529</v>
      </c>
      <c r="E195" s="2550"/>
      <c r="F195" s="4464">
        <v>1</v>
      </c>
      <c r="G195" s="5279"/>
      <c r="H195" s="4076"/>
      <c r="I195" s="4117"/>
      <c r="J195" s="2551"/>
    </row>
    <row r="196" spans="1:24" s="2549" customFormat="1" ht="13.5" customHeight="1">
      <c r="A196" s="4462"/>
      <c r="B196" s="2550"/>
      <c r="C196" s="2550"/>
      <c r="D196" s="2553" t="s">
        <v>6530</v>
      </c>
      <c r="E196" s="2550"/>
      <c r="F196" s="4464">
        <v>6</v>
      </c>
      <c r="G196" s="5279"/>
      <c r="H196" s="4076"/>
      <c r="I196" s="4117"/>
      <c r="J196" s="2551"/>
    </row>
    <row r="197" spans="1:24" s="2549" customFormat="1" ht="13.5" customHeight="1">
      <c r="A197" s="4462"/>
      <c r="B197" s="2550"/>
      <c r="C197" s="2550"/>
      <c r="D197" s="2553" t="s">
        <v>7486</v>
      </c>
      <c r="E197" s="2550"/>
      <c r="F197" s="4464">
        <v>33</v>
      </c>
      <c r="G197" s="5279"/>
      <c r="H197" s="4076"/>
      <c r="I197" s="4117"/>
      <c r="J197" s="2551"/>
    </row>
    <row r="198" spans="1:24" s="2549" customFormat="1" ht="13.5" customHeight="1">
      <c r="A198" s="4462"/>
      <c r="B198" s="2550"/>
      <c r="C198" s="2550"/>
      <c r="D198" s="2553" t="s">
        <v>8265</v>
      </c>
      <c r="E198" s="2550"/>
      <c r="F198" s="2554"/>
      <c r="G198" s="5279"/>
      <c r="H198" s="4076"/>
      <c r="I198" s="4117"/>
      <c r="J198" s="2551"/>
    </row>
    <row r="199" spans="1:24" s="2549" customFormat="1" ht="13.5" customHeight="1">
      <c r="A199" s="2614">
        <v>33</v>
      </c>
      <c r="B199" s="2550">
        <v>741</v>
      </c>
      <c r="C199" s="2550" t="s">
        <v>8270</v>
      </c>
      <c r="D199" s="5285" t="s">
        <v>8271</v>
      </c>
      <c r="E199" s="5281" t="s">
        <v>155</v>
      </c>
      <c r="F199" s="5282">
        <f>SUM(F201:F203)</f>
        <v>69</v>
      </c>
      <c r="G199" s="2471"/>
      <c r="H199" s="3975">
        <f t="shared" ref="H199" si="30">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8272</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6528</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6529</v>
      </c>
      <c r="E202" s="2550"/>
      <c r="F202" s="2554">
        <v>26</v>
      </c>
      <c r="G202" s="5279"/>
      <c r="H202" s="4076"/>
      <c r="I202" s="4117"/>
      <c r="J202" s="2551"/>
    </row>
    <row r="203" spans="1:24" s="2549" customFormat="1" ht="13.5" customHeight="1">
      <c r="A203" s="4462"/>
      <c r="B203" s="2550"/>
      <c r="C203" s="2550"/>
      <c r="D203" s="4360" t="s">
        <v>6530</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7300</v>
      </c>
      <c r="E204" s="5281"/>
      <c r="F204" s="5286"/>
      <c r="G204" s="5279"/>
      <c r="H204" s="4076"/>
      <c r="I204" s="4117"/>
      <c r="J204" s="2551"/>
    </row>
    <row r="205" spans="1:24" s="2549" customFormat="1" ht="13.5" customHeight="1">
      <c r="A205" s="2614">
        <v>34</v>
      </c>
      <c r="B205" s="2550">
        <v>741</v>
      </c>
      <c r="C205" s="2550" t="s">
        <v>8273</v>
      </c>
      <c r="D205" s="2550" t="s">
        <v>8274</v>
      </c>
      <c r="E205" s="5281" t="s">
        <v>155</v>
      </c>
      <c r="F205" s="5282">
        <f>SUM(F207:F208)</f>
        <v>1</v>
      </c>
      <c r="G205" s="2471"/>
      <c r="H205" s="3975">
        <f t="shared" ref="H205" si="31">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8275</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6528</v>
      </c>
      <c r="E207" s="2550"/>
      <c r="F207" s="4464">
        <v>1</v>
      </c>
      <c r="G207" s="5279"/>
      <c r="H207" s="4076"/>
      <c r="I207" s="4117"/>
      <c r="J207" s="2551"/>
    </row>
    <row r="208" spans="1:24" s="2549" customFormat="1" ht="13.5" customHeight="1">
      <c r="A208" s="4462"/>
      <c r="B208" s="2550"/>
      <c r="C208" s="2550"/>
      <c r="D208" s="2553" t="s">
        <v>7300</v>
      </c>
      <c r="E208" s="2550"/>
      <c r="F208" s="2554"/>
      <c r="G208" s="5279"/>
      <c r="H208" s="4076"/>
      <c r="I208" s="4117"/>
      <c r="J208" s="2551"/>
    </row>
    <row r="209" spans="1:24" s="2549" customFormat="1" ht="13.5" customHeight="1">
      <c r="A209" s="2614">
        <v>35</v>
      </c>
      <c r="B209" s="2550">
        <v>741</v>
      </c>
      <c r="C209" s="2550" t="s">
        <v>8276</v>
      </c>
      <c r="D209" s="2550" t="s">
        <v>8277</v>
      </c>
      <c r="E209" s="5281" t="s">
        <v>155</v>
      </c>
      <c r="F209" s="5282">
        <f>SUM(F211:F212)</f>
        <v>1</v>
      </c>
      <c r="G209" s="2471"/>
      <c r="H209" s="3975">
        <f t="shared" ref="H209" si="32">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8278</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6528</v>
      </c>
      <c r="E211" s="2550"/>
      <c r="F211" s="4464">
        <v>1</v>
      </c>
      <c r="G211" s="5279"/>
      <c r="H211" s="4076"/>
      <c r="I211" s="4117"/>
      <c r="J211" s="2551"/>
    </row>
    <row r="212" spans="1:24" s="2549" customFormat="1" ht="13.5" customHeight="1">
      <c r="A212" s="4462"/>
      <c r="B212" s="2550"/>
      <c r="C212" s="2550"/>
      <c r="D212" s="2553" t="s">
        <v>7300</v>
      </c>
      <c r="E212" s="2550"/>
      <c r="F212" s="2554"/>
      <c r="G212" s="5279"/>
      <c r="H212" s="4076"/>
      <c r="I212" s="4117"/>
      <c r="J212" s="2551"/>
    </row>
    <row r="213" spans="1:24" s="2549" customFormat="1" ht="13.5" customHeight="1">
      <c r="A213" s="2614">
        <v>36</v>
      </c>
      <c r="B213" s="2550">
        <v>741</v>
      </c>
      <c r="C213" s="2550" t="s">
        <v>7301</v>
      </c>
      <c r="D213" s="2550" t="s">
        <v>8279</v>
      </c>
      <c r="E213" s="5281" t="s">
        <v>155</v>
      </c>
      <c r="F213" s="5282">
        <f>SUM(F215:F217)</f>
        <v>13</v>
      </c>
      <c r="G213" s="2471"/>
      <c r="H213" s="3975">
        <f t="shared" ref="H213" si="33">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8280</v>
      </c>
      <c r="E214" s="2550"/>
      <c r="F214" s="4464"/>
      <c r="G214" s="5279"/>
      <c r="H214" s="4076"/>
      <c r="I214" s="4117"/>
      <c r="J214" s="2551"/>
      <c r="K214" s="2528"/>
    </row>
    <row r="215" spans="1:24" s="2549" customFormat="1" ht="13.5" customHeight="1">
      <c r="A215" s="4462"/>
      <c r="B215" s="2550"/>
      <c r="C215" s="2550"/>
      <c r="D215" s="2553" t="s">
        <v>6811</v>
      </c>
      <c r="E215" s="2550"/>
      <c r="F215" s="4464">
        <v>5</v>
      </c>
      <c r="G215" s="5279"/>
      <c r="H215" s="4076"/>
      <c r="I215" s="4117"/>
      <c r="J215" s="2551"/>
      <c r="K215" s="2528"/>
    </row>
    <row r="216" spans="1:24" s="2549" customFormat="1" ht="13.5" customHeight="1">
      <c r="A216" s="4462"/>
      <c r="B216" s="2550"/>
      <c r="C216" s="2550"/>
      <c r="D216" s="2553" t="s">
        <v>6529</v>
      </c>
      <c r="E216" s="2550"/>
      <c r="F216" s="4464">
        <v>4</v>
      </c>
      <c r="G216" s="5279"/>
      <c r="H216" s="4076"/>
      <c r="I216" s="4117"/>
      <c r="J216" s="2551"/>
    </row>
    <row r="217" spans="1:24" s="2549" customFormat="1" ht="13.5" customHeight="1">
      <c r="A217" s="4462"/>
      <c r="B217" s="2550"/>
      <c r="C217" s="2550"/>
      <c r="D217" s="2553" t="s">
        <v>6530</v>
      </c>
      <c r="E217" s="2550"/>
      <c r="F217" s="4464">
        <v>4</v>
      </c>
      <c r="G217" s="5279"/>
      <c r="H217" s="4076"/>
      <c r="I217" s="4117"/>
      <c r="J217" s="2551"/>
    </row>
    <row r="218" spans="1:24" s="2549" customFormat="1" ht="13.5" customHeight="1">
      <c r="A218" s="5287"/>
      <c r="B218" s="2550"/>
      <c r="C218" s="5287"/>
      <c r="D218" s="2553" t="s">
        <v>8281</v>
      </c>
      <c r="E218" s="5288"/>
      <c r="F218" s="2554"/>
      <c r="G218" s="2557"/>
      <c r="H218" s="3997"/>
      <c r="I218" s="4053"/>
      <c r="J218" s="3590"/>
      <c r="K218" s="1061"/>
      <c r="M218" s="1061"/>
    </row>
    <row r="219" spans="1:24" s="2549" customFormat="1" ht="13.5" customHeight="1">
      <c r="A219" s="2614">
        <v>37</v>
      </c>
      <c r="B219" s="2550">
        <v>741</v>
      </c>
      <c r="C219" s="2550" t="s">
        <v>8282</v>
      </c>
      <c r="D219" s="5285" t="s">
        <v>8283</v>
      </c>
      <c r="E219" s="5281" t="s">
        <v>155</v>
      </c>
      <c r="F219" s="5282">
        <f>SUM(F221:F224)</f>
        <v>131</v>
      </c>
      <c r="G219" s="2557"/>
      <c r="H219" s="3975">
        <f t="shared" ref="H219" si="34">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8284</v>
      </c>
      <c r="E220" s="5281"/>
      <c r="F220" s="2554"/>
      <c r="G220" s="2557"/>
      <c r="H220" s="4076"/>
      <c r="I220" s="4117"/>
      <c r="J220" s="2551"/>
      <c r="K220" s="5340"/>
      <c r="L220" s="4838"/>
      <c r="M220" s="1061"/>
      <c r="X220" s="5341"/>
    </row>
    <row r="221" spans="1:24" s="2549" customFormat="1" ht="13.5" customHeight="1">
      <c r="A221" s="5287"/>
      <c r="B221" s="2550"/>
      <c r="C221" s="5287"/>
      <c r="D221" s="2553" t="s">
        <v>6339</v>
      </c>
      <c r="E221" s="2550"/>
      <c r="F221" s="2554">
        <v>14</v>
      </c>
      <c r="G221" s="2557"/>
      <c r="H221" s="4076"/>
      <c r="I221" s="4117"/>
      <c r="J221" s="2551"/>
      <c r="K221" s="2528"/>
      <c r="M221" s="1061"/>
      <c r="X221" s="5341"/>
    </row>
    <row r="222" spans="1:24" s="2549" customFormat="1" ht="13.5" customHeight="1">
      <c r="A222" s="5287"/>
      <c r="B222" s="2550"/>
      <c r="C222" s="5287"/>
      <c r="D222" s="2553" t="s">
        <v>6811</v>
      </c>
      <c r="E222" s="2550"/>
      <c r="F222" s="2554">
        <v>46</v>
      </c>
      <c r="G222" s="2557"/>
      <c r="H222" s="4076"/>
      <c r="I222" s="4117"/>
      <c r="J222" s="2551"/>
      <c r="K222" s="1061"/>
      <c r="M222" s="1061"/>
    </row>
    <row r="223" spans="1:24" s="2549" customFormat="1" ht="13.5" customHeight="1">
      <c r="A223" s="5287"/>
      <c r="B223" s="2550"/>
      <c r="C223" s="5287"/>
      <c r="D223" s="2553" t="s">
        <v>6529</v>
      </c>
      <c r="E223" s="2550"/>
      <c r="F223" s="2554">
        <v>34</v>
      </c>
      <c r="G223" s="2557"/>
      <c r="H223" s="4076"/>
      <c r="I223" s="4117"/>
      <c r="J223" s="2551"/>
      <c r="K223" s="1061"/>
      <c r="M223" s="1061"/>
    </row>
    <row r="224" spans="1:24" s="2549" customFormat="1" ht="13.5" customHeight="1">
      <c r="A224" s="5287"/>
      <c r="B224" s="2550"/>
      <c r="C224" s="5287"/>
      <c r="D224" s="2553" t="s">
        <v>6530</v>
      </c>
      <c r="E224" s="2550"/>
      <c r="F224" s="2554">
        <v>37</v>
      </c>
      <c r="G224" s="2557"/>
      <c r="H224" s="4076"/>
      <c r="I224" s="4117"/>
      <c r="J224" s="2551"/>
      <c r="K224" s="1061"/>
      <c r="M224" s="1061"/>
    </row>
    <row r="225" spans="1:24" s="2549" customFormat="1" ht="13.5" customHeight="1">
      <c r="A225" s="5287"/>
      <c r="B225" s="2550"/>
      <c r="C225" s="5287"/>
      <c r="D225" s="2553" t="s">
        <v>7300</v>
      </c>
      <c r="E225" s="5281"/>
      <c r="F225" s="5286"/>
      <c r="G225" s="2557"/>
      <c r="H225" s="4076"/>
      <c r="I225" s="4117"/>
      <c r="J225" s="2551"/>
      <c r="K225" s="1061"/>
      <c r="M225" s="1061"/>
    </row>
    <row r="226" spans="1:24" s="2549" customFormat="1" ht="13.5" customHeight="1">
      <c r="A226" s="2614">
        <v>38</v>
      </c>
      <c r="B226" s="2550">
        <v>741</v>
      </c>
      <c r="C226" s="2550" t="s">
        <v>8285</v>
      </c>
      <c r="D226" s="2550" t="s">
        <v>7298</v>
      </c>
      <c r="E226" s="5281" t="s">
        <v>155</v>
      </c>
      <c r="F226" s="5282">
        <f>SUM(F228:F231)</f>
        <v>22</v>
      </c>
      <c r="G226" s="2557"/>
      <c r="H226" s="3975">
        <f t="shared" ref="H226" si="35">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7299</v>
      </c>
      <c r="E227" s="5281"/>
      <c r="F227" s="5286"/>
      <c r="G227" s="2557"/>
      <c r="H227" s="4076"/>
      <c r="I227" s="4117"/>
      <c r="J227" s="2551"/>
      <c r="K227" s="5340"/>
      <c r="L227" s="4838"/>
      <c r="M227" s="1061"/>
      <c r="X227" s="5341"/>
    </row>
    <row r="228" spans="1:24" s="2549" customFormat="1" ht="13.5" customHeight="1">
      <c r="A228" s="5287"/>
      <c r="B228" s="2550"/>
      <c r="C228" s="5287"/>
      <c r="D228" s="2553" t="s">
        <v>6339</v>
      </c>
      <c r="E228" s="2550"/>
      <c r="F228" s="2554">
        <v>11</v>
      </c>
      <c r="G228" s="2557"/>
      <c r="H228" s="4076"/>
      <c r="I228" s="4117"/>
      <c r="J228" s="2551"/>
      <c r="K228" s="1061"/>
      <c r="M228" s="1061"/>
      <c r="X228" s="5341"/>
    </row>
    <row r="229" spans="1:24" s="2549" customFormat="1" ht="13.5" customHeight="1">
      <c r="A229" s="5287"/>
      <c r="B229" s="2550"/>
      <c r="C229" s="5287"/>
      <c r="D229" s="2553" t="s">
        <v>6811</v>
      </c>
      <c r="E229" s="2550"/>
      <c r="F229" s="2554">
        <v>5</v>
      </c>
      <c r="G229" s="2557"/>
      <c r="H229" s="4076"/>
      <c r="I229" s="4117"/>
      <c r="J229" s="2551"/>
      <c r="K229" s="1061"/>
      <c r="M229" s="1061"/>
    </row>
    <row r="230" spans="1:24" s="2549" customFormat="1" ht="13.5" customHeight="1">
      <c r="A230" s="5287"/>
      <c r="B230" s="2550"/>
      <c r="C230" s="5287"/>
      <c r="D230" s="2553" t="s">
        <v>6529</v>
      </c>
      <c r="E230" s="2550"/>
      <c r="F230" s="2554">
        <v>2</v>
      </c>
      <c r="G230" s="2557"/>
      <c r="H230" s="4076"/>
      <c r="I230" s="4117"/>
      <c r="J230" s="2551"/>
      <c r="K230" s="1061"/>
      <c r="M230" s="1061"/>
    </row>
    <row r="231" spans="1:24" s="2549" customFormat="1" ht="13.5" customHeight="1">
      <c r="A231" s="5287"/>
      <c r="B231" s="2550"/>
      <c r="C231" s="5287"/>
      <c r="D231" s="2553" t="s">
        <v>6530</v>
      </c>
      <c r="E231" s="2550"/>
      <c r="F231" s="2554">
        <v>4</v>
      </c>
      <c r="G231" s="2557"/>
      <c r="H231" s="4076"/>
      <c r="I231" s="4117"/>
      <c r="J231" s="2551"/>
      <c r="K231" s="1061"/>
      <c r="M231" s="1061"/>
    </row>
    <row r="232" spans="1:24" s="2549" customFormat="1" ht="13.5" customHeight="1">
      <c r="A232" s="5287"/>
      <c r="B232" s="2550"/>
      <c r="C232" s="5287"/>
      <c r="D232" s="2553" t="s">
        <v>7300</v>
      </c>
      <c r="E232" s="5281"/>
      <c r="F232" s="2554"/>
      <c r="G232" s="2557"/>
      <c r="H232" s="4076"/>
      <c r="I232" s="4117"/>
      <c r="J232" s="2551"/>
      <c r="K232" s="1061"/>
      <c r="M232" s="1061"/>
    </row>
    <row r="233" spans="1:24" s="2549" customFormat="1" ht="13.5" customHeight="1">
      <c r="A233" s="2614">
        <v>39</v>
      </c>
      <c r="B233" s="2550">
        <v>741</v>
      </c>
      <c r="C233" s="2550" t="s">
        <v>8286</v>
      </c>
      <c r="D233" s="5285" t="s">
        <v>8287</v>
      </c>
      <c r="E233" s="5281" t="s">
        <v>155</v>
      </c>
      <c r="F233" s="5282">
        <f>SUM(F235:F236)</f>
        <v>2</v>
      </c>
      <c r="G233" s="2557"/>
      <c r="H233" s="3975">
        <f t="shared" ref="H233" si="36">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8288</v>
      </c>
      <c r="E234" s="5281"/>
      <c r="F234" s="2554"/>
      <c r="G234" s="2557"/>
      <c r="H234" s="4076"/>
      <c r="I234" s="4117"/>
      <c r="J234" s="2551"/>
      <c r="K234" s="5340"/>
      <c r="L234" s="4838"/>
      <c r="M234" s="1061"/>
      <c r="X234" s="5341"/>
    </row>
    <row r="235" spans="1:24" s="2549" customFormat="1" ht="13.5" customHeight="1">
      <c r="A235" s="5287"/>
      <c r="B235" s="2550"/>
      <c r="C235" s="5287"/>
      <c r="D235" s="2553" t="s">
        <v>6811</v>
      </c>
      <c r="E235" s="2550"/>
      <c r="F235" s="2554">
        <v>1</v>
      </c>
      <c r="G235" s="2557"/>
      <c r="H235" s="4076"/>
      <c r="I235" s="4117"/>
      <c r="J235" s="2551"/>
      <c r="K235" s="1061"/>
      <c r="M235" s="1061"/>
      <c r="X235" s="5341"/>
    </row>
    <row r="236" spans="1:24" s="2549" customFormat="1" ht="13.5" customHeight="1">
      <c r="A236" s="5287"/>
      <c r="B236" s="2550"/>
      <c r="C236" s="5287"/>
      <c r="D236" s="2553" t="s">
        <v>6530</v>
      </c>
      <c r="E236" s="2550"/>
      <c r="F236" s="2554">
        <v>1</v>
      </c>
      <c r="G236" s="2557"/>
      <c r="H236" s="4076"/>
      <c r="I236" s="4117"/>
      <c r="J236" s="2551"/>
      <c r="K236" s="1061"/>
      <c r="M236" s="1061"/>
    </row>
    <row r="237" spans="1:24" s="2549" customFormat="1" ht="13.5" customHeight="1">
      <c r="A237" s="5287"/>
      <c r="B237" s="2550"/>
      <c r="C237" s="5287"/>
      <c r="D237" s="2553" t="s">
        <v>7300</v>
      </c>
      <c r="E237" s="5281"/>
      <c r="F237" s="5286"/>
      <c r="G237" s="2557"/>
      <c r="H237" s="4076"/>
      <c r="I237" s="4117"/>
      <c r="J237" s="2551"/>
      <c r="K237" s="1061"/>
      <c r="M237" s="1061"/>
    </row>
    <row r="238" spans="1:24" s="2549" customFormat="1" ht="13.5" customHeight="1">
      <c r="A238" s="2614">
        <v>40</v>
      </c>
      <c r="B238" s="2550">
        <v>741</v>
      </c>
      <c r="C238" s="2550" t="s">
        <v>8289</v>
      </c>
      <c r="D238" s="5285" t="s">
        <v>8290</v>
      </c>
      <c r="E238" s="5281" t="s">
        <v>155</v>
      </c>
      <c r="F238" s="5282">
        <f>SUM(F240:F243)</f>
        <v>314</v>
      </c>
      <c r="G238" s="2557"/>
      <c r="H238" s="3975">
        <f t="shared" ref="H238" si="37">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8291</v>
      </c>
      <c r="E239" s="5281"/>
      <c r="F239" s="2554"/>
      <c r="G239" s="2557"/>
      <c r="H239" s="4076"/>
      <c r="I239" s="4117"/>
      <c r="J239" s="2551"/>
      <c r="K239" s="5340"/>
      <c r="L239" s="4838"/>
      <c r="M239" s="1061"/>
      <c r="X239" s="5341"/>
    </row>
    <row r="240" spans="1:24" s="2549" customFormat="1" ht="13.5" customHeight="1">
      <c r="A240" s="5287"/>
      <c r="B240" s="2550"/>
      <c r="C240" s="5287"/>
      <c r="D240" s="2553" t="s">
        <v>6339</v>
      </c>
      <c r="E240" s="2550"/>
      <c r="F240" s="2554">
        <v>12</v>
      </c>
      <c r="G240" s="2557"/>
      <c r="H240" s="4076"/>
      <c r="I240" s="4117"/>
      <c r="J240" s="2551"/>
      <c r="K240" s="1061"/>
      <c r="M240" s="1061"/>
      <c r="X240" s="5341"/>
    </row>
    <row r="241" spans="1:24" s="2549" customFormat="1" ht="13.5" customHeight="1">
      <c r="A241" s="5287"/>
      <c r="B241" s="2550"/>
      <c r="C241" s="5287"/>
      <c r="D241" s="2553" t="s">
        <v>6811</v>
      </c>
      <c r="E241" s="2550"/>
      <c r="F241" s="2554">
        <v>82</v>
      </c>
      <c r="G241" s="2557"/>
      <c r="H241" s="4076"/>
      <c r="I241" s="4117"/>
      <c r="J241" s="2551"/>
      <c r="K241" s="1061"/>
      <c r="M241" s="1061"/>
    </row>
    <row r="242" spans="1:24" s="2549" customFormat="1" ht="13.5" customHeight="1">
      <c r="A242" s="5287"/>
      <c r="B242" s="2550"/>
      <c r="C242" s="5287"/>
      <c r="D242" s="2553" t="s">
        <v>6529</v>
      </c>
      <c r="E242" s="2550"/>
      <c r="F242" s="2554">
        <v>112</v>
      </c>
      <c r="G242" s="2557"/>
      <c r="H242" s="4076"/>
      <c r="I242" s="4117"/>
      <c r="J242" s="2551"/>
      <c r="K242" s="1061"/>
      <c r="M242" s="1061"/>
    </row>
    <row r="243" spans="1:24" s="2549" customFormat="1" ht="13.5" customHeight="1">
      <c r="A243" s="5287"/>
      <c r="B243" s="2550"/>
      <c r="C243" s="5287"/>
      <c r="D243" s="2553" t="s">
        <v>6530</v>
      </c>
      <c r="E243" s="2550"/>
      <c r="F243" s="2554">
        <v>108</v>
      </c>
      <c r="G243" s="2557"/>
      <c r="H243" s="4076"/>
      <c r="I243" s="4117"/>
      <c r="J243" s="2551"/>
      <c r="K243" s="1061"/>
      <c r="M243" s="1061"/>
    </row>
    <row r="244" spans="1:24" s="2549" customFormat="1" ht="13.5" customHeight="1">
      <c r="A244" s="5287"/>
      <c r="B244" s="2550"/>
      <c r="C244" s="5287"/>
      <c r="D244" s="2553" t="s">
        <v>7300</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8292</v>
      </c>
      <c r="D245" s="5285" t="s">
        <v>8293</v>
      </c>
      <c r="E245" s="5281" t="s">
        <v>155</v>
      </c>
      <c r="F245" s="5282">
        <f>SUM(F247:F249)</f>
        <v>12</v>
      </c>
      <c r="G245" s="2557"/>
      <c r="H245" s="3975">
        <f t="shared" ref="H245" si="38">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8294</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6339</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6529</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6530</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7300</v>
      </c>
      <c r="E250" s="5281"/>
      <c r="F250" s="5286"/>
      <c r="G250" s="2557"/>
      <c r="H250" s="4076"/>
      <c r="I250" s="4117"/>
      <c r="J250" s="2551"/>
      <c r="K250" s="1061"/>
      <c r="M250" s="1061"/>
    </row>
    <row r="251" spans="1:24" s="2549" customFormat="1" ht="13.5" customHeight="1">
      <c r="A251" s="2614">
        <v>42</v>
      </c>
      <c r="B251" s="2550">
        <v>741</v>
      </c>
      <c r="C251" s="2550" t="s">
        <v>8295</v>
      </c>
      <c r="D251" s="5285" t="s">
        <v>8296</v>
      </c>
      <c r="E251" s="5281" t="s">
        <v>155</v>
      </c>
      <c r="F251" s="5282">
        <f>SUM(F253:F256)</f>
        <v>8</v>
      </c>
      <c r="G251" s="2557"/>
      <c r="H251" s="3975">
        <f t="shared" ref="H251" si="39">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8297</v>
      </c>
      <c r="E252" s="5281"/>
      <c r="F252" s="2554"/>
      <c r="G252" s="2557"/>
      <c r="H252" s="4076"/>
      <c r="I252" s="4117"/>
      <c r="J252" s="2551"/>
      <c r="K252" s="1061"/>
      <c r="M252" s="1061"/>
      <c r="X252" s="5341"/>
    </row>
    <row r="253" spans="1:24" s="2549" customFormat="1" ht="13.5" customHeight="1">
      <c r="A253" s="5287"/>
      <c r="B253" s="2550"/>
      <c r="C253" s="5287"/>
      <c r="D253" s="2553" t="s">
        <v>6339</v>
      </c>
      <c r="E253" s="2550"/>
      <c r="F253" s="2554">
        <v>1</v>
      </c>
      <c r="G253" s="2557"/>
      <c r="H253" s="4076"/>
      <c r="I253" s="4117"/>
      <c r="J253" s="2551"/>
      <c r="K253" s="1061"/>
      <c r="M253" s="1061"/>
    </row>
    <row r="254" spans="1:24" s="2549" customFormat="1" ht="13.5" customHeight="1">
      <c r="A254" s="5287"/>
      <c r="B254" s="2550"/>
      <c r="C254" s="5287"/>
      <c r="D254" s="2553" t="s">
        <v>6811</v>
      </c>
      <c r="E254" s="2550"/>
      <c r="F254" s="2554">
        <v>4</v>
      </c>
      <c r="G254" s="2557"/>
      <c r="H254" s="4076"/>
      <c r="I254" s="4117"/>
      <c r="J254" s="2551"/>
      <c r="K254" s="1061"/>
      <c r="M254" s="1061"/>
    </row>
    <row r="255" spans="1:24" s="2549" customFormat="1" ht="13.5" customHeight="1">
      <c r="A255" s="5287"/>
      <c r="B255" s="2550"/>
      <c r="C255" s="5287"/>
      <c r="D255" s="2553" t="s">
        <v>6529</v>
      </c>
      <c r="E255" s="2550"/>
      <c r="F255" s="2554">
        <v>1</v>
      </c>
      <c r="G255" s="2557"/>
      <c r="H255" s="4076"/>
      <c r="I255" s="4117"/>
      <c r="J255" s="2551"/>
      <c r="K255" s="1061"/>
      <c r="M255" s="1061"/>
    </row>
    <row r="256" spans="1:24" s="2549" customFormat="1" ht="13.5" customHeight="1">
      <c r="A256" s="5287"/>
      <c r="B256" s="2550"/>
      <c r="C256" s="5287"/>
      <c r="D256" s="2553" t="s">
        <v>6530</v>
      </c>
      <c r="E256" s="2550"/>
      <c r="F256" s="2554">
        <v>2</v>
      </c>
      <c r="G256" s="2557"/>
      <c r="H256" s="4076"/>
      <c r="I256" s="4117"/>
      <c r="J256" s="2551"/>
      <c r="K256" s="1061"/>
      <c r="M256" s="1061"/>
    </row>
    <row r="257" spans="1:24" s="2549" customFormat="1" ht="13.5" customHeight="1">
      <c r="A257" s="5287"/>
      <c r="B257" s="2550"/>
      <c r="C257" s="5287"/>
      <c r="D257" s="2553" t="s">
        <v>7300</v>
      </c>
      <c r="E257" s="5281"/>
      <c r="F257" s="5286"/>
      <c r="G257" s="2557"/>
      <c r="H257" s="4076"/>
      <c r="I257" s="4117"/>
      <c r="J257" s="2551"/>
      <c r="K257" s="1061"/>
      <c r="M257" s="1061"/>
    </row>
    <row r="258" spans="1:24" s="2549" customFormat="1" ht="13.5" customHeight="1">
      <c r="A258" s="2614">
        <v>43</v>
      </c>
      <c r="B258" s="2550">
        <v>741</v>
      </c>
      <c r="C258" s="2550" t="s">
        <v>8298</v>
      </c>
      <c r="D258" s="5285" t="s">
        <v>8299</v>
      </c>
      <c r="E258" s="5281" t="s">
        <v>155</v>
      </c>
      <c r="F258" s="5282">
        <f>SUM(F260:F260)</f>
        <v>2</v>
      </c>
      <c r="G258" s="2557"/>
      <c r="H258" s="3975">
        <f t="shared" ref="H258" si="40">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8300</v>
      </c>
      <c r="E259" s="5281"/>
      <c r="F259" s="2554"/>
      <c r="G259" s="2557"/>
      <c r="H259" s="4076"/>
      <c r="I259" s="4117"/>
      <c r="J259" s="2551"/>
      <c r="K259" s="1061"/>
      <c r="M259" s="1061"/>
      <c r="X259" s="5341"/>
    </row>
    <row r="260" spans="1:24" s="2549" customFormat="1" ht="13.5" customHeight="1">
      <c r="A260" s="5287"/>
      <c r="B260" s="2550"/>
      <c r="C260" s="5287"/>
      <c r="D260" s="2553" t="s">
        <v>6339</v>
      </c>
      <c r="E260" s="2550"/>
      <c r="F260" s="2554">
        <v>2</v>
      </c>
      <c r="G260" s="2557"/>
      <c r="H260" s="4076"/>
      <c r="I260" s="4117"/>
      <c r="J260" s="2551"/>
      <c r="K260" s="1061"/>
      <c r="M260" s="1061"/>
    </row>
    <row r="261" spans="1:24" s="2549" customFormat="1" ht="13.5" customHeight="1">
      <c r="A261" s="5287"/>
      <c r="B261" s="2550"/>
      <c r="C261" s="5287"/>
      <c r="D261" s="2553" t="s">
        <v>7300</v>
      </c>
      <c r="E261" s="5281"/>
      <c r="F261" s="5286"/>
      <c r="G261" s="2557"/>
      <c r="H261" s="4076"/>
      <c r="I261" s="4117"/>
      <c r="J261" s="2551"/>
      <c r="K261" s="1061"/>
      <c r="M261" s="1061"/>
    </row>
    <row r="262" spans="1:24" s="2549" customFormat="1" ht="13.5" customHeight="1">
      <c r="A262" s="2614">
        <v>44</v>
      </c>
      <c r="B262" s="2550">
        <v>741</v>
      </c>
      <c r="C262" s="2550" t="s">
        <v>8301</v>
      </c>
      <c r="D262" s="5285" t="s">
        <v>8302</v>
      </c>
      <c r="E262" s="5281" t="s">
        <v>155</v>
      </c>
      <c r="F262" s="5282">
        <f>SUM(F264:F267)</f>
        <v>47</v>
      </c>
      <c r="G262" s="2557"/>
      <c r="H262" s="3975">
        <f t="shared" ref="H262" si="41">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8303</v>
      </c>
      <c r="E263" s="5281"/>
      <c r="F263" s="2554"/>
      <c r="G263" s="2557"/>
      <c r="H263" s="4076"/>
      <c r="I263" s="4117"/>
      <c r="J263" s="2551"/>
      <c r="K263" s="5273"/>
      <c r="L263" s="1061"/>
      <c r="M263" s="1061"/>
      <c r="X263" s="5341"/>
    </row>
    <row r="264" spans="1:24" s="2549" customFormat="1" ht="13.5" customHeight="1">
      <c r="A264" s="5287"/>
      <c r="B264" s="2550"/>
      <c r="C264" s="5287"/>
      <c r="D264" s="2553" t="s">
        <v>6339</v>
      </c>
      <c r="E264" s="2550"/>
      <c r="F264" s="2554">
        <v>13</v>
      </c>
      <c r="G264" s="2557"/>
      <c r="H264" s="4076"/>
      <c r="I264" s="4117"/>
      <c r="J264" s="2551"/>
      <c r="K264" s="1061"/>
      <c r="M264" s="1061"/>
    </row>
    <row r="265" spans="1:24" s="2549" customFormat="1" ht="13.5" customHeight="1">
      <c r="A265" s="5287"/>
      <c r="B265" s="2550"/>
      <c r="C265" s="5287"/>
      <c r="D265" s="2553" t="s">
        <v>6811</v>
      </c>
      <c r="E265" s="2550"/>
      <c r="F265" s="2554">
        <v>8</v>
      </c>
      <c r="G265" s="2557"/>
      <c r="H265" s="4076"/>
      <c r="I265" s="4117"/>
      <c r="J265" s="2551"/>
      <c r="K265" s="1061"/>
      <c r="M265" s="1061"/>
    </row>
    <row r="266" spans="1:24" s="2549" customFormat="1" ht="13.5" customHeight="1">
      <c r="A266" s="5287"/>
      <c r="B266" s="2550"/>
      <c r="C266" s="5287"/>
      <c r="D266" s="2553" t="s">
        <v>6529</v>
      </c>
      <c r="E266" s="2550"/>
      <c r="F266" s="2554">
        <v>13</v>
      </c>
      <c r="G266" s="2557"/>
      <c r="H266" s="4076"/>
      <c r="I266" s="4117"/>
      <c r="J266" s="2551"/>
      <c r="K266" s="1061"/>
      <c r="M266" s="1061"/>
    </row>
    <row r="267" spans="1:24" s="2549" customFormat="1" ht="13.5" customHeight="1">
      <c r="A267" s="5287"/>
      <c r="B267" s="2550"/>
      <c r="C267" s="5287"/>
      <c r="D267" s="2553" t="s">
        <v>6530</v>
      </c>
      <c r="E267" s="2550"/>
      <c r="F267" s="2554">
        <v>13</v>
      </c>
      <c r="G267" s="2557"/>
      <c r="H267" s="4076"/>
      <c r="I267" s="4117"/>
      <c r="J267" s="2551"/>
      <c r="K267" s="1061"/>
      <c r="M267" s="1061"/>
    </row>
    <row r="268" spans="1:24" s="2549" customFormat="1" ht="13.5" customHeight="1">
      <c r="A268" s="5287"/>
      <c r="B268" s="2550"/>
      <c r="C268" s="5287"/>
      <c r="D268" s="2553" t="s">
        <v>7300</v>
      </c>
      <c r="E268" s="5281"/>
      <c r="F268" s="5286"/>
      <c r="G268" s="2557"/>
      <c r="H268" s="4076"/>
      <c r="I268" s="4117"/>
      <c r="J268" s="2551"/>
      <c r="K268" s="1061"/>
      <c r="M268" s="1061"/>
    </row>
    <row r="269" spans="1:24" s="2549" customFormat="1" ht="13.5" customHeight="1">
      <c r="A269" s="2614">
        <v>45</v>
      </c>
      <c r="B269" s="2550">
        <v>741</v>
      </c>
      <c r="C269" s="2550" t="s">
        <v>8304</v>
      </c>
      <c r="D269" s="2550" t="s">
        <v>8305</v>
      </c>
      <c r="E269" s="5281" t="s">
        <v>155</v>
      </c>
      <c r="F269" s="5282">
        <f>SUM(F271:F271)</f>
        <v>3</v>
      </c>
      <c r="G269" s="2557"/>
      <c r="H269" s="3975">
        <f t="shared" ref="H269" si="42">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8306</v>
      </c>
      <c r="E270" s="5281"/>
      <c r="F270" s="5289"/>
      <c r="G270" s="2557"/>
      <c r="H270" s="3997"/>
      <c r="I270" s="4053"/>
      <c r="J270" s="2551"/>
      <c r="K270" s="5273"/>
      <c r="M270" s="1061"/>
      <c r="X270" s="5341"/>
    </row>
    <row r="271" spans="1:24" s="2549" customFormat="1" ht="13.5" customHeight="1">
      <c r="A271" s="5287"/>
      <c r="B271" s="2550"/>
      <c r="C271" s="5287"/>
      <c r="D271" s="2553" t="s">
        <v>6811</v>
      </c>
      <c r="E271" s="2550"/>
      <c r="F271" s="2554">
        <v>3</v>
      </c>
      <c r="G271" s="2557"/>
      <c r="H271" s="3997"/>
      <c r="I271" s="4053"/>
      <c r="J271" s="2551"/>
      <c r="K271" s="1061"/>
      <c r="M271" s="1061"/>
    </row>
    <row r="272" spans="1:24" s="2549" customFormat="1" ht="13.5" customHeight="1">
      <c r="A272" s="5287"/>
      <c r="B272" s="2550"/>
      <c r="C272" s="5287"/>
      <c r="D272" s="2553" t="s">
        <v>8307</v>
      </c>
      <c r="E272" s="5288"/>
      <c r="F272" s="2554"/>
      <c r="G272" s="2557"/>
      <c r="H272" s="3997"/>
      <c r="I272" s="4053"/>
      <c r="J272" s="3590"/>
      <c r="K272" s="1061"/>
      <c r="M272" s="1061"/>
    </row>
    <row r="273" spans="1:98" s="1102" customFormat="1" ht="13.5" customHeight="1">
      <c r="A273" s="2614">
        <v>46</v>
      </c>
      <c r="B273" s="2550">
        <v>741</v>
      </c>
      <c r="C273" s="2550">
        <v>998741203</v>
      </c>
      <c r="D273" s="2550" t="s">
        <v>8252</v>
      </c>
      <c r="E273" s="2550" t="s">
        <v>8</v>
      </c>
      <c r="F273" s="5278">
        <v>0.77</v>
      </c>
      <c r="G273" s="5279"/>
      <c r="H273" s="3975">
        <f t="shared" ref="H273:H274" si="43">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 t="shared" si="43"/>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7173</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7174</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8308</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7143</v>
      </c>
      <c r="D278" s="2550" t="s">
        <v>7144</v>
      </c>
      <c r="E278" s="2550" t="s">
        <v>141</v>
      </c>
      <c r="F278" s="5282">
        <f>SUM(F279)</f>
        <v>27750</v>
      </c>
      <c r="G278" s="2557"/>
      <c r="H278" s="3975">
        <f t="shared" ref="H278" si="44">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7145</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7146</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7308</v>
      </c>
      <c r="D281" s="2550" t="s">
        <v>7309</v>
      </c>
      <c r="E281" s="2550" t="s">
        <v>141</v>
      </c>
      <c r="F281" s="5282">
        <f>SUM(F282)</f>
        <v>20000</v>
      </c>
      <c r="G281" s="2557"/>
      <c r="H281" s="3975">
        <f t="shared" ref="H281" si="45">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7145</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7146</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7310</v>
      </c>
      <c r="D284" s="2550" t="s">
        <v>8309</v>
      </c>
      <c r="E284" s="2550" t="s">
        <v>141</v>
      </c>
      <c r="F284" s="5282">
        <f>SUM(F285)</f>
        <v>1600</v>
      </c>
      <c r="G284" s="2557"/>
      <c r="H284" s="3975">
        <f t="shared" ref="H284" si="46">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7145</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7146</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7310</v>
      </c>
      <c r="D287" s="2550" t="s">
        <v>7311</v>
      </c>
      <c r="E287" s="2550" t="s">
        <v>141</v>
      </c>
      <c r="F287" s="5282">
        <f>SUM(F288)</f>
        <v>200</v>
      </c>
      <c r="G287" s="2557"/>
      <c r="H287" s="3975">
        <f t="shared" ref="H287" si="47">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7145</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7146</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8310</v>
      </c>
      <c r="D290" s="2550" t="s">
        <v>8311</v>
      </c>
      <c r="E290" s="2550" t="s">
        <v>141</v>
      </c>
      <c r="F290" s="5282">
        <f>SUM(F291)</f>
        <v>550</v>
      </c>
      <c r="G290" s="2557"/>
      <c r="H290" s="3975">
        <f t="shared" ref="H290" si="48">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7145</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7146</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8310</v>
      </c>
      <c r="D293" s="2550" t="s">
        <v>8312</v>
      </c>
      <c r="E293" s="2550" t="s">
        <v>141</v>
      </c>
      <c r="F293" s="5282">
        <f>SUM(F294)</f>
        <v>75</v>
      </c>
      <c r="G293" s="2557"/>
      <c r="H293" s="3975">
        <f t="shared" ref="H293" si="49">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7145</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7146</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8313</v>
      </c>
      <c r="D296" s="2550" t="s">
        <v>8314</v>
      </c>
      <c r="E296" s="2550" t="s">
        <v>141</v>
      </c>
      <c r="F296" s="5282">
        <f>SUM(F297)</f>
        <v>120</v>
      </c>
      <c r="G296" s="2557"/>
      <c r="H296" s="3975">
        <f t="shared" ref="H296" si="50">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7145</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7146</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8313</v>
      </c>
      <c r="D299" s="2550" t="s">
        <v>8315</v>
      </c>
      <c r="E299" s="2550" t="s">
        <v>141</v>
      </c>
      <c r="F299" s="5282">
        <f>SUM(F300)</f>
        <v>20</v>
      </c>
      <c r="G299" s="2557"/>
      <c r="H299" s="3975">
        <f t="shared" ref="H299" si="51">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7145</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7146</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8316</v>
      </c>
      <c r="D302" s="2550" t="s">
        <v>8317</v>
      </c>
      <c r="E302" s="2550" t="s">
        <v>141</v>
      </c>
      <c r="F302" s="5282">
        <f>SUM(F303)</f>
        <v>25</v>
      </c>
      <c r="G302" s="2557"/>
      <c r="H302" s="3975">
        <f t="shared" ref="H302" si="52">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7145</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7146</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8318</v>
      </c>
      <c r="D305" s="2550" t="s">
        <v>10645</v>
      </c>
      <c r="E305" s="2550" t="s">
        <v>141</v>
      </c>
      <c r="F305" s="5282">
        <f>SUM(F306)</f>
        <v>80</v>
      </c>
      <c r="G305" s="2557"/>
      <c r="H305" s="3975">
        <f t="shared" ref="H305" si="53">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10644</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7146</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8319</v>
      </c>
      <c r="D308" s="2550" t="s">
        <v>10643</v>
      </c>
      <c r="E308" s="2550" t="s">
        <v>141</v>
      </c>
      <c r="F308" s="5282">
        <f>SUM(F309)</f>
        <v>350</v>
      </c>
      <c r="G308" s="2557"/>
      <c r="H308" s="3975">
        <f t="shared" ref="H308" si="54">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10644</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7146</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8318</v>
      </c>
      <c r="D311" s="2550" t="s">
        <v>10466</v>
      </c>
      <c r="E311" s="2550" t="s">
        <v>23</v>
      </c>
      <c r="F311" s="5282">
        <f>SUM(F312)</f>
        <v>1</v>
      </c>
      <c r="G311" s="2557"/>
      <c r="H311" s="3975">
        <f t="shared" ref="H311" si="55">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10467</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10468</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10646</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8319</v>
      </c>
      <c r="D315" s="5294" t="s">
        <v>8320</v>
      </c>
      <c r="E315" s="5295" t="s">
        <v>23</v>
      </c>
      <c r="F315" s="5296">
        <f>SUM(F316)</f>
        <v>1</v>
      </c>
      <c r="G315" s="4459"/>
      <c r="H315" s="3975">
        <f t="shared" ref="H315" si="56">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8321</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10484</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8252</v>
      </c>
      <c r="E318" s="2550" t="s">
        <v>8</v>
      </c>
      <c r="F318" s="5278">
        <v>0.77</v>
      </c>
      <c r="G318" s="5279"/>
      <c r="H318" s="3975">
        <f t="shared" ref="H318:H319" si="57">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 t="shared" si="57"/>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7173</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7174</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8322</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7147</v>
      </c>
      <c r="D323" s="2550" t="s">
        <v>8323</v>
      </c>
      <c r="E323" s="2550" t="s">
        <v>23</v>
      </c>
      <c r="F323" s="5278">
        <f>F325</f>
        <v>1</v>
      </c>
      <c r="G323" s="2557"/>
      <c r="H323" s="3975">
        <f t="shared" ref="H323" si="58">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8324</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8325</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8326</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8327</v>
      </c>
      <c r="D327" s="2550" t="s">
        <v>8328</v>
      </c>
      <c r="E327" s="2550" t="s">
        <v>23</v>
      </c>
      <c r="F327" s="5278">
        <f>F329</f>
        <v>1</v>
      </c>
      <c r="G327" s="2557"/>
      <c r="H327" s="3975">
        <f t="shared" ref="H327" si="59">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8329</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6532</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8326</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8330</v>
      </c>
      <c r="D331" s="2550" t="s">
        <v>8331</v>
      </c>
      <c r="E331" s="2550" t="s">
        <v>23</v>
      </c>
      <c r="F331" s="5278">
        <f>F333</f>
        <v>1</v>
      </c>
      <c r="G331" s="2557"/>
      <c r="H331" s="3975">
        <f t="shared" ref="H331" si="60">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8332</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6532</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8326</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8333</v>
      </c>
      <c r="D335" s="2550" t="s">
        <v>8334</v>
      </c>
      <c r="E335" s="2550" t="s">
        <v>23</v>
      </c>
      <c r="F335" s="5278">
        <f>F337</f>
        <v>1</v>
      </c>
      <c r="G335" s="2557"/>
      <c r="H335" s="3975">
        <f t="shared" ref="H335" si="61">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8335</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6532</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8326</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8336</v>
      </c>
      <c r="D339" s="2550" t="s">
        <v>8337</v>
      </c>
      <c r="E339" s="2550" t="s">
        <v>23</v>
      </c>
      <c r="F339" s="5282">
        <f>F341</f>
        <v>1</v>
      </c>
      <c r="G339" s="2557"/>
      <c r="H339" s="3975">
        <f t="shared" ref="H339" si="62">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8338</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6532</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8326</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8336</v>
      </c>
      <c r="D343" s="2550" t="s">
        <v>8339</v>
      </c>
      <c r="E343" s="2550" t="s">
        <v>23</v>
      </c>
      <c r="F343" s="5282">
        <f>F345</f>
        <v>1</v>
      </c>
      <c r="G343" s="2557"/>
      <c r="H343" s="3975">
        <f t="shared" ref="H343" si="63">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8340</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6532</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8326</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8341</v>
      </c>
      <c r="D347" s="2550" t="s">
        <v>8342</v>
      </c>
      <c r="E347" s="2550" t="s">
        <v>23</v>
      </c>
      <c r="F347" s="5282">
        <f>F349</f>
        <v>1</v>
      </c>
      <c r="G347" s="2557"/>
      <c r="H347" s="3975">
        <f t="shared" ref="H347" si="64">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8343</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6528</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8326</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8344</v>
      </c>
      <c r="D351" s="2550" t="s">
        <v>8345</v>
      </c>
      <c r="E351" s="2550" t="s">
        <v>23</v>
      </c>
      <c r="F351" s="5282">
        <f>F353</f>
        <v>1</v>
      </c>
      <c r="G351" s="2557"/>
      <c r="H351" s="3975">
        <f t="shared" ref="H351" si="65">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8346</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6528</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8326</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8347</v>
      </c>
      <c r="D355" s="2550" t="s">
        <v>8348</v>
      </c>
      <c r="E355" s="2550" t="s">
        <v>23</v>
      </c>
      <c r="F355" s="5282">
        <f>F357</f>
        <v>1</v>
      </c>
      <c r="G355" s="2557"/>
      <c r="H355" s="3975">
        <f t="shared" ref="H355" si="66">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8349</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6529</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8326</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8350</v>
      </c>
      <c r="D359" s="2550" t="s">
        <v>8351</v>
      </c>
      <c r="E359" s="2550" t="s">
        <v>23</v>
      </c>
      <c r="F359" s="5282">
        <f>F361</f>
        <v>1</v>
      </c>
      <c r="G359" s="2557"/>
      <c r="H359" s="3975">
        <f t="shared" ref="H359" si="67">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8352</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6529</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8326</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8353</v>
      </c>
      <c r="D363" s="2550" t="s">
        <v>8354</v>
      </c>
      <c r="E363" s="2550" t="s">
        <v>23</v>
      </c>
      <c r="F363" s="5282">
        <f>F365</f>
        <v>1</v>
      </c>
      <c r="G363" s="2557"/>
      <c r="H363" s="3975">
        <f t="shared" ref="H363" si="68">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8355</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6530</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8326</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8356</v>
      </c>
      <c r="D367" s="2550" t="s">
        <v>8357</v>
      </c>
      <c r="E367" s="2550" t="s">
        <v>23</v>
      </c>
      <c r="F367" s="5282">
        <f>F369</f>
        <v>1</v>
      </c>
      <c r="G367" s="2557"/>
      <c r="H367" s="3975">
        <f t="shared" ref="H367" si="69">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8358</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6530</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8326</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8356</v>
      </c>
      <c r="D371" s="2550" t="s">
        <v>8359</v>
      </c>
      <c r="E371" s="2550" t="s">
        <v>23</v>
      </c>
      <c r="F371" s="5282">
        <f>F373</f>
        <v>1</v>
      </c>
      <c r="G371" s="2557"/>
      <c r="H371" s="3975">
        <f t="shared" ref="H371" si="70">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8360</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8361</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8362</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8252</v>
      </c>
      <c r="E375" s="2550" t="s">
        <v>8</v>
      </c>
      <c r="F375" s="5278">
        <v>0.77</v>
      </c>
      <c r="G375" s="5279"/>
      <c r="H375" s="3975">
        <f t="shared" ref="H375:H376" si="71">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 t="shared" si="71"/>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7173</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7174</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8363</v>
      </c>
      <c r="E379" s="2547"/>
      <c r="F379" s="5280"/>
      <c r="G379" s="4465"/>
      <c r="H379" s="4074">
        <f>SUM(H380:H408)</f>
        <v>0</v>
      </c>
      <c r="I379" s="4115">
        <f>SUM(I380:I408)</f>
        <v>0</v>
      </c>
      <c r="J379" s="2548"/>
      <c r="L379" s="4602"/>
      <c r="M379" s="4602"/>
      <c r="N379" s="4602"/>
      <c r="O379" s="4602"/>
      <c r="P379" s="4602"/>
      <c r="Q379" s="4602"/>
    </row>
    <row r="380" spans="1:98" s="2549" customFormat="1" ht="13.5" customHeight="1">
      <c r="A380" s="2614">
        <v>76</v>
      </c>
      <c r="B380" s="2550">
        <v>741</v>
      </c>
      <c r="C380" s="2469" t="s">
        <v>7151</v>
      </c>
      <c r="D380" s="2550" t="s">
        <v>7152</v>
      </c>
      <c r="E380" s="2550" t="s">
        <v>141</v>
      </c>
      <c r="F380" s="5282">
        <f>SUM(F382)</f>
        <v>168.74</v>
      </c>
      <c r="G380" s="2557"/>
      <c r="H380" s="3975">
        <f t="shared" ref="H380" si="72">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7153</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8364</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7154</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7155</v>
      </c>
      <c r="D384" s="3046" t="s">
        <v>11704</v>
      </c>
      <c r="E384" s="2550" t="s">
        <v>141</v>
      </c>
      <c r="F384" s="5282">
        <f>SUM(F385)</f>
        <v>66</v>
      </c>
      <c r="G384" s="5741" t="s">
        <v>11578</v>
      </c>
      <c r="H384" s="5742"/>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7156</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7154</v>
      </c>
      <c r="E386" s="2550"/>
      <c r="F386" s="5282"/>
      <c r="G386" s="2557"/>
      <c r="H386" s="3997"/>
      <c r="I386" s="4053"/>
      <c r="J386" s="2470"/>
      <c r="K386" s="5057"/>
      <c r="L386" s="4602"/>
      <c r="M386" s="4602"/>
      <c r="N386" s="4602"/>
      <c r="O386" s="4602"/>
      <c r="P386" s="4602"/>
      <c r="Q386" s="4602"/>
    </row>
    <row r="387" spans="1:257" s="2549" customFormat="1" ht="13.5" customHeight="1">
      <c r="A387" s="5578" t="s">
        <v>8137</v>
      </c>
      <c r="B387" s="5593">
        <v>741</v>
      </c>
      <c r="C387" s="5594" t="s">
        <v>11703</v>
      </c>
      <c r="D387" s="5593" t="s">
        <v>11702</v>
      </c>
      <c r="E387" s="5593" t="s">
        <v>141</v>
      </c>
      <c r="F387" s="5592">
        <f>SUM(F388)</f>
        <v>66</v>
      </c>
      <c r="G387" s="5595"/>
      <c r="H387" s="5596">
        <f t="shared" ref="H387" si="73">ROUND(F387*G387,2)</f>
        <v>0</v>
      </c>
      <c r="I387" s="5597"/>
      <c r="J387" s="5598" t="s">
        <v>60</v>
      </c>
      <c r="K387" s="5340"/>
      <c r="L387" s="4838"/>
      <c r="M387" s="2462"/>
      <c r="N387" s="2462"/>
      <c r="O387" s="2462"/>
      <c r="P387" s="2462"/>
      <c r="Q387" s="2462"/>
      <c r="R387" s="2462"/>
      <c r="S387" s="2462"/>
      <c r="T387" s="2462"/>
      <c r="U387" s="2462"/>
      <c r="V387" s="2462"/>
      <c r="W387" s="2462"/>
      <c r="X387" s="5341"/>
    </row>
    <row r="388" spans="1:257" s="2549" customFormat="1" ht="13.5" customHeight="1">
      <c r="A388" s="5578"/>
      <c r="B388" s="5593"/>
      <c r="C388" s="5593"/>
      <c r="D388" s="5593" t="s">
        <v>7156</v>
      </c>
      <c r="E388" s="5593"/>
      <c r="F388" s="5591">
        <f>(60)*1.1</f>
        <v>66</v>
      </c>
      <c r="G388" s="5595"/>
      <c r="H388" s="5599"/>
      <c r="I388" s="5597"/>
      <c r="J388" s="5598"/>
      <c r="K388" s="5354"/>
      <c r="L388" s="5355"/>
      <c r="M388" s="2466"/>
      <c r="N388" s="2466"/>
      <c r="P388" s="2467"/>
      <c r="Q388" s="2466"/>
      <c r="R388" s="2466"/>
      <c r="S388" s="2466"/>
      <c r="T388" s="2466"/>
      <c r="U388" s="2466"/>
      <c r="V388" s="2466"/>
      <c r="W388" s="2466"/>
      <c r="X388" s="5356"/>
    </row>
    <row r="389" spans="1:257" s="2549" customFormat="1" ht="13.5" customHeight="1">
      <c r="A389" s="5578"/>
      <c r="B389" s="5593"/>
      <c r="C389" s="5593"/>
      <c r="D389" s="5593" t="s">
        <v>7154</v>
      </c>
      <c r="E389" s="5593"/>
      <c r="F389" s="5592"/>
      <c r="G389" s="5595"/>
      <c r="H389" s="5599"/>
      <c r="I389" s="5597"/>
      <c r="J389" s="5598"/>
      <c r="K389" s="5057"/>
      <c r="L389" s="4602"/>
      <c r="M389" s="4602"/>
      <c r="N389" s="4602"/>
      <c r="O389" s="4602"/>
      <c r="P389" s="4602"/>
      <c r="Q389" s="4602"/>
    </row>
    <row r="390" spans="1:257" s="2549" customFormat="1" ht="13.5" customHeight="1">
      <c r="A390" s="2614">
        <v>78</v>
      </c>
      <c r="B390" s="2550">
        <v>741</v>
      </c>
      <c r="C390" s="2469" t="s">
        <v>7157</v>
      </c>
      <c r="D390" s="5294" t="s">
        <v>7158</v>
      </c>
      <c r="E390" s="2550" t="s">
        <v>155</v>
      </c>
      <c r="F390" s="5282">
        <f>SUM(F391)</f>
        <v>80</v>
      </c>
      <c r="G390" s="2557"/>
      <c r="H390" s="3975">
        <f t="shared" ref="H390" si="74">ROUND(F390*G390,2)</f>
        <v>0</v>
      </c>
      <c r="I390" s="4053"/>
      <c r="J390" s="2470" t="s">
        <v>60</v>
      </c>
      <c r="X390" s="5356"/>
    </row>
    <row r="391" spans="1:257" s="2549" customFormat="1" ht="13.5" customHeight="1">
      <c r="A391" s="2614"/>
      <c r="B391" s="2550"/>
      <c r="C391" s="2469"/>
      <c r="D391" s="2553" t="s">
        <v>7159</v>
      </c>
      <c r="E391" s="2550"/>
      <c r="F391" s="2554">
        <v>80</v>
      </c>
      <c r="G391" s="2557"/>
      <c r="H391" s="3997"/>
      <c r="I391" s="4053"/>
      <c r="J391" s="2470"/>
      <c r="K391" s="5340"/>
      <c r="L391" s="4838"/>
      <c r="M391" s="2462"/>
      <c r="N391" s="2462"/>
      <c r="O391" s="2462"/>
      <c r="P391" s="2462"/>
      <c r="Q391" s="2462"/>
      <c r="R391" s="2462"/>
      <c r="S391" s="2462"/>
      <c r="T391" s="2462"/>
      <c r="U391" s="2462"/>
      <c r="V391" s="2462"/>
      <c r="W391" s="2462"/>
      <c r="X391" s="5341"/>
    </row>
    <row r="392" spans="1:257" s="2595" customFormat="1" ht="13.5" customHeight="1">
      <c r="A392" s="2614"/>
      <c r="B392" s="2550"/>
      <c r="C392" s="2550"/>
      <c r="D392" s="2553" t="s">
        <v>7154</v>
      </c>
      <c r="E392" s="2550"/>
      <c r="F392" s="3582"/>
      <c r="G392" s="2557"/>
      <c r="H392" s="3997"/>
      <c r="I392" s="4053"/>
      <c r="J392" s="2470"/>
      <c r="K392" s="5354"/>
      <c r="L392" s="5355"/>
      <c r="M392" s="2466"/>
      <c r="N392" s="2466"/>
      <c r="O392" s="2466"/>
      <c r="P392" s="2467"/>
      <c r="Q392" s="2466"/>
      <c r="R392" s="2466"/>
      <c r="S392" s="2467"/>
      <c r="T392" s="2466"/>
      <c r="U392" s="2466"/>
      <c r="V392" s="2466"/>
      <c r="W392" s="2466"/>
      <c r="X392" s="5356"/>
      <c r="Y392" s="2549"/>
      <c r="Z392" s="2549"/>
      <c r="AA392" s="2549"/>
      <c r="AB392" s="2549"/>
      <c r="AC392" s="2549"/>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73" customFormat="1" ht="13.5" customHeight="1">
      <c r="A393" s="4361">
        <v>79</v>
      </c>
      <c r="B393" s="2469">
        <v>741</v>
      </c>
      <c r="C393" s="2469" t="s">
        <v>7160</v>
      </c>
      <c r="D393" s="5301" t="s">
        <v>7161</v>
      </c>
      <c r="E393" s="2469" t="s">
        <v>23</v>
      </c>
      <c r="F393" s="5282">
        <f>SUM(F394)</f>
        <v>1</v>
      </c>
      <c r="G393" s="5279"/>
      <c r="H393" s="3975">
        <f t="shared" ref="H393" si="75">ROUND(F393*G393,2)</f>
        <v>0</v>
      </c>
      <c r="I393" s="4116"/>
      <c r="J393" s="2470" t="s">
        <v>60</v>
      </c>
      <c r="K393" s="2472"/>
      <c r="T393" s="2474"/>
    </row>
    <row r="394" spans="1:257" s="2473" customFormat="1" ht="13.5" customHeight="1">
      <c r="A394" s="3242"/>
      <c r="B394" s="3240"/>
      <c r="C394" s="3240"/>
      <c r="D394" s="3244" t="s">
        <v>10122</v>
      </c>
      <c r="E394" s="3240"/>
      <c r="F394" s="3245">
        <v>1</v>
      </c>
      <c r="G394" s="3476"/>
      <c r="H394" s="4078"/>
      <c r="I394" s="4119"/>
      <c r="J394" s="3239"/>
      <c r="K394" s="2472"/>
      <c r="T394" s="2474"/>
    </row>
    <row r="395" spans="1:257" s="2473" customFormat="1" ht="13.5" customHeight="1">
      <c r="A395" s="4361">
        <v>80</v>
      </c>
      <c r="B395" s="2469">
        <v>741</v>
      </c>
      <c r="C395" s="2469" t="s">
        <v>7162</v>
      </c>
      <c r="D395" s="5301" t="s">
        <v>7163</v>
      </c>
      <c r="E395" s="2469" t="s">
        <v>23</v>
      </c>
      <c r="F395" s="5302">
        <v>1</v>
      </c>
      <c r="G395" s="5279"/>
      <c r="H395" s="3975">
        <f t="shared" ref="H395" si="76">ROUND(F395*G395,2)</f>
        <v>0</v>
      </c>
      <c r="I395" s="4116"/>
      <c r="J395" s="2470" t="s">
        <v>60</v>
      </c>
      <c r="K395" s="2472"/>
      <c r="T395" s="2474"/>
    </row>
    <row r="396" spans="1:257" s="2466" customFormat="1" ht="13.5" customHeight="1">
      <c r="A396" s="5303"/>
      <c r="B396" s="5295"/>
      <c r="C396" s="5295"/>
      <c r="D396" s="5297" t="s">
        <v>7164</v>
      </c>
      <c r="E396" s="5295"/>
      <c r="F396" s="5298">
        <v>1</v>
      </c>
      <c r="G396" s="4459"/>
      <c r="H396" s="4077"/>
      <c r="I396" s="4118"/>
      <c r="J396" s="4459"/>
      <c r="K396" s="2472"/>
      <c r="L396" s="2475"/>
      <c r="M396" s="2475"/>
    </row>
    <row r="397" spans="1:257" s="2473" customFormat="1" ht="13.5" customHeight="1">
      <c r="A397" s="4361">
        <v>81</v>
      </c>
      <c r="B397" s="2469">
        <v>741</v>
      </c>
      <c r="C397" s="2469" t="s">
        <v>7165</v>
      </c>
      <c r="D397" s="5301" t="s">
        <v>7166</v>
      </c>
      <c r="E397" s="2469" t="s">
        <v>23</v>
      </c>
      <c r="F397" s="5302">
        <v>1</v>
      </c>
      <c r="G397" s="5279"/>
      <c r="H397" s="3975">
        <f t="shared" ref="H397:H398" si="77">ROUND(F397*G397,2)</f>
        <v>0</v>
      </c>
      <c r="I397" s="4116"/>
      <c r="J397" s="2470" t="s">
        <v>60</v>
      </c>
      <c r="K397" s="2472"/>
      <c r="T397" s="2474"/>
    </row>
    <row r="398" spans="1:257" s="2473" customFormat="1" ht="13.5" customHeight="1">
      <c r="A398" s="4361">
        <v>82</v>
      </c>
      <c r="B398" s="2469">
        <v>741</v>
      </c>
      <c r="C398" s="2469" t="s">
        <v>8365</v>
      </c>
      <c r="D398" s="5301" t="s">
        <v>8395</v>
      </c>
      <c r="E398" s="2469" t="s">
        <v>23</v>
      </c>
      <c r="F398" s="5304">
        <f>F399</f>
        <v>2</v>
      </c>
      <c r="G398" s="5279"/>
      <c r="H398" s="3975">
        <f t="shared" si="77"/>
        <v>0</v>
      </c>
      <c r="I398" s="4116"/>
      <c r="J398" s="2470" t="s">
        <v>60</v>
      </c>
      <c r="K398" s="2472"/>
      <c r="T398" s="2474"/>
    </row>
    <row r="399" spans="1:257" s="2466" customFormat="1" ht="13.5" customHeight="1">
      <c r="A399" s="5303"/>
      <c r="B399" s="5295"/>
      <c r="C399" s="5295"/>
      <c r="D399" s="5297" t="s">
        <v>8396</v>
      </c>
      <c r="E399" s="5295"/>
      <c r="F399" s="5305">
        <v>2</v>
      </c>
      <c r="G399" s="4459"/>
      <c r="H399" s="4077"/>
      <c r="I399" s="4118"/>
      <c r="J399" s="4459"/>
      <c r="K399" s="2472"/>
      <c r="L399" s="2475"/>
      <c r="M399" s="2475"/>
    </row>
    <row r="400" spans="1:257" s="254" customFormat="1" ht="81" customHeight="1">
      <c r="A400" s="5306"/>
      <c r="B400" s="5307"/>
      <c r="C400" s="5308"/>
      <c r="D400" s="4466" t="s">
        <v>8397</v>
      </c>
      <c r="E400" s="5309"/>
      <c r="F400" s="5310"/>
      <c r="G400" s="5311"/>
      <c r="H400" s="4079"/>
      <c r="I400" s="4120"/>
      <c r="J400" s="4460"/>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306"/>
      <c r="B401" s="5307"/>
      <c r="C401" s="5308"/>
      <c r="D401" s="4466" t="s">
        <v>8398</v>
      </c>
      <c r="E401" s="5309"/>
      <c r="F401" s="5310"/>
      <c r="G401" s="5311"/>
      <c r="H401" s="4079"/>
      <c r="I401" s="4120"/>
      <c r="J401" s="4460"/>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73" customFormat="1" ht="13.5" customHeight="1">
      <c r="A402" s="4361">
        <v>83</v>
      </c>
      <c r="B402" s="2469">
        <v>741</v>
      </c>
      <c r="C402" s="2469" t="s">
        <v>7162</v>
      </c>
      <c r="D402" s="5301" t="s">
        <v>8395</v>
      </c>
      <c r="E402" s="2469" t="s">
        <v>23</v>
      </c>
      <c r="F402" s="5304">
        <f>F403</f>
        <v>2</v>
      </c>
      <c r="G402" s="5279"/>
      <c r="H402" s="3975">
        <f t="shared" ref="H402" si="78">ROUND(F402*G402,2)</f>
        <v>0</v>
      </c>
      <c r="I402" s="4116"/>
      <c r="J402" s="2470" t="s">
        <v>60</v>
      </c>
      <c r="K402" s="2472"/>
      <c r="T402" s="2474"/>
    </row>
    <row r="403" spans="1:257" s="2466" customFormat="1" ht="13.5" customHeight="1">
      <c r="A403" s="5303"/>
      <c r="B403" s="5295"/>
      <c r="C403" s="5295"/>
      <c r="D403" s="5297" t="s">
        <v>8399</v>
      </c>
      <c r="E403" s="5295"/>
      <c r="F403" s="5305">
        <v>2</v>
      </c>
      <c r="G403" s="4459"/>
      <c r="H403" s="4077"/>
      <c r="I403" s="4118"/>
      <c r="J403" s="4459"/>
      <c r="K403" s="2472"/>
      <c r="L403" s="2475"/>
      <c r="M403" s="2475"/>
    </row>
    <row r="404" spans="1:257" s="2466" customFormat="1" ht="40.5" customHeight="1">
      <c r="A404" s="5303"/>
      <c r="B404" s="5295"/>
      <c r="C404" s="5295"/>
      <c r="D404" s="5297" t="s">
        <v>8400</v>
      </c>
      <c r="E404" s="5295"/>
      <c r="F404" s="5305"/>
      <c r="G404" s="4459"/>
      <c r="H404" s="4077"/>
      <c r="I404" s="4118"/>
      <c r="J404" s="4459"/>
      <c r="K404" s="2472"/>
      <c r="L404" s="2475"/>
      <c r="M404" s="2475"/>
    </row>
    <row r="405" spans="1:257" s="1102" customFormat="1" ht="13.5" customHeight="1">
      <c r="A405" s="2614">
        <v>84</v>
      </c>
      <c r="B405" s="2550">
        <v>741</v>
      </c>
      <c r="C405" s="2550">
        <v>998741203</v>
      </c>
      <c r="D405" s="2550" t="s">
        <v>8252</v>
      </c>
      <c r="E405" s="2550" t="s">
        <v>8</v>
      </c>
      <c r="F405" s="5278">
        <v>0.77</v>
      </c>
      <c r="G405" s="5279"/>
      <c r="H405" s="3975">
        <f t="shared" ref="H405:H406" si="79">ROUND(F405*G405,2)</f>
        <v>0</v>
      </c>
      <c r="I405" s="4053"/>
      <c r="J405" s="2551" t="s">
        <v>863</v>
      </c>
      <c r="K405" s="5337"/>
      <c r="L405" s="5338"/>
      <c r="M405" s="5033"/>
      <c r="N405" s="5033"/>
      <c r="O405" s="5033"/>
      <c r="P405" s="5033"/>
      <c r="Q405" s="5033"/>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95" customFormat="1" ht="13.5" customHeight="1">
      <c r="A406" s="2614">
        <v>85</v>
      </c>
      <c r="B406" s="2550" t="s">
        <v>188</v>
      </c>
      <c r="C406" s="2550" t="s">
        <v>189</v>
      </c>
      <c r="D406" s="2550" t="s">
        <v>190</v>
      </c>
      <c r="E406" s="2550" t="s">
        <v>191</v>
      </c>
      <c r="F406" s="5278">
        <f>F407</f>
        <v>50</v>
      </c>
      <c r="G406" s="2557"/>
      <c r="H406" s="3975">
        <f t="shared" si="79"/>
        <v>0</v>
      </c>
      <c r="I406" s="4053"/>
      <c r="J406" s="2551" t="s">
        <v>863</v>
      </c>
      <c r="K406" s="5057"/>
      <c r="L406" s="5033"/>
      <c r="M406" s="5033"/>
      <c r="N406" s="5033"/>
      <c r="O406" s="5033"/>
      <c r="P406" s="5033"/>
      <c r="Q406" s="5033"/>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95" customFormat="1" ht="13.5" customHeight="1">
      <c r="A407" s="2614"/>
      <c r="B407" s="2550"/>
      <c r="C407" s="2550"/>
      <c r="D407" s="2553" t="s">
        <v>7173</v>
      </c>
      <c r="E407" s="2550"/>
      <c r="F407" s="2554">
        <v>50</v>
      </c>
      <c r="G407" s="2557"/>
      <c r="H407" s="3997"/>
      <c r="I407" s="4053"/>
      <c r="J407" s="2551"/>
      <c r="K407" s="1470"/>
      <c r="L407" s="5033"/>
      <c r="M407" s="5033"/>
      <c r="N407" s="5033"/>
      <c r="O407" s="5033"/>
      <c r="P407" s="5033"/>
      <c r="Q407" s="5033"/>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95" customFormat="1" ht="27" customHeight="1">
      <c r="A408" s="2614"/>
      <c r="B408" s="2550"/>
      <c r="C408" s="2550"/>
      <c r="D408" s="2553" t="s">
        <v>7174</v>
      </c>
      <c r="E408" s="2550"/>
      <c r="F408" s="5278"/>
      <c r="G408" s="2557"/>
      <c r="H408" s="3997"/>
      <c r="I408" s="4053"/>
      <c r="J408" s="2551"/>
      <c r="K408" s="1470"/>
      <c r="L408" s="5033"/>
      <c r="M408" s="5033"/>
      <c r="N408" s="5033"/>
      <c r="O408" s="5339"/>
      <c r="P408" s="5033"/>
      <c r="Q408" s="5033"/>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49" customFormat="1" ht="13.5" customHeight="1">
      <c r="A409" s="2266"/>
      <c r="B409" s="2547"/>
      <c r="C409" s="2547">
        <v>741</v>
      </c>
      <c r="D409" s="2547" t="s">
        <v>8366</v>
      </c>
      <c r="E409" s="2547"/>
      <c r="F409" s="5280"/>
      <c r="G409" s="4465"/>
      <c r="H409" s="4074">
        <f>SUM(H410:H439)</f>
        <v>0</v>
      </c>
      <c r="I409" s="4115">
        <f>SUM(I410:I439)</f>
        <v>0</v>
      </c>
      <c r="J409" s="2548"/>
      <c r="L409" s="4602"/>
      <c r="M409" s="4602"/>
      <c r="N409" s="4602"/>
      <c r="O409" s="4602"/>
      <c r="P409" s="4602"/>
      <c r="Q409" s="4602"/>
    </row>
    <row r="410" spans="1:257" s="2473" customFormat="1" ht="13.5" customHeight="1">
      <c r="A410" s="4361">
        <v>86</v>
      </c>
      <c r="B410" s="2469">
        <v>741</v>
      </c>
      <c r="C410" s="2469" t="s">
        <v>7314</v>
      </c>
      <c r="D410" s="5301" t="s">
        <v>7315</v>
      </c>
      <c r="E410" s="2469" t="s">
        <v>141</v>
      </c>
      <c r="F410" s="5282">
        <f>SUM(F412)</f>
        <v>841.72000000000014</v>
      </c>
      <c r="G410" s="5279"/>
      <c r="H410" s="3975">
        <f t="shared" ref="H410" si="80">ROUND(F410*G410,2)</f>
        <v>0</v>
      </c>
      <c r="I410" s="4116"/>
      <c r="J410" s="2470" t="s">
        <v>60</v>
      </c>
      <c r="K410" s="5340"/>
      <c r="L410" s="4838"/>
      <c r="M410" s="2462"/>
      <c r="N410" s="2462"/>
      <c r="O410" s="2462"/>
      <c r="P410" s="2462"/>
      <c r="Q410" s="2462"/>
      <c r="R410" s="2462"/>
      <c r="S410" s="2462"/>
      <c r="T410" s="2462"/>
      <c r="U410" s="2462"/>
      <c r="V410" s="2462"/>
      <c r="W410" s="2462"/>
      <c r="X410" s="5341"/>
    </row>
    <row r="411" spans="1:257" s="2549" customFormat="1" ht="13.5" customHeight="1">
      <c r="A411" s="2614"/>
      <c r="B411" s="2550"/>
      <c r="C411" s="2469"/>
      <c r="D411" s="2553" t="s">
        <v>7316</v>
      </c>
      <c r="E411" s="2550"/>
      <c r="F411" s="5282"/>
      <c r="G411" s="2557"/>
      <c r="H411" s="3997"/>
      <c r="I411" s="4053"/>
      <c r="J411" s="2470"/>
      <c r="K411" s="5354"/>
      <c r="L411" s="5355"/>
      <c r="M411" s="2466"/>
      <c r="N411" s="2466"/>
      <c r="O411" s="2466"/>
      <c r="P411" s="2467"/>
      <c r="Q411" s="2467"/>
      <c r="R411" s="2466"/>
      <c r="S411" s="2516"/>
      <c r="T411" s="2466"/>
      <c r="U411" s="2466"/>
      <c r="V411" s="2466"/>
      <c r="W411" s="2466"/>
      <c r="X411" s="5356"/>
      <c r="Y411" s="2517"/>
      <c r="Z411" s="2517"/>
    </row>
    <row r="412" spans="1:257" s="2549" customFormat="1" ht="13.5" customHeight="1">
      <c r="A412" s="2614"/>
      <c r="B412" s="2550"/>
      <c r="C412" s="2469"/>
      <c r="D412" s="2553" t="s">
        <v>8401</v>
      </c>
      <c r="E412" s="2550"/>
      <c r="F412" s="2554">
        <f>(765.2)*1.1</f>
        <v>841.72000000000014</v>
      </c>
      <c r="G412" s="2557"/>
      <c r="H412" s="3997"/>
      <c r="I412" s="4053"/>
      <c r="J412" s="2470"/>
      <c r="K412" s="5354"/>
      <c r="L412" s="5355"/>
      <c r="M412" s="2466"/>
      <c r="N412" s="2466"/>
      <c r="O412" s="2466"/>
      <c r="P412" s="2467"/>
      <c r="Q412" s="2467"/>
      <c r="R412" s="2466"/>
      <c r="S412" s="2516"/>
      <c r="T412" s="2466"/>
      <c r="U412" s="2466"/>
      <c r="V412" s="2466"/>
      <c r="W412" s="2466"/>
      <c r="X412" s="5356"/>
    </row>
    <row r="413" spans="1:257" s="2466" customFormat="1" ht="13.5" customHeight="1">
      <c r="A413" s="5303"/>
      <c r="B413" s="5295"/>
      <c r="C413" s="5295"/>
      <c r="D413" s="5297" t="s">
        <v>7318</v>
      </c>
      <c r="E413" s="5295"/>
      <c r="F413" s="5298"/>
      <c r="G413" s="4459"/>
      <c r="H413" s="4077"/>
      <c r="I413" s="4118"/>
      <c r="J413" s="4459"/>
      <c r="K413" s="2472"/>
      <c r="L413" s="2475"/>
      <c r="M413" s="2475"/>
    </row>
    <row r="414" spans="1:257" s="2473" customFormat="1" ht="13.5" customHeight="1">
      <c r="A414" s="4361">
        <v>87</v>
      </c>
      <c r="B414" s="2469">
        <v>741</v>
      </c>
      <c r="C414" s="2469" t="s">
        <v>7319</v>
      </c>
      <c r="D414" s="5301" t="s">
        <v>7320</v>
      </c>
      <c r="E414" s="2469" t="s">
        <v>155</v>
      </c>
      <c r="F414" s="5282">
        <f>SUM(F415)</f>
        <v>185</v>
      </c>
      <c r="G414" s="5279"/>
      <c r="H414" s="3975">
        <f t="shared" ref="H414" si="81">ROUND(F414*G414,2)</f>
        <v>0</v>
      </c>
      <c r="I414" s="4116"/>
      <c r="J414" s="2470" t="s">
        <v>60</v>
      </c>
      <c r="K414" s="5340"/>
      <c r="L414" s="4838"/>
      <c r="M414" s="2462"/>
      <c r="N414" s="2462"/>
      <c r="O414" s="2462"/>
      <c r="P414" s="2462"/>
      <c r="Q414" s="2462"/>
      <c r="R414" s="2462"/>
      <c r="S414" s="2462"/>
      <c r="T414" s="2462"/>
      <c r="U414" s="2462"/>
      <c r="V414" s="2462"/>
      <c r="W414" s="2462"/>
      <c r="X414" s="5341"/>
    </row>
    <row r="415" spans="1:257" s="2549" customFormat="1" ht="13.5" customHeight="1">
      <c r="A415" s="2614"/>
      <c r="B415" s="2550"/>
      <c r="C415" s="2469"/>
      <c r="D415" s="2553" t="s">
        <v>7321</v>
      </c>
      <c r="E415" s="2550"/>
      <c r="F415" s="2554">
        <v>185</v>
      </c>
      <c r="G415" s="2557"/>
      <c r="H415" s="3997"/>
      <c r="I415" s="4053"/>
      <c r="J415" s="2470"/>
      <c r="K415" s="5354"/>
      <c r="L415" s="5355"/>
      <c r="M415" s="2466"/>
      <c r="N415" s="2466"/>
      <c r="O415" s="2466"/>
      <c r="P415" s="2467"/>
      <c r="Q415" s="2467"/>
      <c r="R415" s="2466"/>
      <c r="S415" s="2466"/>
      <c r="T415" s="2466"/>
      <c r="U415" s="2466"/>
      <c r="V415" s="2466"/>
      <c r="W415" s="2466"/>
      <c r="X415" s="5356"/>
    </row>
    <row r="416" spans="1:257" s="2466" customFormat="1" ht="13.5" customHeight="1">
      <c r="A416" s="5303"/>
      <c r="B416" s="5295"/>
      <c r="C416" s="5295"/>
      <c r="D416" s="5297" t="s">
        <v>7154</v>
      </c>
      <c r="E416" s="5295"/>
      <c r="F416" s="5298"/>
      <c r="G416" s="4459"/>
      <c r="H416" s="4077"/>
      <c r="I416" s="4118"/>
      <c r="J416" s="2470"/>
      <c r="K416" s="2472"/>
      <c r="L416" s="2475"/>
      <c r="M416" s="2475"/>
    </row>
    <row r="417" spans="1:27" s="2473" customFormat="1" ht="13.5" customHeight="1">
      <c r="A417" s="4361">
        <v>88</v>
      </c>
      <c r="B417" s="2469">
        <v>741</v>
      </c>
      <c r="C417" s="2469" t="s">
        <v>7322</v>
      </c>
      <c r="D417" s="5301" t="s">
        <v>7323</v>
      </c>
      <c r="E417" s="2469" t="s">
        <v>155</v>
      </c>
      <c r="F417" s="5282">
        <f>SUM(F418)</f>
        <v>12</v>
      </c>
      <c r="G417" s="5279"/>
      <c r="H417" s="3975">
        <f t="shared" ref="H417" si="82">ROUND(F417*G417,2)</f>
        <v>0</v>
      </c>
      <c r="I417" s="4116"/>
      <c r="J417" s="2470" t="s">
        <v>60</v>
      </c>
      <c r="K417" s="5340"/>
      <c r="L417" s="4838"/>
      <c r="T417" s="5356"/>
      <c r="X417" s="5341"/>
    </row>
    <row r="418" spans="1:27" s="2549" customFormat="1" ht="13.5" customHeight="1">
      <c r="A418" s="2614"/>
      <c r="B418" s="2550"/>
      <c r="C418" s="2469"/>
      <c r="D418" s="2553" t="s">
        <v>7324</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7325</v>
      </c>
      <c r="E419" s="5295"/>
      <c r="F419" s="5298"/>
      <c r="G419" s="4459"/>
      <c r="H419" s="4077"/>
      <c r="I419" s="4118"/>
      <c r="J419" s="2470"/>
      <c r="T419" s="5356"/>
      <c r="X419" s="5356"/>
    </row>
    <row r="420" spans="1:27" s="2473" customFormat="1" ht="13.5" customHeight="1">
      <c r="A420" s="4361">
        <v>89</v>
      </c>
      <c r="B420" s="2469">
        <v>741</v>
      </c>
      <c r="C420" s="2469" t="s">
        <v>7326</v>
      </c>
      <c r="D420" s="5301" t="s">
        <v>7327</v>
      </c>
      <c r="E420" s="2469" t="s">
        <v>155</v>
      </c>
      <c r="F420" s="5282">
        <f>SUM(F421)</f>
        <v>12</v>
      </c>
      <c r="G420" s="5279"/>
      <c r="H420" s="3975">
        <f t="shared" ref="H420" si="83">ROUND(F420*G420,2)</f>
        <v>0</v>
      </c>
      <c r="I420" s="4116"/>
      <c r="J420" s="2470" t="s">
        <v>60</v>
      </c>
      <c r="K420" s="5340"/>
      <c r="L420" s="4838"/>
      <c r="T420" s="5356"/>
      <c r="X420" s="5341"/>
    </row>
    <row r="421" spans="1:27" s="2549" customFormat="1" ht="13.5" customHeight="1">
      <c r="A421" s="2614"/>
      <c r="B421" s="2550"/>
      <c r="C421" s="2469"/>
      <c r="D421" s="2553" t="s">
        <v>7328</v>
      </c>
      <c r="E421" s="2550"/>
      <c r="F421" s="2554">
        <v>12</v>
      </c>
      <c r="G421" s="2557"/>
      <c r="H421" s="3997"/>
      <c r="I421" s="4053"/>
      <c r="J421" s="2470"/>
      <c r="K421" s="5354"/>
      <c r="L421" s="5355"/>
      <c r="M421" s="2475"/>
      <c r="N421" s="2466"/>
      <c r="O421" s="2466"/>
      <c r="P421" s="2466"/>
      <c r="Q421" s="2466"/>
      <c r="R421" s="2466"/>
      <c r="S421" s="2466"/>
      <c r="T421" s="5356"/>
      <c r="X421" s="5356"/>
    </row>
    <row r="422" spans="1:27" s="2466" customFormat="1" ht="13.5" customHeight="1">
      <c r="A422" s="5303"/>
      <c r="B422" s="5295"/>
      <c r="C422" s="5295"/>
      <c r="D422" s="5297" t="s">
        <v>7325</v>
      </c>
      <c r="E422" s="5295"/>
      <c r="F422" s="5298"/>
      <c r="G422" s="4459"/>
      <c r="H422" s="4077"/>
      <c r="I422" s="4118"/>
      <c r="J422" s="2470"/>
    </row>
    <row r="423" spans="1:27" s="2473" customFormat="1" ht="13.5" customHeight="1">
      <c r="A423" s="4361">
        <v>90</v>
      </c>
      <c r="B423" s="2469">
        <v>741</v>
      </c>
      <c r="C423" s="2469" t="s">
        <v>7329</v>
      </c>
      <c r="D423" s="5301" t="s">
        <v>7330</v>
      </c>
      <c r="E423" s="2469" t="s">
        <v>155</v>
      </c>
      <c r="F423" s="5282">
        <f>SUM(F424)</f>
        <v>6</v>
      </c>
      <c r="G423" s="5279"/>
      <c r="H423" s="3975">
        <f t="shared" ref="H423" si="84">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7331</v>
      </c>
      <c r="E424" s="2550"/>
      <c r="F424" s="2554">
        <v>6</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7332</v>
      </c>
      <c r="E425" s="5295"/>
      <c r="F425" s="5298"/>
      <c r="G425" s="4459"/>
      <c r="H425" s="4077"/>
      <c r="I425" s="4118"/>
      <c r="J425" s="2470"/>
      <c r="K425" s="5354"/>
      <c r="L425" s="5355"/>
      <c r="P425" s="2467"/>
      <c r="Q425" s="2467"/>
      <c r="S425" s="2516"/>
      <c r="X425" s="5356"/>
    </row>
    <row r="426" spans="1:27" s="2473" customFormat="1" ht="13.5" customHeight="1">
      <c r="A426" s="4361">
        <v>91</v>
      </c>
      <c r="B426" s="2469">
        <v>741</v>
      </c>
      <c r="C426" s="2469" t="s">
        <v>7393</v>
      </c>
      <c r="D426" s="5301" t="s">
        <v>8367</v>
      </c>
      <c r="E426" s="2469" t="s">
        <v>155</v>
      </c>
      <c r="F426" s="5282">
        <f>SUM(F427)</f>
        <v>22</v>
      </c>
      <c r="G426" s="5279"/>
      <c r="H426" s="3975">
        <f t="shared" ref="H426" si="85">ROUND(F426*G426,2)</f>
        <v>0</v>
      </c>
      <c r="I426" s="4116"/>
      <c r="J426" s="2470" t="s">
        <v>60</v>
      </c>
      <c r="K426" s="5340"/>
      <c r="L426" s="4838"/>
      <c r="M426" s="2462"/>
      <c r="N426" s="2462"/>
      <c r="O426" s="2462"/>
      <c r="P426" s="2462"/>
      <c r="Q426" s="2462"/>
      <c r="R426" s="2462"/>
      <c r="S426" s="2462"/>
      <c r="T426" s="2462"/>
      <c r="U426" s="2462"/>
      <c r="V426" s="2462"/>
      <c r="W426" s="2462"/>
      <c r="X426" s="5341"/>
    </row>
    <row r="427" spans="1:27" s="2549" customFormat="1" ht="13.5" customHeight="1">
      <c r="A427" s="2614"/>
      <c r="B427" s="2550"/>
      <c r="C427" s="2469"/>
      <c r="D427" s="2553" t="s">
        <v>8368</v>
      </c>
      <c r="E427" s="2550"/>
      <c r="F427" s="2554">
        <v>22</v>
      </c>
      <c r="G427" s="2557"/>
      <c r="H427" s="3997"/>
      <c r="I427" s="4053"/>
      <c r="J427" s="2470"/>
      <c r="K427" s="5354"/>
      <c r="L427" s="5355"/>
      <c r="M427" s="2466"/>
      <c r="N427" s="2466"/>
      <c r="O427" s="2466"/>
      <c r="P427" s="2467"/>
      <c r="Q427" s="2467"/>
      <c r="R427" s="2466"/>
      <c r="S427" s="2516"/>
      <c r="T427" s="2466"/>
      <c r="U427" s="2466"/>
      <c r="V427" s="2466"/>
      <c r="W427" s="2466"/>
      <c r="X427" s="5356"/>
    </row>
    <row r="428" spans="1:27" s="2466" customFormat="1" ht="27" customHeight="1">
      <c r="A428" s="5303"/>
      <c r="B428" s="5295"/>
      <c r="C428" s="5295"/>
      <c r="D428" s="5297" t="s">
        <v>7332</v>
      </c>
      <c r="E428" s="5295"/>
      <c r="F428" s="5298"/>
      <c r="G428" s="4459"/>
      <c r="H428" s="4077"/>
      <c r="I428" s="4118"/>
      <c r="J428" s="2470"/>
      <c r="K428" s="5354"/>
      <c r="L428" s="5355"/>
      <c r="P428" s="2467"/>
      <c r="Q428" s="2467"/>
      <c r="S428" s="2516"/>
      <c r="X428" s="5356"/>
    </row>
    <row r="429" spans="1:27" s="2473" customFormat="1" ht="13.5" customHeight="1">
      <c r="A429" s="4361">
        <v>92</v>
      </c>
      <c r="B429" s="2469">
        <v>741</v>
      </c>
      <c r="C429" s="2469" t="s">
        <v>7333</v>
      </c>
      <c r="D429" s="5301" t="s">
        <v>7334</v>
      </c>
      <c r="E429" s="2469" t="s">
        <v>155</v>
      </c>
      <c r="F429" s="5282">
        <f>SUM(F430)</f>
        <v>12</v>
      </c>
      <c r="G429" s="5279"/>
      <c r="H429" s="3975">
        <f t="shared" ref="H429" si="86">ROUND(F429*G429,2)</f>
        <v>0</v>
      </c>
      <c r="I429" s="4116"/>
      <c r="J429" s="2470" t="s">
        <v>60</v>
      </c>
      <c r="X429" s="5341"/>
    </row>
    <row r="430" spans="1:27" s="2473" customFormat="1" ht="13.5" customHeight="1">
      <c r="A430" s="4361"/>
      <c r="B430" s="2469"/>
      <c r="C430" s="2469"/>
      <c r="D430" s="2553" t="s">
        <v>7335</v>
      </c>
      <c r="E430" s="2550"/>
      <c r="F430" s="2554">
        <v>12</v>
      </c>
      <c r="G430" s="5279"/>
      <c r="H430" s="4075"/>
      <c r="I430" s="4116"/>
      <c r="J430" s="2470"/>
      <c r="K430" s="2526"/>
      <c r="T430" s="2474"/>
      <c r="X430" s="5356"/>
    </row>
    <row r="431" spans="1:27" s="2549" customFormat="1" ht="13.5" customHeight="1">
      <c r="A431" s="2614"/>
      <c r="B431" s="2550"/>
      <c r="C431" s="2469"/>
      <c r="D431" s="2553" t="s">
        <v>7336</v>
      </c>
      <c r="E431" s="2550"/>
      <c r="F431" s="2554"/>
      <c r="G431" s="2557"/>
      <c r="H431" s="3997"/>
      <c r="I431" s="4053"/>
      <c r="J431" s="2470"/>
      <c r="K431" s="2472"/>
      <c r="L431" s="2473"/>
      <c r="M431" s="2473"/>
      <c r="N431" s="2473"/>
      <c r="O431" s="2473"/>
      <c r="P431" s="2473"/>
      <c r="Q431" s="2473"/>
      <c r="R431" s="2473"/>
      <c r="S431" s="2473"/>
      <c r="T431" s="2474"/>
      <c r="V431" s="2473"/>
      <c r="W431" s="2473"/>
      <c r="X431" s="5356"/>
      <c r="Y431" s="2473"/>
      <c r="Z431" s="2473"/>
      <c r="AA431" s="2473"/>
    </row>
    <row r="432" spans="1:27" s="2473" customFormat="1" ht="13.5" customHeight="1">
      <c r="A432" s="4361">
        <v>93</v>
      </c>
      <c r="B432" s="2469">
        <v>741</v>
      </c>
      <c r="C432" s="2469" t="s">
        <v>7337</v>
      </c>
      <c r="D432" s="5301" t="s">
        <v>7166</v>
      </c>
      <c r="E432" s="2469" t="s">
        <v>23</v>
      </c>
      <c r="F432" s="5302">
        <v>3</v>
      </c>
      <c r="G432" s="5279"/>
      <c r="H432" s="3975">
        <f t="shared" ref="H432:H433" si="87">ROUND(F432*G432,2)</f>
        <v>0</v>
      </c>
      <c r="I432" s="4116"/>
      <c r="J432" s="2470" t="s">
        <v>60</v>
      </c>
      <c r="K432" s="2518"/>
      <c r="L432" s="2519"/>
      <c r="M432" s="2519"/>
      <c r="N432" s="2520"/>
      <c r="O432" s="2520"/>
      <c r="P432" s="2520"/>
      <c r="Q432" s="2520"/>
      <c r="R432" s="2528"/>
      <c r="S432" s="2520"/>
      <c r="T432" s="2521"/>
      <c r="U432" s="2517"/>
      <c r="V432" s="2517"/>
      <c r="W432" s="2517"/>
      <c r="X432" s="2517"/>
      <c r="Y432" s="2517"/>
      <c r="Z432" s="2517"/>
      <c r="AA432" s="2549"/>
    </row>
    <row r="433" spans="1:98" s="2560" customFormat="1" ht="13.5" customHeight="1">
      <c r="A433" s="4361">
        <v>94</v>
      </c>
      <c r="B433" s="2469">
        <v>741</v>
      </c>
      <c r="C433" s="2469" t="s">
        <v>8369</v>
      </c>
      <c r="D433" s="5301" t="s">
        <v>8370</v>
      </c>
      <c r="E433" s="2469" t="s">
        <v>23</v>
      </c>
      <c r="F433" s="5312">
        <f>SUM(F434)</f>
        <v>1</v>
      </c>
      <c r="G433" s="5279"/>
      <c r="H433" s="3975">
        <f t="shared" si="87"/>
        <v>0</v>
      </c>
      <c r="I433" s="4116"/>
      <c r="J433" s="2470" t="s">
        <v>60</v>
      </c>
      <c r="K433" s="5336"/>
      <c r="Q433" s="2474"/>
      <c r="R433" s="2474"/>
      <c r="S433" s="2474"/>
      <c r="T433" s="2474"/>
      <c r="U433" s="2474"/>
    </row>
    <row r="434" spans="1:98" s="2560" customFormat="1" ht="13.5" customHeight="1">
      <c r="A434" s="4361"/>
      <c r="B434" s="2469"/>
      <c r="C434" s="2469"/>
      <c r="D434" s="4362" t="s">
        <v>8371</v>
      </c>
      <c r="E434" s="2469"/>
      <c r="F434" s="5313">
        <v>1</v>
      </c>
      <c r="G434" s="2471"/>
      <c r="H434" s="4075"/>
      <c r="I434" s="4116"/>
      <c r="J434" s="2470"/>
      <c r="K434" s="5336"/>
      <c r="Q434" s="2474"/>
      <c r="R434" s="2474"/>
      <c r="S434" s="2474"/>
      <c r="T434" s="2474"/>
      <c r="U434" s="2474"/>
    </row>
    <row r="435" spans="1:98" s="2560" customFormat="1" ht="40.5" customHeight="1">
      <c r="A435" s="4361"/>
      <c r="B435" s="2469"/>
      <c r="C435" s="2469"/>
      <c r="D435" s="4362" t="s">
        <v>8372</v>
      </c>
      <c r="E435" s="2469"/>
      <c r="F435" s="5314"/>
      <c r="G435" s="2471"/>
      <c r="H435" s="4075"/>
      <c r="I435" s="4116"/>
      <c r="J435" s="2470"/>
      <c r="K435" s="2472"/>
    </row>
    <row r="436" spans="1:98" s="1102" customFormat="1" ht="13.5" customHeight="1">
      <c r="A436" s="2614">
        <v>95</v>
      </c>
      <c r="B436" s="2550">
        <v>741</v>
      </c>
      <c r="C436" s="2550">
        <v>998741203</v>
      </c>
      <c r="D436" s="2550" t="s">
        <v>8252</v>
      </c>
      <c r="E436" s="2550" t="s">
        <v>8</v>
      </c>
      <c r="F436" s="5278">
        <v>0.77</v>
      </c>
      <c r="G436" s="5279"/>
      <c r="H436" s="3975">
        <f t="shared" ref="H436:H437" si="88">ROUND(F436*G436,2)</f>
        <v>0</v>
      </c>
      <c r="I436" s="4053"/>
      <c r="J436" s="2551" t="s">
        <v>863</v>
      </c>
      <c r="K436" s="5337"/>
      <c r="L436" s="5338"/>
      <c r="M436" s="5033"/>
      <c r="N436" s="5033"/>
      <c r="O436" s="5033"/>
      <c r="P436" s="5033"/>
      <c r="Q436" s="5033"/>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95" customFormat="1" ht="13.5" customHeight="1">
      <c r="A437" s="2614">
        <v>96</v>
      </c>
      <c r="B437" s="2550" t="s">
        <v>188</v>
      </c>
      <c r="C437" s="2550" t="s">
        <v>189</v>
      </c>
      <c r="D437" s="2550" t="s">
        <v>190</v>
      </c>
      <c r="E437" s="2550" t="s">
        <v>191</v>
      </c>
      <c r="F437" s="5278">
        <f>F438</f>
        <v>50</v>
      </c>
      <c r="G437" s="2557"/>
      <c r="H437" s="3975">
        <f t="shared" si="88"/>
        <v>0</v>
      </c>
      <c r="I437" s="4053"/>
      <c r="J437" s="2551" t="s">
        <v>863</v>
      </c>
      <c r="K437" s="5057"/>
      <c r="L437" s="5033"/>
      <c r="M437" s="5033"/>
      <c r="N437" s="5033"/>
      <c r="O437" s="5033"/>
      <c r="P437" s="5033"/>
      <c r="Q437" s="5033"/>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95" customFormat="1" ht="13.5" customHeight="1">
      <c r="A438" s="2614"/>
      <c r="B438" s="2550"/>
      <c r="C438" s="2550"/>
      <c r="D438" s="2553" t="s">
        <v>7173</v>
      </c>
      <c r="E438" s="2550"/>
      <c r="F438" s="2554">
        <v>50</v>
      </c>
      <c r="G438" s="2557"/>
      <c r="H438" s="3997"/>
      <c r="I438" s="4053"/>
      <c r="J438" s="2551"/>
      <c r="K438" s="1470"/>
      <c r="L438" s="5033"/>
      <c r="M438" s="5033"/>
      <c r="N438" s="5033"/>
      <c r="O438" s="5033"/>
      <c r="P438" s="5033"/>
      <c r="Q438" s="5033"/>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95" customFormat="1" ht="27" customHeight="1">
      <c r="A439" s="2614"/>
      <c r="B439" s="2550"/>
      <c r="C439" s="2550"/>
      <c r="D439" s="2553" t="s">
        <v>7174</v>
      </c>
      <c r="E439" s="2550"/>
      <c r="F439" s="5278"/>
      <c r="G439" s="2557"/>
      <c r="H439" s="3997"/>
      <c r="I439" s="4053"/>
      <c r="J439" s="2551"/>
      <c r="K439" s="1470"/>
      <c r="L439" s="5033"/>
      <c r="M439" s="5033"/>
      <c r="N439" s="5033"/>
      <c r="O439" s="5339"/>
      <c r="P439" s="5033"/>
      <c r="Q439" s="5033"/>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49" customFormat="1" ht="13.5" customHeight="1">
      <c r="A440" s="2266"/>
      <c r="B440" s="2547"/>
      <c r="C440" s="2547">
        <v>741</v>
      </c>
      <c r="D440" s="2547" t="s">
        <v>7523</v>
      </c>
      <c r="E440" s="2547"/>
      <c r="F440" s="5280"/>
      <c r="G440" s="4465"/>
      <c r="H440" s="4074">
        <f>SUM(H441:H479)</f>
        <v>0</v>
      </c>
      <c r="I440" s="4115">
        <f>SUM(I441:I479)</f>
        <v>0</v>
      </c>
      <c r="J440" s="2548"/>
      <c r="L440" s="4602"/>
      <c r="M440" s="4602"/>
      <c r="N440" s="4602"/>
      <c r="O440" s="4602"/>
      <c r="P440" s="4602"/>
      <c r="Q440" s="4602"/>
    </row>
    <row r="441" spans="1:98" s="2549" customFormat="1" ht="13.5" customHeight="1">
      <c r="A441" s="2266">
        <v>97</v>
      </c>
      <c r="B441" s="2550">
        <v>741</v>
      </c>
      <c r="C441" s="5315" t="s">
        <v>7339</v>
      </c>
      <c r="D441" s="5301" t="s">
        <v>8373</v>
      </c>
      <c r="E441" s="2469" t="s">
        <v>155</v>
      </c>
      <c r="F441" s="5282">
        <f>SUM(F442)</f>
        <v>1</v>
      </c>
      <c r="G441" s="5279"/>
      <c r="H441" s="3975">
        <f t="shared" ref="H441" si="89">ROUND(F441*G441,2)</f>
        <v>0</v>
      </c>
      <c r="I441" s="4116"/>
      <c r="J441" s="2470" t="s">
        <v>60</v>
      </c>
      <c r="K441" s="5057"/>
      <c r="L441" s="4602"/>
      <c r="M441" s="4602"/>
      <c r="N441" s="4602"/>
      <c r="O441" s="4602"/>
      <c r="P441" s="4602"/>
      <c r="Q441" s="4602"/>
    </row>
    <row r="442" spans="1:98" s="2549" customFormat="1" ht="13.5" customHeight="1">
      <c r="A442" s="4361"/>
      <c r="B442" s="2469"/>
      <c r="C442" s="2469"/>
      <c r="D442" s="4362" t="s">
        <v>8374</v>
      </c>
      <c r="E442" s="2550"/>
      <c r="F442" s="2554">
        <v>1</v>
      </c>
      <c r="G442" s="5279"/>
      <c r="H442" s="4075"/>
      <c r="I442" s="4116"/>
      <c r="J442" s="2470"/>
      <c r="K442" s="337"/>
      <c r="L442" s="4602"/>
      <c r="M442" s="4602"/>
      <c r="N442" s="4602"/>
      <c r="O442" s="4602"/>
      <c r="P442" s="4602"/>
      <c r="Q442" s="4602"/>
    </row>
    <row r="443" spans="1:98" s="2549" customFormat="1" ht="27" customHeight="1">
      <c r="A443" s="4361"/>
      <c r="B443" s="2469"/>
      <c r="C443" s="2469"/>
      <c r="D443" s="2553" t="s">
        <v>10469</v>
      </c>
      <c r="E443" s="2547"/>
      <c r="F443" s="5280"/>
      <c r="G443" s="4058"/>
      <c r="H443" s="4074"/>
      <c r="I443" s="4115"/>
      <c r="J443" s="2470"/>
      <c r="L443" s="4602"/>
      <c r="M443" s="4602"/>
      <c r="N443" s="4602"/>
      <c r="O443" s="4602"/>
      <c r="P443" s="4602"/>
      <c r="Q443" s="4602"/>
    </row>
    <row r="444" spans="1:98" s="2549" customFormat="1" ht="13.5" customHeight="1">
      <c r="A444" s="2266">
        <v>98</v>
      </c>
      <c r="B444" s="2550">
        <v>741</v>
      </c>
      <c r="C444" s="5315" t="s">
        <v>7340</v>
      </c>
      <c r="D444" s="5301" t="s">
        <v>8375</v>
      </c>
      <c r="E444" s="2469" t="s">
        <v>23</v>
      </c>
      <c r="F444" s="5282">
        <f>SUM(F445)</f>
        <v>1</v>
      </c>
      <c r="G444" s="5279"/>
      <c r="H444" s="3975">
        <f t="shared" ref="H444" si="90">ROUND(F444*G444,2)</f>
        <v>0</v>
      </c>
      <c r="I444" s="4116"/>
      <c r="J444" s="2470" t="s">
        <v>60</v>
      </c>
      <c r="L444" s="4602"/>
      <c r="M444" s="4602"/>
      <c r="N444" s="4602"/>
      <c r="O444" s="4602"/>
      <c r="P444" s="4602"/>
      <c r="Q444" s="4602"/>
    </row>
    <row r="445" spans="1:98" s="2549" customFormat="1" ht="13.5" customHeight="1">
      <c r="A445" s="4361"/>
      <c r="B445" s="2469"/>
      <c r="C445" s="2469"/>
      <c r="D445" s="4362" t="s">
        <v>8376</v>
      </c>
      <c r="E445" s="2550"/>
      <c r="F445" s="2554">
        <v>1</v>
      </c>
      <c r="G445" s="5279"/>
      <c r="H445" s="4075"/>
      <c r="I445" s="4116"/>
      <c r="J445" s="2470"/>
      <c r="K445" s="5057"/>
      <c r="L445" s="4602"/>
      <c r="M445" s="4602"/>
      <c r="N445" s="4602"/>
      <c r="O445" s="4602"/>
      <c r="P445" s="4602"/>
      <c r="Q445" s="4602"/>
    </row>
    <row r="446" spans="1:98" s="2549" customFormat="1" ht="40.5" customHeight="1">
      <c r="A446" s="4361"/>
      <c r="B446" s="2469"/>
      <c r="C446" s="2469"/>
      <c r="D446" s="2553" t="s">
        <v>10647</v>
      </c>
      <c r="E446" s="2547"/>
      <c r="F446" s="5280"/>
      <c r="G446" s="4058"/>
      <c r="H446" s="4074"/>
      <c r="I446" s="4115"/>
      <c r="J446" s="2470"/>
      <c r="K446" s="5057"/>
      <c r="L446" s="4602"/>
      <c r="M446" s="4602"/>
      <c r="N446" s="4602"/>
      <c r="O446" s="4602"/>
      <c r="P446" s="4602"/>
      <c r="Q446" s="4602"/>
    </row>
    <row r="447" spans="1:98" s="2549" customFormat="1" ht="13.5" customHeight="1">
      <c r="A447" s="5590">
        <v>99</v>
      </c>
      <c r="B447" s="5316">
        <v>741</v>
      </c>
      <c r="C447" s="5315" t="s">
        <v>8379</v>
      </c>
      <c r="D447" s="5317" t="s">
        <v>10661</v>
      </c>
      <c r="E447" s="5317" t="s">
        <v>141</v>
      </c>
      <c r="F447" s="5282">
        <f>F448</f>
        <v>189</v>
      </c>
      <c r="G447" s="5318"/>
      <c r="H447" s="3975">
        <f t="shared" ref="H447" si="91">ROUND(F447*G447,2)</f>
        <v>0</v>
      </c>
      <c r="I447" s="4116"/>
      <c r="J447" s="2470" t="s">
        <v>60</v>
      </c>
      <c r="K447" s="52"/>
      <c r="L447" s="5057"/>
      <c r="N447" s="3666"/>
      <c r="T447" s="1061"/>
    </row>
    <row r="448" spans="1:98" s="2549" customFormat="1" ht="13.7" customHeight="1">
      <c r="A448" s="3237"/>
      <c r="B448" s="5316"/>
      <c r="C448" s="5317"/>
      <c r="D448" s="5319" t="s">
        <v>11723</v>
      </c>
      <c r="E448" s="5317"/>
      <c r="F448" s="5591">
        <f>(180)*1.05</f>
        <v>189</v>
      </c>
      <c r="G448" s="5318"/>
      <c r="H448" s="4075"/>
      <c r="I448" s="4116"/>
      <c r="J448" s="2470"/>
      <c r="K448" s="337"/>
      <c r="L448" s="1061"/>
      <c r="M448" s="1061"/>
      <c r="N448" s="1061"/>
      <c r="O448" s="1061"/>
      <c r="P448" s="1061"/>
      <c r="Q448" s="1061"/>
      <c r="R448" s="1061"/>
      <c r="S448" s="1061"/>
      <c r="T448" s="1061"/>
    </row>
    <row r="449" spans="1:21" s="2549" customFormat="1" ht="27" customHeight="1">
      <c r="A449" s="3237"/>
      <c r="B449" s="5317"/>
      <c r="C449" s="5317"/>
      <c r="D449" s="5319" t="s">
        <v>10660</v>
      </c>
      <c r="E449" s="5317"/>
      <c r="F449" s="809"/>
      <c r="G449" s="5318"/>
      <c r="H449" s="4074"/>
      <c r="I449" s="4115"/>
      <c r="J449" s="2470"/>
      <c r="K449" s="1061"/>
      <c r="L449" s="1061"/>
      <c r="M449" s="1061"/>
      <c r="N449" s="5273"/>
      <c r="O449" s="5273"/>
      <c r="P449" s="5273"/>
      <c r="Q449" s="5273"/>
      <c r="R449" s="5273"/>
      <c r="S449" s="5273"/>
      <c r="T449" s="1061"/>
    </row>
    <row r="450" spans="1:21" s="2549" customFormat="1" ht="13.5" customHeight="1">
      <c r="A450" s="5590" t="s">
        <v>10253</v>
      </c>
      <c r="B450" s="5616">
        <v>741</v>
      </c>
      <c r="C450" s="5617" t="s">
        <v>11721</v>
      </c>
      <c r="D450" s="5618" t="s">
        <v>11718</v>
      </c>
      <c r="E450" s="5618" t="s">
        <v>141</v>
      </c>
      <c r="F450" s="5592">
        <f>F451</f>
        <v>262.5</v>
      </c>
      <c r="G450" s="5619"/>
      <c r="H450" s="5596">
        <f t="shared" ref="H450" si="92">ROUND(F450*G450,2)</f>
        <v>0</v>
      </c>
      <c r="I450" s="5620"/>
      <c r="J450" s="5598" t="s">
        <v>60</v>
      </c>
      <c r="K450" s="52"/>
      <c r="L450" s="5057"/>
      <c r="N450" s="3666"/>
      <c r="T450" s="1061"/>
    </row>
    <row r="451" spans="1:21" s="2549" customFormat="1" ht="13.7" customHeight="1">
      <c r="A451" s="5590"/>
      <c r="B451" s="5616"/>
      <c r="C451" s="5618"/>
      <c r="D451" s="5621" t="s">
        <v>11724</v>
      </c>
      <c r="E451" s="5618"/>
      <c r="F451" s="5591">
        <f>(250)*1.05</f>
        <v>262.5</v>
      </c>
      <c r="G451" s="5619"/>
      <c r="H451" s="5622"/>
      <c r="I451" s="5620"/>
      <c r="J451" s="5598"/>
      <c r="K451" s="337"/>
      <c r="L451" s="1061"/>
      <c r="M451" s="1061"/>
      <c r="N451" s="1061"/>
      <c r="O451" s="1061"/>
      <c r="P451" s="1061"/>
      <c r="Q451" s="1061"/>
      <c r="R451" s="1061"/>
      <c r="S451" s="1061"/>
      <c r="T451" s="1061"/>
    </row>
    <row r="452" spans="1:21" s="2549" customFormat="1" ht="27" customHeight="1">
      <c r="A452" s="5590"/>
      <c r="B452" s="5618"/>
      <c r="C452" s="5618"/>
      <c r="D452" s="5621" t="s">
        <v>11719</v>
      </c>
      <c r="E452" s="5618"/>
      <c r="F452" s="5623"/>
      <c r="G452" s="5619"/>
      <c r="H452" s="5624"/>
      <c r="I452" s="5625"/>
      <c r="J452" s="5598"/>
      <c r="K452" s="1061"/>
      <c r="L452" s="1061"/>
      <c r="M452" s="1061"/>
      <c r="N452" s="5273"/>
      <c r="O452" s="5273"/>
      <c r="P452" s="5273"/>
      <c r="Q452" s="5273"/>
      <c r="R452" s="5273"/>
      <c r="S452" s="5273"/>
      <c r="T452" s="1061"/>
    </row>
    <row r="453" spans="1:21" s="2549" customFormat="1" ht="13.5" customHeight="1">
      <c r="A453" s="5590" t="s">
        <v>10254</v>
      </c>
      <c r="B453" s="5616">
        <v>741</v>
      </c>
      <c r="C453" s="5617" t="s">
        <v>11722</v>
      </c>
      <c r="D453" s="5618" t="s">
        <v>11720</v>
      </c>
      <c r="E453" s="5618" t="s">
        <v>141</v>
      </c>
      <c r="F453" s="5592">
        <f>F454</f>
        <v>105</v>
      </c>
      <c r="G453" s="5619"/>
      <c r="H453" s="5596">
        <f t="shared" ref="H453" si="93">ROUND(F453*G453,2)</f>
        <v>0</v>
      </c>
      <c r="I453" s="5620"/>
      <c r="J453" s="5598" t="s">
        <v>60</v>
      </c>
      <c r="K453" s="52"/>
      <c r="L453" s="5057"/>
      <c r="N453" s="3666"/>
      <c r="T453" s="1061"/>
    </row>
    <row r="454" spans="1:21" s="2549" customFormat="1" ht="13.7" customHeight="1">
      <c r="A454" s="5590"/>
      <c r="B454" s="5616"/>
      <c r="C454" s="5618"/>
      <c r="D454" s="5621" t="s">
        <v>11725</v>
      </c>
      <c r="E454" s="5618"/>
      <c r="F454" s="5591">
        <f>(100)*1.05</f>
        <v>105</v>
      </c>
      <c r="G454" s="5619"/>
      <c r="H454" s="5622"/>
      <c r="I454" s="5620"/>
      <c r="J454" s="5598"/>
      <c r="K454" s="337"/>
      <c r="L454" s="1061"/>
      <c r="M454" s="1061"/>
      <c r="N454" s="1061"/>
      <c r="O454" s="1061"/>
      <c r="P454" s="1061"/>
      <c r="Q454" s="1061"/>
      <c r="R454" s="1061"/>
      <c r="S454" s="1061"/>
      <c r="T454" s="1061"/>
    </row>
    <row r="455" spans="1:21" s="2549" customFormat="1" ht="27" customHeight="1">
      <c r="A455" s="5590"/>
      <c r="B455" s="5618"/>
      <c r="C455" s="5618"/>
      <c r="D455" s="5621" t="s">
        <v>11719</v>
      </c>
      <c r="E455" s="5618"/>
      <c r="F455" s="5623"/>
      <c r="G455" s="5619"/>
      <c r="H455" s="5624"/>
      <c r="I455" s="5625"/>
      <c r="J455" s="5598"/>
      <c r="K455" s="1061"/>
      <c r="L455" s="1061"/>
      <c r="M455" s="1061"/>
      <c r="N455" s="5273"/>
      <c r="O455" s="5273"/>
      <c r="P455" s="5273"/>
      <c r="Q455" s="5273"/>
      <c r="R455" s="5273"/>
      <c r="S455" s="5273"/>
      <c r="T455" s="1061"/>
    </row>
    <row r="456" spans="1:21" s="2560" customFormat="1" ht="13.5" customHeight="1">
      <c r="A456" s="2266">
        <v>100</v>
      </c>
      <c r="B456" s="2550">
        <v>741</v>
      </c>
      <c r="C456" s="5315" t="s">
        <v>8381</v>
      </c>
      <c r="D456" s="5301" t="s">
        <v>7167</v>
      </c>
      <c r="E456" s="2469" t="s">
        <v>23</v>
      </c>
      <c r="F456" s="5312">
        <f>SUM(F457)</f>
        <v>1</v>
      </c>
      <c r="G456" s="5279"/>
      <c r="H456" s="3975">
        <f t="shared" ref="H456" si="94">ROUND(F456*G456,2)</f>
        <v>0</v>
      </c>
      <c r="I456" s="4116"/>
      <c r="J456" s="2470" t="s">
        <v>60</v>
      </c>
      <c r="K456" s="5057"/>
      <c r="L456" s="1061"/>
      <c r="M456" s="4602"/>
      <c r="N456" s="4602"/>
      <c r="O456" s="4602"/>
      <c r="P456" s="4602"/>
      <c r="Q456" s="4602"/>
      <c r="R456" s="2549"/>
      <c r="S456" s="2549"/>
      <c r="T456" s="2549"/>
      <c r="U456" s="2549"/>
    </row>
    <row r="457" spans="1:21" s="2560" customFormat="1" ht="13.5" customHeight="1">
      <c r="A457" s="4361"/>
      <c r="B457" s="2469"/>
      <c r="C457" s="2469"/>
      <c r="D457" s="4362" t="s">
        <v>8377</v>
      </c>
      <c r="E457" s="2469"/>
      <c r="F457" s="5313">
        <v>1</v>
      </c>
      <c r="G457" s="2471"/>
      <c r="H457" s="4075"/>
      <c r="I457" s="4116"/>
      <c r="J457" s="2470"/>
      <c r="K457" s="5057"/>
      <c r="L457" s="4602"/>
      <c r="M457" s="4602"/>
      <c r="N457" s="4602"/>
      <c r="O457" s="4602"/>
      <c r="P457" s="4602"/>
      <c r="Q457" s="4602"/>
      <c r="R457" s="2549"/>
      <c r="S457" s="2549"/>
      <c r="T457" s="2549"/>
      <c r="U457" s="2549"/>
    </row>
    <row r="458" spans="1:21" s="2560" customFormat="1" ht="40.5" customHeight="1">
      <c r="A458" s="4361"/>
      <c r="B458" s="2469"/>
      <c r="C458" s="2469"/>
      <c r="D458" s="5320" t="s">
        <v>10654</v>
      </c>
      <c r="E458" s="2469"/>
      <c r="F458" s="5314"/>
      <c r="G458" s="2471"/>
      <c r="H458" s="4075"/>
      <c r="I458" s="4116"/>
      <c r="J458" s="2470"/>
      <c r="K458" s="5057"/>
      <c r="L458" s="4602"/>
      <c r="M458" s="4602"/>
      <c r="N458" s="4602"/>
      <c r="O458" s="4602"/>
      <c r="P458" s="4602"/>
      <c r="Q458" s="4602"/>
      <c r="R458" s="2549"/>
      <c r="S458" s="2549"/>
      <c r="T458" s="2549"/>
      <c r="U458" s="2549"/>
    </row>
    <row r="459" spans="1:21" s="2560" customFormat="1" ht="108" customHeight="1">
      <c r="A459" s="3242"/>
      <c r="B459" s="3240"/>
      <c r="C459" s="3240"/>
      <c r="D459" s="3252" t="s">
        <v>10485</v>
      </c>
      <c r="E459" s="3240"/>
      <c r="F459" s="3253"/>
      <c r="G459" s="3238"/>
      <c r="H459" s="4080"/>
      <c r="I459" s="4098"/>
      <c r="J459" s="3239"/>
      <c r="K459" s="5357"/>
      <c r="L459" s="2563"/>
    </row>
    <row r="460" spans="1:21" s="2560" customFormat="1" ht="13.5" customHeight="1">
      <c r="A460" s="2266">
        <v>101</v>
      </c>
      <c r="B460" s="2550">
        <v>741</v>
      </c>
      <c r="C460" s="5315" t="s">
        <v>8382</v>
      </c>
      <c r="D460" s="5301" t="s">
        <v>7170</v>
      </c>
      <c r="E460" s="2469" t="s">
        <v>23</v>
      </c>
      <c r="F460" s="5312">
        <f>SUM(F461)</f>
        <v>1</v>
      </c>
      <c r="G460" s="5279"/>
      <c r="H460" s="3975">
        <f t="shared" ref="H460" si="95">ROUND(F460*G460,2)</f>
        <v>0</v>
      </c>
      <c r="I460" s="4116"/>
      <c r="J460" s="2470" t="s">
        <v>60</v>
      </c>
      <c r="K460" s="5057"/>
      <c r="L460" s="1061"/>
      <c r="Q460" s="2474"/>
      <c r="R460" s="2474"/>
      <c r="S460" s="2474"/>
      <c r="T460" s="2474"/>
      <c r="U460" s="2474"/>
    </row>
    <row r="461" spans="1:21" s="2560" customFormat="1" ht="27" customHeight="1">
      <c r="D461" s="4362" t="s">
        <v>8380</v>
      </c>
      <c r="E461" s="2469"/>
      <c r="F461" s="5313">
        <v>1</v>
      </c>
      <c r="G461" s="2471"/>
      <c r="H461" s="4075"/>
      <c r="I461" s="4116"/>
      <c r="J461" s="2470"/>
      <c r="K461" s="5336"/>
      <c r="Q461" s="2474"/>
      <c r="R461" s="2474"/>
      <c r="S461" s="2474"/>
      <c r="T461" s="2474"/>
      <c r="U461" s="2474"/>
    </row>
    <row r="462" spans="1:21" s="2560" customFormat="1" ht="13.5" customHeight="1">
      <c r="A462" s="2266">
        <v>102</v>
      </c>
      <c r="B462" s="2550">
        <v>741</v>
      </c>
      <c r="C462" s="5315" t="s">
        <v>8383</v>
      </c>
      <c r="D462" s="5321" t="s">
        <v>10413</v>
      </c>
      <c r="E462" s="2469" t="s">
        <v>23</v>
      </c>
      <c r="F462" s="5312">
        <f>SUM(F463)</f>
        <v>1</v>
      </c>
      <c r="G462" s="5279"/>
      <c r="H462" s="3975">
        <f t="shared" ref="H462" si="96">ROUND(F462*G462,2)</f>
        <v>0</v>
      </c>
      <c r="I462" s="4116"/>
      <c r="J462" s="2470" t="s">
        <v>60</v>
      </c>
      <c r="K462" s="5057"/>
      <c r="L462" s="1061"/>
      <c r="Q462" s="2474"/>
      <c r="R462" s="2474"/>
      <c r="S462" s="2474"/>
      <c r="T462" s="2474"/>
      <c r="U462" s="2474"/>
    </row>
    <row r="463" spans="1:21" s="2560" customFormat="1" ht="13.5" customHeight="1">
      <c r="A463" s="4361"/>
      <c r="B463" s="2469"/>
      <c r="C463" s="2469"/>
      <c r="D463" s="4362" t="s">
        <v>10414</v>
      </c>
      <c r="E463" s="2469"/>
      <c r="F463" s="5313">
        <v>1</v>
      </c>
      <c r="G463" s="2471"/>
      <c r="H463" s="4075"/>
      <c r="I463" s="4116"/>
      <c r="J463" s="2470"/>
      <c r="K463" s="2563"/>
      <c r="Q463" s="2474"/>
      <c r="R463" s="2474"/>
      <c r="S463" s="2474"/>
      <c r="T463" s="2474"/>
      <c r="U463" s="2474"/>
    </row>
    <row r="464" spans="1:21" s="2560" customFormat="1" ht="27" customHeight="1">
      <c r="A464" s="4361"/>
      <c r="B464" s="2469"/>
      <c r="C464" s="2469"/>
      <c r="D464" s="4362" t="s">
        <v>7531</v>
      </c>
      <c r="E464" s="2469"/>
      <c r="F464" s="5314"/>
      <c r="G464" s="2471"/>
      <c r="H464" s="4075"/>
      <c r="I464" s="4116"/>
      <c r="J464" s="2470"/>
      <c r="K464" s="2563"/>
    </row>
    <row r="465" spans="1:257" s="333" customFormat="1" ht="67.5" customHeight="1">
      <c r="A465" s="700"/>
      <c r="B465" s="347"/>
      <c r="C465" s="348"/>
      <c r="D465" s="177" t="s">
        <v>2749</v>
      </c>
      <c r="E465" s="2469"/>
      <c r="F465" s="462"/>
      <c r="G465" s="467"/>
      <c r="H465" s="3798"/>
      <c r="I465" s="3830"/>
      <c r="J465" s="351"/>
      <c r="K465" s="469"/>
      <c r="L465" s="470"/>
      <c r="M465" s="471"/>
      <c r="N465" s="699"/>
    </row>
    <row r="466" spans="1:257" s="2303" customFormat="1" ht="94.5" customHeight="1">
      <c r="A466" s="5322"/>
      <c r="B466" s="5323"/>
      <c r="C466" s="5323"/>
      <c r="D466" s="5324" t="s">
        <v>10649</v>
      </c>
      <c r="E466" s="5323"/>
      <c r="F466" s="5325"/>
      <c r="G466" s="5326"/>
      <c r="H466" s="3815"/>
      <c r="I466" s="3848"/>
      <c r="J466" s="224"/>
      <c r="K466" s="4596"/>
    </row>
    <row r="467" spans="1:257" s="1061" customFormat="1" ht="13.5" customHeight="1">
      <c r="A467" s="5327">
        <v>103</v>
      </c>
      <c r="B467" s="5328" t="s">
        <v>5078</v>
      </c>
      <c r="C467" s="5315" t="s">
        <v>8384</v>
      </c>
      <c r="D467" s="3046" t="s">
        <v>10415</v>
      </c>
      <c r="E467" s="3046" t="s">
        <v>23</v>
      </c>
      <c r="F467" s="3527">
        <f>ROUND(SUM(F468),3)</f>
        <v>1</v>
      </c>
      <c r="G467" s="3048"/>
      <c r="H467" s="3904"/>
      <c r="I467" s="3821">
        <f>ROUND(F467*G467,2)</f>
        <v>0</v>
      </c>
      <c r="J467" s="3049" t="s">
        <v>60</v>
      </c>
    </row>
    <row r="468" spans="1:257" s="2595" customFormat="1" ht="13.5" customHeight="1">
      <c r="A468" s="3567"/>
      <c r="B468" s="3558"/>
      <c r="C468" s="3558"/>
      <c r="D468" s="3548" t="s">
        <v>10416</v>
      </c>
      <c r="E468" s="3558"/>
      <c r="F468" s="3530">
        <v>1</v>
      </c>
      <c r="G468" s="3559"/>
      <c r="H468" s="3905"/>
      <c r="I468" s="3926"/>
      <c r="J468" s="4432"/>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49"/>
      <c r="B469" s="3150"/>
      <c r="C469" s="3151"/>
      <c r="D469" s="5002" t="s">
        <v>10488</v>
      </c>
      <c r="E469" s="3141"/>
      <c r="F469" s="3157"/>
      <c r="G469" s="3143"/>
      <c r="H469" s="3871"/>
      <c r="I469" s="3943"/>
      <c r="J469" s="4453"/>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66">
        <v>104</v>
      </c>
      <c r="B470" s="2550">
        <v>741</v>
      </c>
      <c r="C470" s="5315" t="s">
        <v>8443</v>
      </c>
      <c r="D470" s="1057" t="s">
        <v>7533</v>
      </c>
      <c r="E470" s="1057" t="s">
        <v>23</v>
      </c>
      <c r="F470" s="1071">
        <f>SUM(F471)</f>
        <v>1</v>
      </c>
      <c r="G470" s="5279"/>
      <c r="H470" s="3975">
        <f t="shared" ref="H470" si="97">ROUND(F470*G470,2)</f>
        <v>0</v>
      </c>
      <c r="I470" s="4053"/>
      <c r="J470" s="2470" t="s">
        <v>60</v>
      </c>
      <c r="K470" s="4740"/>
      <c r="M470" s="1562"/>
    </row>
    <row r="471" spans="1:257" s="2595" customFormat="1" ht="27" customHeight="1">
      <c r="A471" s="2679"/>
      <c r="B471" s="3558"/>
      <c r="C471" s="3558"/>
      <c r="D471" s="1407" t="s">
        <v>8440</v>
      </c>
      <c r="E471" s="2578"/>
      <c r="F471" s="3530">
        <v>1</v>
      </c>
      <c r="G471" s="5329"/>
      <c r="H471" s="4081"/>
      <c r="I471" s="4121"/>
      <c r="J471" s="1061"/>
      <c r="K471" s="1470"/>
      <c r="L471" s="4742"/>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95" customFormat="1" ht="13.5" customHeight="1">
      <c r="A472" s="3567"/>
      <c r="B472" s="3558"/>
      <c r="C472" s="3558"/>
      <c r="D472" s="3548" t="s">
        <v>6542</v>
      </c>
      <c r="E472" s="3558"/>
      <c r="F472" s="3558"/>
      <c r="G472" s="3559"/>
      <c r="H472" s="3905"/>
      <c r="I472" s="3926"/>
      <c r="J472" s="1061"/>
      <c r="K472" s="1470"/>
      <c r="L472" s="4742"/>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611" customFormat="1" ht="54" customHeight="1">
      <c r="A473" s="4354"/>
      <c r="B473" s="4355"/>
      <c r="C473" s="4355"/>
      <c r="D473" s="4356" t="s">
        <v>10650</v>
      </c>
      <c r="E473" s="4355"/>
      <c r="F473" s="4357"/>
      <c r="G473" s="5248"/>
      <c r="H473" s="4066"/>
      <c r="I473" s="4114"/>
      <c r="J473" s="4461"/>
      <c r="K473" s="4596"/>
      <c r="L473" s="2303"/>
      <c r="M473" s="2303"/>
      <c r="N473" s="2303"/>
      <c r="O473" s="2303"/>
      <c r="P473" s="2303"/>
      <c r="Q473" s="2303"/>
    </row>
    <row r="474" spans="1:257" s="2611" customFormat="1" ht="54" customHeight="1">
      <c r="A474" s="4354"/>
      <c r="B474" s="4355"/>
      <c r="C474" s="4355"/>
      <c r="D474" s="4356" t="s">
        <v>10648</v>
      </c>
      <c r="E474" s="4355"/>
      <c r="F474" s="4357"/>
      <c r="G474" s="5248"/>
      <c r="H474" s="4066"/>
      <c r="I474" s="4114"/>
      <c r="J474" s="4455"/>
      <c r="K474" s="4600"/>
    </row>
    <row r="475" spans="1:257" s="1061" customFormat="1" ht="13.5" customHeight="1">
      <c r="A475" s="2266">
        <v>105</v>
      </c>
      <c r="B475" s="2550">
        <v>741</v>
      </c>
      <c r="C475" s="5315" t="s">
        <v>8443</v>
      </c>
      <c r="D475" s="2550" t="s">
        <v>7534</v>
      </c>
      <c r="E475" s="5285" t="s">
        <v>23</v>
      </c>
      <c r="F475" s="5278">
        <v>1</v>
      </c>
      <c r="G475" s="5279"/>
      <c r="H475" s="3975">
        <f t="shared" ref="H475:H476" si="98">ROUND(F475*G475,2)</f>
        <v>0</v>
      </c>
      <c r="I475" s="4053"/>
      <c r="J475" s="2470" t="s">
        <v>60</v>
      </c>
    </row>
    <row r="476" spans="1:257" s="1102" customFormat="1" ht="13.5" customHeight="1">
      <c r="A476" s="2614">
        <v>106</v>
      </c>
      <c r="B476" s="2550">
        <v>741</v>
      </c>
      <c r="C476" s="2550">
        <v>998741203</v>
      </c>
      <c r="D476" s="2550" t="s">
        <v>8252</v>
      </c>
      <c r="E476" s="2550" t="s">
        <v>8</v>
      </c>
      <c r="F476" s="5278">
        <v>0.77</v>
      </c>
      <c r="G476" s="5279"/>
      <c r="H476" s="3975">
        <f t="shared" si="98"/>
        <v>0</v>
      </c>
      <c r="I476" s="4053"/>
      <c r="J476" s="2551" t="s">
        <v>863</v>
      </c>
      <c r="K476" s="5337"/>
      <c r="L476" s="5338"/>
      <c r="M476" s="5033"/>
      <c r="N476" s="5033"/>
      <c r="O476" s="5033"/>
      <c r="P476" s="5033"/>
      <c r="Q476" s="5033"/>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95" customFormat="1" ht="13.5" customHeight="1">
      <c r="A477" s="2614">
        <v>107</v>
      </c>
      <c r="B477" s="2550" t="s">
        <v>188</v>
      </c>
      <c r="C477" s="2550" t="s">
        <v>189</v>
      </c>
      <c r="D477" s="2550" t="s">
        <v>190</v>
      </c>
      <c r="E477" s="2550" t="s">
        <v>191</v>
      </c>
      <c r="F477" s="5278">
        <f>F478</f>
        <v>50</v>
      </c>
      <c r="G477" s="2557"/>
      <c r="H477" s="3975">
        <f t="shared" ref="H477" si="99">ROUND(F477*G477,2)</f>
        <v>0</v>
      </c>
      <c r="I477" s="4053"/>
      <c r="J477" s="2551" t="s">
        <v>863</v>
      </c>
      <c r="K477" s="5057"/>
      <c r="L477" s="5033"/>
      <c r="M477" s="5033"/>
      <c r="N477" s="5033"/>
      <c r="O477" s="5033"/>
      <c r="P477" s="5033"/>
      <c r="Q477" s="5033"/>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95" customFormat="1" ht="13.5" customHeight="1">
      <c r="A478" s="2614"/>
      <c r="B478" s="2550"/>
      <c r="C478" s="2550"/>
      <c r="D478" s="2553" t="s">
        <v>7173</v>
      </c>
      <c r="E478" s="2550"/>
      <c r="F478" s="2554">
        <v>50</v>
      </c>
      <c r="G478" s="2557"/>
      <c r="H478" s="3997"/>
      <c r="I478" s="4053"/>
      <c r="J478" s="2551"/>
      <c r="K478" s="1470"/>
      <c r="L478" s="5033"/>
      <c r="M478" s="5033"/>
      <c r="N478" s="5033"/>
      <c r="O478" s="5033"/>
      <c r="P478" s="5033"/>
      <c r="Q478" s="5033"/>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95" customFormat="1" ht="27" customHeight="1">
      <c r="A479" s="2614"/>
      <c r="B479" s="2550"/>
      <c r="C479" s="2550"/>
      <c r="D479" s="2553" t="s">
        <v>7174</v>
      </c>
      <c r="E479" s="2550"/>
      <c r="F479" s="5278"/>
      <c r="G479" s="2557"/>
      <c r="H479" s="3997"/>
      <c r="I479" s="4053"/>
      <c r="J479" s="2551"/>
      <c r="K479" s="1470"/>
      <c r="L479" s="5033"/>
      <c r="M479" s="5033"/>
      <c r="N479" s="5033"/>
      <c r="O479" s="5339"/>
      <c r="P479" s="5033"/>
      <c r="Q479" s="5033"/>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64"/>
      <c r="B480" s="2565"/>
      <c r="C480" s="2565"/>
      <c r="D480" s="2565" t="s">
        <v>0</v>
      </c>
      <c r="E480" s="2565"/>
      <c r="F480" s="2669"/>
      <c r="G480" s="2670"/>
      <c r="H480" s="2671">
        <f>H7</f>
        <v>0</v>
      </c>
      <c r="I480" s="2671">
        <f>I7</f>
        <v>0</v>
      </c>
      <c r="J480" s="1102"/>
    </row>
    <row r="481" spans="1:75" s="52" customFormat="1" ht="13.5" customHeight="1">
      <c r="A481" s="2564"/>
      <c r="B481" s="2565"/>
      <c r="C481" s="2565"/>
      <c r="D481" s="2565"/>
      <c r="E481" s="2565"/>
      <c r="F481" s="2669"/>
      <c r="G481" s="2670"/>
      <c r="H481" s="2672"/>
      <c r="I481" s="2672"/>
      <c r="J481" s="1102"/>
    </row>
    <row r="482" spans="1:75" s="2573" customFormat="1" ht="13.5" customHeight="1">
      <c r="A482" s="5736" t="s">
        <v>99</v>
      </c>
      <c r="B482" s="5737"/>
      <c r="C482" s="5738"/>
      <c r="D482" s="2568" t="s">
        <v>10514</v>
      </c>
      <c r="E482" s="2569"/>
      <c r="F482" s="2673"/>
      <c r="G482" s="2674"/>
      <c r="H482" s="3852">
        <f>H480</f>
        <v>0</v>
      </c>
      <c r="I482" s="3853"/>
      <c r="J482" s="2572"/>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73" customFormat="1" ht="13.5" customHeight="1">
      <c r="A483" s="5736" t="s">
        <v>99</v>
      </c>
      <c r="B483" s="5737"/>
      <c r="C483" s="5738"/>
      <c r="D483" s="2568" t="s">
        <v>10516</v>
      </c>
      <c r="E483" s="2569"/>
      <c r="F483" s="2673"/>
      <c r="G483" s="2674"/>
      <c r="H483" s="3853"/>
      <c r="I483" s="3854">
        <f>I480</f>
        <v>0</v>
      </c>
      <c r="J483" s="2572"/>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73" customFormat="1" ht="13.5" customHeight="1">
      <c r="A484" s="4054"/>
      <c r="B484" s="4054"/>
      <c r="C484" s="4054"/>
      <c r="D484" s="4055"/>
      <c r="E484" s="4056"/>
      <c r="F484" s="4057"/>
      <c r="G484" s="4058"/>
      <c r="H484" s="4059"/>
      <c r="I484" s="4059"/>
      <c r="J484" s="2572"/>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75"/>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650" t="s">
        <v>7535</v>
      </c>
      <c r="B487" s="5650"/>
      <c r="C487" s="5650"/>
      <c r="D487" s="5650"/>
      <c r="E487" s="5650"/>
      <c r="F487" s="5650"/>
      <c r="G487" s="5650"/>
      <c r="H487" s="48"/>
      <c r="I487" s="48"/>
      <c r="J487" s="1406"/>
    </row>
    <row r="488" spans="1:75" s="1061" customFormat="1" ht="107.25" customHeight="1">
      <c r="A488" s="5650" t="s">
        <v>26</v>
      </c>
      <c r="B488" s="5650"/>
      <c r="C488" s="5650"/>
      <c r="D488" s="5650"/>
      <c r="E488" s="5650"/>
      <c r="F488" s="5650"/>
      <c r="G488" s="5650"/>
      <c r="H488" s="48"/>
      <c r="I488" s="48"/>
      <c r="J488" s="48"/>
    </row>
    <row r="489" spans="1:75" s="1061" customFormat="1" ht="13.5" customHeight="1">
      <c r="A489" s="5650" t="s">
        <v>27</v>
      </c>
      <c r="B489" s="5650"/>
      <c r="C489" s="5650"/>
      <c r="D489" s="5650"/>
      <c r="E489" s="5650"/>
      <c r="F489" s="5650"/>
      <c r="G489" s="5650"/>
      <c r="H489" s="318"/>
      <c r="I489" s="318"/>
      <c r="J489" s="318"/>
    </row>
    <row r="490" spans="1:75" s="1061" customFormat="1" ht="13.5" customHeight="1">
      <c r="A490" s="5650" t="s">
        <v>28</v>
      </c>
      <c r="B490" s="5650"/>
      <c r="C490" s="5650"/>
      <c r="D490" s="5650"/>
      <c r="E490" s="5650"/>
      <c r="F490" s="5650"/>
      <c r="G490" s="5650"/>
      <c r="H490" s="318"/>
      <c r="I490" s="318"/>
      <c r="J490" s="318"/>
    </row>
    <row r="491" spans="1:75" s="52" customFormat="1" ht="40.5" customHeight="1">
      <c r="A491" s="5652" t="s">
        <v>61</v>
      </c>
      <c r="B491" s="5652"/>
      <c r="C491" s="5652"/>
      <c r="D491" s="5652"/>
      <c r="E491" s="5652"/>
      <c r="F491" s="5652"/>
      <c r="G491" s="5652"/>
      <c r="J491" s="53"/>
    </row>
    <row r="492" spans="1:75" s="1061" customFormat="1" ht="14.25" customHeight="1">
      <c r="A492" s="1403"/>
      <c r="B492" s="1404"/>
      <c r="C492" s="1404"/>
      <c r="D492" s="2577"/>
      <c r="E492" s="2578"/>
      <c r="F492" s="1405"/>
    </row>
    <row r="493" spans="1:75" s="1061" customFormat="1" ht="14.25" customHeight="1">
      <c r="A493"/>
      <c r="B493" s="2580"/>
      <c r="C493"/>
      <c r="D493"/>
      <c r="E493"/>
      <c r="F493" s="2676"/>
      <c r="G493"/>
      <c r="H493"/>
      <c r="I493"/>
      <c r="J493"/>
    </row>
    <row r="494" spans="1:75" s="1061" customFormat="1" ht="14.25" customHeight="1">
      <c r="A494"/>
      <c r="B494" s="2580"/>
      <c r="C494"/>
      <c r="D494"/>
      <c r="E494"/>
      <c r="F494" s="2676"/>
      <c r="G494"/>
      <c r="H494"/>
      <c r="I494"/>
      <c r="J494"/>
    </row>
    <row r="495" spans="1:75" s="1061" customFormat="1" ht="14.25" customHeight="1">
      <c r="A495"/>
      <c r="B495" s="2580"/>
      <c r="C495"/>
      <c r="D495"/>
      <c r="E495"/>
      <c r="F495" s="2676"/>
      <c r="G495"/>
      <c r="H495"/>
      <c r="I495"/>
      <c r="J495"/>
    </row>
    <row r="496" spans="1:75" s="1061" customFormat="1" ht="15" customHeight="1">
      <c r="A496"/>
      <c r="B496" s="2580"/>
      <c r="C496"/>
      <c r="D496"/>
      <c r="E496"/>
      <c r="F496" s="2676"/>
      <c r="G496"/>
      <c r="H496"/>
      <c r="I496"/>
      <c r="J496"/>
    </row>
    <row r="497" spans="1:10" s="1061" customFormat="1" ht="15" customHeight="1">
      <c r="A497"/>
      <c r="B497" s="2580"/>
      <c r="C497"/>
      <c r="D497"/>
      <c r="E497"/>
      <c r="F497" s="2676"/>
      <c r="G497"/>
      <c r="H497"/>
      <c r="I497"/>
      <c r="J497"/>
    </row>
    <row r="498" spans="1:10" ht="13.5" customHeight="1"/>
    <row r="499" spans="1:10" s="1061" customFormat="1" ht="13.5" customHeight="1">
      <c r="A499"/>
      <c r="B499" s="2580"/>
      <c r="C499"/>
      <c r="D499"/>
      <c r="E499"/>
      <c r="F499" s="2676"/>
      <c r="G499"/>
      <c r="H499"/>
      <c r="I499"/>
      <c r="J499"/>
    </row>
    <row r="500" spans="1:10" s="48" customFormat="1" ht="11.25">
      <c r="A500"/>
      <c r="B500" s="2580"/>
      <c r="C500"/>
      <c r="D500"/>
      <c r="E500"/>
      <c r="F500" s="2676"/>
      <c r="G500"/>
      <c r="H500"/>
      <c r="I500"/>
      <c r="J500"/>
    </row>
    <row r="501" spans="1:10" s="48" customFormat="1" ht="12" customHeight="1">
      <c r="A501"/>
      <c r="B501" s="2580"/>
      <c r="C501"/>
      <c r="D501"/>
      <c r="E501"/>
      <c r="F501" s="2676"/>
      <c r="G501"/>
      <c r="H501"/>
      <c r="I501"/>
      <c r="J501"/>
    </row>
    <row r="502" spans="1:10" s="48" customFormat="1" ht="15" customHeight="1">
      <c r="A502"/>
      <c r="B502" s="2580"/>
      <c r="C502"/>
      <c r="D502"/>
      <c r="E502"/>
      <c r="F502" s="2676"/>
      <c r="G502"/>
      <c r="H502"/>
      <c r="I502"/>
      <c r="J502"/>
    </row>
    <row r="503" spans="1:10" s="1061" customFormat="1" ht="13.5" customHeight="1">
      <c r="A503"/>
      <c r="B503" s="2580"/>
      <c r="C503"/>
      <c r="D503"/>
      <c r="E503"/>
      <c r="F503" s="2676"/>
      <c r="G503"/>
      <c r="H503"/>
      <c r="I503"/>
      <c r="J503"/>
    </row>
    <row r="504" spans="1:10" s="1061" customFormat="1" ht="13.5" customHeight="1">
      <c r="A504"/>
      <c r="B504" s="2580"/>
      <c r="C504"/>
      <c r="D504"/>
      <c r="E504"/>
      <c r="F504" s="2676"/>
      <c r="G504"/>
      <c r="H504"/>
      <c r="I504"/>
      <c r="J504"/>
    </row>
    <row r="505" spans="1:10" s="1061" customFormat="1" ht="13.5" customHeight="1">
      <c r="A505"/>
      <c r="B505" s="2580"/>
      <c r="C505"/>
      <c r="D505"/>
      <c r="E505"/>
      <c r="F505" s="2676"/>
      <c r="G505"/>
      <c r="H505"/>
      <c r="I505"/>
      <c r="J505"/>
    </row>
    <row r="506" spans="1:10" s="1061" customFormat="1" ht="13.5" customHeight="1">
      <c r="A506"/>
      <c r="B506" s="2580"/>
      <c r="C506"/>
      <c r="D506"/>
      <c r="E506"/>
      <c r="F506" s="2676"/>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734" t="s">
        <v>112</v>
      </c>
      <c r="B2" s="5734"/>
      <c r="C2" s="5734"/>
      <c r="D2" s="5734"/>
      <c r="E2" s="5734"/>
      <c r="F2" s="5734"/>
      <c r="G2" s="5734"/>
      <c r="H2" s="5734"/>
      <c r="I2" s="5734"/>
    </row>
    <row r="3" spans="1:97" s="2659" customFormat="1" ht="13.5" customHeight="1">
      <c r="A3" s="2660" t="s">
        <v>8402</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10501</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8403</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7137</v>
      </c>
      <c r="D9" s="1057" t="s">
        <v>8404</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8405</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8406</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10710</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7142</v>
      </c>
      <c r="D13" s="3046" t="s">
        <v>8407</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8408</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8409</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8410</v>
      </c>
      <c r="E16" s="3046"/>
      <c r="F16" s="3047"/>
      <c r="G16" s="3048"/>
      <c r="H16" s="3897"/>
      <c r="I16" s="3049"/>
      <c r="K16" s="4602"/>
      <c r="L16" s="4602"/>
      <c r="M16" s="4602"/>
      <c r="N16" s="4602"/>
      <c r="O16" s="4602"/>
      <c r="P16" s="4602"/>
    </row>
    <row r="17" spans="1:97" s="1102" customFormat="1" ht="27" customHeight="1">
      <c r="A17" s="5365"/>
      <c r="B17" s="3046"/>
      <c r="C17" s="3046"/>
      <c r="D17" s="3044" t="s">
        <v>8411</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7297</v>
      </c>
      <c r="D18" s="3046" t="s">
        <v>8412</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8413</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8414</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8415</v>
      </c>
      <c r="E21" s="3046"/>
      <c r="F21" s="3047"/>
      <c r="G21" s="3048"/>
      <c r="H21" s="3897"/>
      <c r="I21" s="3563"/>
      <c r="K21" s="4602"/>
      <c r="L21" s="4602"/>
      <c r="M21" s="4602"/>
      <c r="N21" s="4602"/>
      <c r="O21" s="4602"/>
      <c r="P21" s="4602"/>
    </row>
    <row r="22" spans="1:97" s="2549" customFormat="1" ht="13.5" customHeight="1">
      <c r="A22" s="5365"/>
      <c r="B22" s="3046"/>
      <c r="C22" s="3046"/>
      <c r="D22" s="3044" t="s">
        <v>10571</v>
      </c>
      <c r="E22" s="3046"/>
      <c r="F22" s="3047"/>
      <c r="G22" s="3048"/>
      <c r="H22" s="3897"/>
      <c r="I22" s="3563"/>
      <c r="K22" s="4602"/>
      <c r="L22" s="4602"/>
      <c r="M22" s="4602"/>
      <c r="N22" s="4602"/>
      <c r="O22" s="4602"/>
      <c r="P22" s="4602"/>
    </row>
    <row r="23" spans="1:97" s="1061" customFormat="1" ht="13.5" customHeight="1">
      <c r="A23" s="5327">
        <v>4</v>
      </c>
      <c r="B23" s="5366">
        <v>741</v>
      </c>
      <c r="C23" s="3046" t="s">
        <v>8256</v>
      </c>
      <c r="D23" s="3046" t="s">
        <v>8416</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8417</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8414</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8415</v>
      </c>
      <c r="E26" s="3046"/>
      <c r="F26" s="3047"/>
      <c r="G26" s="3048"/>
      <c r="H26" s="3897"/>
      <c r="I26" s="3563"/>
      <c r="K26" s="4602"/>
      <c r="L26" s="4602"/>
      <c r="M26" s="4602"/>
      <c r="N26" s="4602"/>
      <c r="O26" s="4602"/>
      <c r="P26" s="4602"/>
    </row>
    <row r="27" spans="1:97" s="2549" customFormat="1" ht="13.5" customHeight="1">
      <c r="A27" s="5365"/>
      <c r="B27" s="3046"/>
      <c r="C27" s="3046"/>
      <c r="D27" s="3044" t="s">
        <v>10571</v>
      </c>
      <c r="E27" s="3046"/>
      <c r="F27" s="3047"/>
      <c r="G27" s="3048"/>
      <c r="H27" s="3897"/>
      <c r="I27" s="3563"/>
      <c r="K27" s="4602"/>
      <c r="L27" s="4602"/>
      <c r="M27" s="4602"/>
      <c r="N27" s="4602"/>
      <c r="O27" s="4602"/>
      <c r="P27" s="4602"/>
    </row>
    <row r="28" spans="1:97" s="1061" customFormat="1" ht="13.5" customHeight="1">
      <c r="A28" s="5327">
        <v>5</v>
      </c>
      <c r="B28" s="5366">
        <v>741</v>
      </c>
      <c r="C28" s="3046" t="s">
        <v>7301</v>
      </c>
      <c r="D28" s="3046" t="s">
        <v>8418</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8419</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8420</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8410</v>
      </c>
      <c r="E31" s="3046"/>
      <c r="F31" s="3047"/>
      <c r="G31" s="3048"/>
      <c r="H31" s="3897"/>
      <c r="I31" s="3049"/>
      <c r="K31" s="4602"/>
      <c r="L31" s="4602"/>
      <c r="M31" s="4602"/>
      <c r="N31" s="4602"/>
      <c r="O31" s="4602"/>
      <c r="P31" s="4602"/>
    </row>
    <row r="32" spans="1:97" s="1061" customFormat="1" ht="13.5" customHeight="1">
      <c r="A32" s="5327">
        <v>6</v>
      </c>
      <c r="B32" s="5366">
        <v>741</v>
      </c>
      <c r="C32" s="3046" t="s">
        <v>7305</v>
      </c>
      <c r="D32" s="3046" t="s">
        <v>8418</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8421</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8422</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8410</v>
      </c>
      <c r="E35" s="3046"/>
      <c r="F35" s="3047"/>
      <c r="G35" s="3048"/>
      <c r="H35" s="3897"/>
      <c r="I35" s="3049"/>
      <c r="K35" s="4602"/>
      <c r="L35" s="4602"/>
      <c r="M35" s="4602"/>
      <c r="N35" s="4602"/>
      <c r="O35" s="4602"/>
      <c r="P35" s="4602"/>
    </row>
    <row r="36" spans="1:97" s="2549" customFormat="1" ht="13.5" customHeight="1">
      <c r="A36" s="5327">
        <v>7</v>
      </c>
      <c r="B36" s="3046">
        <v>741</v>
      </c>
      <c r="C36" s="3046" t="s">
        <v>7143</v>
      </c>
      <c r="D36" s="3046" t="s">
        <v>8423</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8424</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6532</v>
      </c>
      <c r="E38" s="3046"/>
      <c r="F38" s="3611">
        <v>1</v>
      </c>
      <c r="G38" s="3048"/>
      <c r="H38" s="3897"/>
      <c r="I38" s="3049"/>
      <c r="K38" s="4602"/>
      <c r="L38" s="4602"/>
      <c r="M38" s="4602"/>
      <c r="N38" s="4602"/>
      <c r="O38" s="4602"/>
      <c r="P38" s="4602"/>
    </row>
    <row r="39" spans="1:97" s="2549" customFormat="1" ht="27" customHeight="1">
      <c r="A39" s="5365"/>
      <c r="B39" s="3046"/>
      <c r="C39" s="3046"/>
      <c r="D39" s="5370" t="s">
        <v>8326</v>
      </c>
      <c r="E39" s="3046"/>
      <c r="F39" s="3047"/>
      <c r="G39" s="3048"/>
      <c r="H39" s="3897"/>
      <c r="I39" s="3049"/>
      <c r="K39" s="4602"/>
      <c r="L39" s="4602"/>
      <c r="M39" s="4602"/>
      <c r="N39" s="4602"/>
      <c r="O39" s="4602"/>
      <c r="P39" s="4602"/>
    </row>
    <row r="40" spans="1:97" s="2549" customFormat="1" ht="13.5" customHeight="1">
      <c r="A40" s="5327">
        <v>8</v>
      </c>
      <c r="B40" s="3046">
        <v>741</v>
      </c>
      <c r="C40" s="3046" t="s">
        <v>7308</v>
      </c>
      <c r="D40" s="3046" t="s">
        <v>8425</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8426</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7486</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8326</v>
      </c>
      <c r="E43" s="3046"/>
      <c r="F43" s="3047"/>
      <c r="G43" s="3048"/>
      <c r="H43" s="3897"/>
      <c r="I43" s="3049"/>
      <c r="K43" s="4602"/>
      <c r="L43" s="4602"/>
      <c r="M43" s="4602"/>
      <c r="N43" s="4602"/>
      <c r="O43" s="4602"/>
      <c r="P43" s="4602"/>
    </row>
    <row r="44" spans="1:97" s="2549" customFormat="1" ht="27" customHeight="1">
      <c r="A44" s="5365"/>
      <c r="B44" s="3046"/>
      <c r="C44" s="3046"/>
      <c r="D44" s="5370" t="s">
        <v>8427</v>
      </c>
      <c r="E44" s="3046"/>
      <c r="F44" s="3047"/>
      <c r="G44" s="3048"/>
      <c r="H44" s="3897"/>
      <c r="I44" s="3049"/>
      <c r="K44" s="4602"/>
      <c r="L44" s="4602"/>
      <c r="M44" s="4602"/>
      <c r="N44" s="4602"/>
      <c r="O44" s="4602"/>
      <c r="P44" s="4602"/>
    </row>
    <row r="45" spans="1:97" s="1061" customFormat="1" ht="13.5" customHeight="1">
      <c r="A45" s="5327">
        <v>9</v>
      </c>
      <c r="B45" s="5366">
        <v>741</v>
      </c>
      <c r="C45" s="3046" t="s">
        <v>7310</v>
      </c>
      <c r="D45" s="3046" t="s">
        <v>8428</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8429</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8430</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8410</v>
      </c>
      <c r="E48" s="3046"/>
      <c r="F48" s="3047"/>
      <c r="G48" s="3048"/>
      <c r="H48" s="3897"/>
      <c r="I48" s="3563"/>
      <c r="K48" s="4602"/>
      <c r="L48" s="4602"/>
      <c r="M48" s="4602"/>
      <c r="N48" s="4602"/>
      <c r="O48" s="4602"/>
      <c r="P48" s="4602"/>
    </row>
    <row r="49" spans="1:108" s="2549" customFormat="1" ht="13.5" customHeight="1">
      <c r="A49" s="5327">
        <v>10</v>
      </c>
      <c r="B49" s="3046">
        <v>741</v>
      </c>
      <c r="C49" s="3046" t="s">
        <v>7147</v>
      </c>
      <c r="D49" s="3046" t="s">
        <v>8431</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10642</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7146</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8327</v>
      </c>
      <c r="D52" s="3046" t="s">
        <v>8432</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8433</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10712</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8434</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8252</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7173</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7174</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8435</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7339</v>
      </c>
      <c r="D61" s="3243" t="s">
        <v>7167</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8436</v>
      </c>
      <c r="E62" s="3240"/>
      <c r="F62" s="5377">
        <v>1</v>
      </c>
      <c r="G62" s="3238"/>
      <c r="H62" s="4080"/>
      <c r="I62" s="3239"/>
      <c r="P62" s="2474"/>
      <c r="Q62" s="2474"/>
      <c r="R62" s="2474"/>
      <c r="S62" s="2474"/>
      <c r="T62" s="2474"/>
    </row>
    <row r="63" spans="1:108" s="333" customFormat="1" ht="40.5" customHeight="1">
      <c r="A63" s="5378"/>
      <c r="B63" s="5379"/>
      <c r="C63" s="5380"/>
      <c r="D63" s="5381" t="s">
        <v>10708</v>
      </c>
      <c r="E63" s="3240"/>
      <c r="F63" s="5382"/>
      <c r="G63" s="5383"/>
      <c r="H63" s="4563"/>
      <c r="I63" s="4564"/>
      <c r="J63" s="469"/>
      <c r="K63" s="470"/>
      <c r="L63" s="471"/>
      <c r="M63" s="699"/>
    </row>
    <row r="64" spans="1:108" s="2560" customFormat="1" ht="108" customHeight="1">
      <c r="A64" s="3242"/>
      <c r="B64" s="3240"/>
      <c r="C64" s="3240"/>
      <c r="D64" s="3252" t="s">
        <v>10713</v>
      </c>
      <c r="E64" s="3240"/>
      <c r="F64" s="3253"/>
      <c r="G64" s="3238"/>
      <c r="H64" s="4080"/>
      <c r="I64" s="4564"/>
      <c r="J64" s="5405"/>
      <c r="K64" s="5405"/>
      <c r="L64" s="2563"/>
    </row>
    <row r="65" spans="1:121" s="2560" customFormat="1" ht="27" customHeight="1">
      <c r="A65" s="3242"/>
      <c r="B65" s="3240"/>
      <c r="C65" s="3240"/>
      <c r="D65" s="3252" t="s">
        <v>10711</v>
      </c>
      <c r="E65" s="3240"/>
      <c r="F65" s="3253"/>
      <c r="G65" s="3238"/>
      <c r="H65" s="4080"/>
      <c r="I65" s="4564"/>
      <c r="J65" s="5405"/>
      <c r="K65" s="5405"/>
      <c r="L65" s="2563"/>
    </row>
    <row r="66" spans="1:121" s="2560" customFormat="1" ht="13.5" customHeight="1">
      <c r="A66" s="5365">
        <v>15</v>
      </c>
      <c r="B66" s="3046">
        <v>741</v>
      </c>
      <c r="C66" s="3608" t="s">
        <v>7340</v>
      </c>
      <c r="D66" s="3243" t="s">
        <v>7170</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8437</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8438</v>
      </c>
      <c r="E68" s="3240"/>
      <c r="F68" s="5384"/>
      <c r="G68" s="3238"/>
      <c r="H68" s="4080"/>
      <c r="I68" s="3239"/>
      <c r="J68" s="5336"/>
      <c r="P68" s="2474"/>
      <c r="Q68" s="2474"/>
      <c r="R68" s="2474"/>
      <c r="S68" s="2474"/>
      <c r="T68" s="2474"/>
    </row>
    <row r="69" spans="1:121" s="2560" customFormat="1" ht="27" customHeight="1">
      <c r="A69" s="5365">
        <v>16</v>
      </c>
      <c r="B69" s="3046">
        <v>741</v>
      </c>
      <c r="C69" s="3608" t="s">
        <v>8379</v>
      </c>
      <c r="D69" s="5385" t="s">
        <v>7529</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8439</v>
      </c>
      <c r="E70" s="3240"/>
      <c r="F70" s="5377">
        <v>1</v>
      </c>
      <c r="G70" s="3238"/>
      <c r="H70" s="4080"/>
      <c r="I70" s="3563"/>
      <c r="J70" s="5336"/>
      <c r="P70" s="2474"/>
      <c r="Q70" s="2474"/>
      <c r="R70" s="2474"/>
      <c r="S70" s="2474"/>
      <c r="T70" s="2474"/>
    </row>
    <row r="71" spans="1:121" s="2560" customFormat="1" ht="27" customHeight="1">
      <c r="A71" s="3242"/>
      <c r="B71" s="3240"/>
      <c r="C71" s="3240"/>
      <c r="D71" s="5376" t="s">
        <v>7531</v>
      </c>
      <c r="E71" s="3240"/>
      <c r="F71" s="5384"/>
      <c r="G71" s="3238"/>
      <c r="H71" s="4080"/>
      <c r="I71" s="3239"/>
      <c r="J71" s="5336"/>
    </row>
    <row r="72" spans="1:121" s="2303" customFormat="1" ht="81" customHeight="1">
      <c r="A72" s="5386"/>
      <c r="B72" s="5387"/>
      <c r="C72" s="5387"/>
      <c r="D72" s="5388" t="s">
        <v>10709</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8381</v>
      </c>
      <c r="D74" s="3046" t="s">
        <v>6540</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8440</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6542</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10714</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10715</v>
      </c>
      <c r="E78" s="5393"/>
      <c r="F78" s="5395"/>
      <c r="G78" s="4446"/>
      <c r="H78" s="4320"/>
      <c r="I78" s="4565"/>
      <c r="J78" s="5336"/>
      <c r="K78" s="4600"/>
    </row>
    <row r="79" spans="1:121" s="1061" customFormat="1" ht="13.5" customHeight="1">
      <c r="A79" s="5365">
        <v>18</v>
      </c>
      <c r="B79" s="3046">
        <v>741</v>
      </c>
      <c r="C79" s="3608" t="s">
        <v>8382</v>
      </c>
      <c r="D79" s="3046" t="s">
        <v>7534</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8383</v>
      </c>
      <c r="D80" s="3046" t="s">
        <v>6544</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6545</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6546</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8384</v>
      </c>
      <c r="D83" s="3036" t="s">
        <v>8441</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8442</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8443</v>
      </c>
      <c r="D85" s="3046" t="s">
        <v>10420</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10421</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10422</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10419</v>
      </c>
      <c r="D88" s="3610" t="s">
        <v>8385</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8444</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8445</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8252</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7173</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736" t="s">
        <v>99</v>
      </c>
      <c r="B96" s="5737"/>
      <c r="C96" s="5738"/>
      <c r="D96" s="2568" t="s">
        <v>10520</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650" t="s">
        <v>7535</v>
      </c>
      <c r="B99" s="5650"/>
      <c r="C99" s="5650"/>
      <c r="D99" s="5650"/>
      <c r="E99" s="5650"/>
      <c r="F99" s="5650"/>
      <c r="G99" s="5650"/>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650" t="s">
        <v>26</v>
      </c>
      <c r="B100" s="5650"/>
      <c r="C100" s="5650"/>
      <c r="D100" s="5650"/>
      <c r="E100" s="5650"/>
      <c r="F100" s="5650"/>
      <c r="G100" s="5650"/>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650" t="s">
        <v>27</v>
      </c>
      <c r="B101" s="5650"/>
      <c r="C101" s="5650"/>
      <c r="D101" s="5650"/>
      <c r="E101" s="5650"/>
      <c r="F101" s="5650"/>
      <c r="G101" s="5650"/>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650" t="s">
        <v>28</v>
      </c>
      <c r="B102" s="5650"/>
      <c r="C102" s="5650"/>
      <c r="D102" s="5650"/>
      <c r="E102" s="5650"/>
      <c r="F102" s="5650"/>
      <c r="G102" s="5650"/>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652" t="s">
        <v>61</v>
      </c>
      <c r="B103" s="5652"/>
      <c r="C103" s="5652"/>
      <c r="D103" s="5652"/>
      <c r="E103" s="5652"/>
      <c r="F103" s="5652"/>
      <c r="G103" s="5652"/>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7394</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10501</v>
      </c>
      <c r="D5" s="3786" t="s">
        <v>10502</v>
      </c>
    </row>
    <row r="6" spans="1:10" ht="12.6" customHeight="1">
      <c r="A6" s="3063">
        <v>1</v>
      </c>
      <c r="B6" s="3064">
        <v>2</v>
      </c>
      <c r="C6" s="4351" t="s">
        <v>10640</v>
      </c>
      <c r="D6" s="4183" t="s">
        <v>10641</v>
      </c>
    </row>
    <row r="7" spans="1:10" ht="21" customHeight="1">
      <c r="A7" s="651"/>
      <c r="B7" s="652"/>
      <c r="C7" s="4124"/>
      <c r="D7" s="4126"/>
    </row>
    <row r="8" spans="1:10" ht="13.5" customHeight="1">
      <c r="A8" s="3065">
        <v>1</v>
      </c>
      <c r="B8" s="3066" t="s">
        <v>7395</v>
      </c>
      <c r="C8" s="4352">
        <f>'D.1.4.8. EL. KOMUNIKACE'!H308</f>
        <v>0</v>
      </c>
      <c r="D8" s="4184">
        <f>'D.1.4.8. EL. KOMUNIKACE'!I309</f>
        <v>0</v>
      </c>
    </row>
    <row r="9" spans="1:10" ht="13.5" customHeight="1">
      <c r="A9" s="3065">
        <v>2</v>
      </c>
      <c r="B9" s="3066" t="s">
        <v>7396</v>
      </c>
      <c r="C9" s="4352">
        <f>'D.1.4.8. EL. KOMUNIKACE-MEDICAL'!H253</f>
        <v>0</v>
      </c>
      <c r="D9" s="4184"/>
    </row>
    <row r="10" spans="1:10" ht="21" customHeight="1">
      <c r="A10" s="3067"/>
      <c r="B10" s="3068" t="s">
        <v>7397</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election activeCell="G20" sqref="G20"/>
    </sheetView>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734" t="s">
        <v>112</v>
      </c>
      <c r="B2" s="5734"/>
      <c r="C2" s="5734"/>
      <c r="D2" s="5734"/>
      <c r="E2" s="5734"/>
      <c r="F2" s="5734"/>
      <c r="G2" s="5734"/>
      <c r="H2" s="5734"/>
      <c r="I2" s="5734"/>
      <c r="J2" s="5734"/>
      <c r="K2" s="4722"/>
    </row>
    <row r="3" spans="1:21" s="52" customFormat="1" ht="13.5" customHeight="1">
      <c r="A3" s="5743" t="s">
        <v>7394</v>
      </c>
      <c r="B3" s="5743"/>
      <c r="C3" s="5743"/>
      <c r="D3" s="5743"/>
      <c r="E3" s="5743"/>
      <c r="F3" s="5743"/>
      <c r="G3" s="5743"/>
      <c r="H3" s="5743"/>
      <c r="I3" s="5743"/>
      <c r="J3" s="5743"/>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10501</v>
      </c>
      <c r="I6" s="3786" t="s">
        <v>10502</v>
      </c>
      <c r="J6" s="2536" t="s">
        <v>22</v>
      </c>
      <c r="K6" s="1562"/>
      <c r="M6" s="2540"/>
    </row>
    <row r="7" spans="1:21" ht="12.75" customHeight="1">
      <c r="A7" s="2536" t="s">
        <v>133</v>
      </c>
      <c r="B7" s="2537" t="s">
        <v>134</v>
      </c>
      <c r="C7" s="2536" t="s">
        <v>854</v>
      </c>
      <c r="D7" s="2536" t="s">
        <v>856</v>
      </c>
      <c r="E7" s="2536" t="s">
        <v>858</v>
      </c>
      <c r="F7" s="2538" t="s">
        <v>860</v>
      </c>
      <c r="G7" s="2539" t="s">
        <v>2097</v>
      </c>
      <c r="H7" s="3785" t="s">
        <v>10499</v>
      </c>
      <c r="I7" s="3786" t="s">
        <v>10500</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7398</v>
      </c>
      <c r="E9" s="3051"/>
      <c r="F9" s="3054"/>
      <c r="G9" s="3594"/>
      <c r="H9" s="3895">
        <f>SUM(H10:H50)</f>
        <v>0</v>
      </c>
      <c r="I9" s="4095">
        <f>SUM(I10:I50)</f>
        <v>0</v>
      </c>
      <c r="J9" s="3563"/>
      <c r="L9" s="4602"/>
      <c r="M9" s="4602"/>
      <c r="N9" s="4602"/>
      <c r="O9" s="4602"/>
      <c r="P9" s="4602"/>
      <c r="Q9" s="4602"/>
    </row>
    <row r="10" spans="1:21" s="1061" customFormat="1" ht="13.5" customHeight="1">
      <c r="A10" s="5589">
        <v>1</v>
      </c>
      <c r="B10" s="3536" t="s">
        <v>4993</v>
      </c>
      <c r="C10" s="3536" t="s">
        <v>7399</v>
      </c>
      <c r="D10" s="5413" t="s">
        <v>7400</v>
      </c>
      <c r="E10" s="3046" t="s">
        <v>155</v>
      </c>
      <c r="F10" s="3050">
        <f>F12</f>
        <v>1</v>
      </c>
      <c r="G10" s="3052"/>
      <c r="H10" s="3975">
        <f t="shared" ref="H10" si="0">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11581</v>
      </c>
      <c r="E11" s="3051"/>
      <c r="F11" s="3047"/>
      <c r="G11" s="3542"/>
      <c r="H11" s="3916"/>
      <c r="I11" s="3937"/>
      <c r="J11" s="3563"/>
      <c r="K11" s="1091"/>
      <c r="S11" s="5034"/>
    </row>
    <row r="12" spans="1:21" s="1061" customFormat="1" ht="13.5" customHeight="1">
      <c r="A12" s="3237"/>
      <c r="B12" s="3636"/>
      <c r="C12" s="3521"/>
      <c r="D12" s="5414" t="s">
        <v>6530</v>
      </c>
      <c r="E12" s="3051"/>
      <c r="F12" s="3047">
        <v>1</v>
      </c>
      <c r="G12" s="3542"/>
      <c r="H12" s="3916"/>
      <c r="I12" s="3937"/>
      <c r="J12" s="3563"/>
      <c r="K12" s="1091"/>
    </row>
    <row r="13" spans="1:21" s="1061" customFormat="1" ht="27" customHeight="1">
      <c r="A13" s="3237"/>
      <c r="B13" s="3636"/>
      <c r="C13" s="3521"/>
      <c r="D13" s="5414" t="s">
        <v>11701</v>
      </c>
      <c r="E13" s="3051"/>
      <c r="F13" s="3047"/>
      <c r="G13" s="3542"/>
      <c r="H13" s="3916"/>
      <c r="I13" s="3937"/>
      <c r="J13" s="3563"/>
      <c r="K13" s="1091"/>
    </row>
    <row r="14" spans="1:21" s="1061" customFormat="1" ht="13.5" customHeight="1">
      <c r="A14" s="5412">
        <v>2</v>
      </c>
      <c r="B14" s="3536" t="s">
        <v>4993</v>
      </c>
      <c r="C14" s="3536" t="s">
        <v>7401</v>
      </c>
      <c r="D14" s="5413" t="s">
        <v>7402</v>
      </c>
      <c r="E14" s="3046" t="s">
        <v>155</v>
      </c>
      <c r="F14" s="3050">
        <f>SUM(F16:F19)</f>
        <v>109</v>
      </c>
      <c r="G14" s="3052"/>
      <c r="H14" s="3975">
        <f t="shared" ref="H14" si="1">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7403</v>
      </c>
      <c r="E15" s="3051"/>
      <c r="F15" s="3047"/>
      <c r="G15" s="3542"/>
      <c r="H15" s="3916"/>
      <c r="I15" s="3937"/>
      <c r="J15" s="3563"/>
      <c r="K15" s="2555"/>
      <c r="S15" s="5034"/>
    </row>
    <row r="16" spans="1:21" s="1061" customFormat="1" ht="13.5" customHeight="1">
      <c r="A16" s="3237"/>
      <c r="B16" s="3636"/>
      <c r="C16" s="3521"/>
      <c r="D16" s="5414" t="s">
        <v>6532</v>
      </c>
      <c r="E16" s="3051"/>
      <c r="F16" s="3047">
        <f>21-10</f>
        <v>11</v>
      </c>
      <c r="G16" s="3542"/>
      <c r="H16" s="3916"/>
      <c r="I16" s="3937"/>
      <c r="J16" s="3563"/>
      <c r="K16" s="5482"/>
      <c r="S16" s="5034"/>
      <c r="T16" s="1478"/>
    </row>
    <row r="17" spans="1:21" s="1061" customFormat="1" ht="13.5" customHeight="1">
      <c r="A17" s="3237"/>
      <c r="B17" s="3636"/>
      <c r="C17" s="3521"/>
      <c r="D17" s="5414" t="s">
        <v>6528</v>
      </c>
      <c r="E17" s="3051"/>
      <c r="F17" s="3047">
        <v>32</v>
      </c>
      <c r="G17" s="3542"/>
      <c r="H17" s="3916"/>
      <c r="I17" s="3937"/>
      <c r="J17" s="3563"/>
      <c r="K17" s="5482"/>
    </row>
    <row r="18" spans="1:21" s="1061" customFormat="1" ht="13.5" customHeight="1">
      <c r="A18" s="3237"/>
      <c r="B18" s="3636"/>
      <c r="C18" s="3521"/>
      <c r="D18" s="5414" t="s">
        <v>6529</v>
      </c>
      <c r="E18" s="3051"/>
      <c r="F18" s="3047">
        <v>33</v>
      </c>
      <c r="G18" s="3542"/>
      <c r="H18" s="3916"/>
      <c r="I18" s="3937"/>
      <c r="J18" s="3563"/>
      <c r="K18" s="5482"/>
      <c r="T18" s="5037"/>
    </row>
    <row r="19" spans="1:21" s="1061" customFormat="1" ht="13.5" customHeight="1">
      <c r="A19" s="3237"/>
      <c r="B19" s="3636"/>
      <c r="C19" s="3521"/>
      <c r="D19" s="5414" t="s">
        <v>6530</v>
      </c>
      <c r="E19" s="3051"/>
      <c r="F19" s="3047">
        <v>33</v>
      </c>
      <c r="G19" s="3542"/>
      <c r="H19" s="3916"/>
      <c r="I19" s="3937"/>
      <c r="J19" s="3563"/>
      <c r="K19" s="5482"/>
    </row>
    <row r="20" spans="1:21" s="1061" customFormat="1" ht="27" customHeight="1">
      <c r="A20" s="3237"/>
      <c r="B20" s="3636"/>
      <c r="C20" s="3521"/>
      <c r="D20" s="5414" t="s">
        <v>7404</v>
      </c>
      <c r="E20" s="3051"/>
      <c r="F20" s="3047"/>
      <c r="G20" s="3542"/>
      <c r="H20" s="3916"/>
      <c r="I20" s="3937"/>
      <c r="J20" s="3563"/>
      <c r="K20"/>
    </row>
    <row r="21" spans="1:21" s="1061" customFormat="1" ht="13.5" customHeight="1">
      <c r="A21" s="5412">
        <v>3</v>
      </c>
      <c r="B21" s="3536" t="s">
        <v>4993</v>
      </c>
      <c r="C21" s="3536" t="s">
        <v>7405</v>
      </c>
      <c r="D21" s="5413" t="s">
        <v>7406</v>
      </c>
      <c r="E21" s="3046" t="s">
        <v>155</v>
      </c>
      <c r="F21" s="3050">
        <f>SUM(F23:F25)</f>
        <v>17</v>
      </c>
      <c r="G21" s="3052"/>
      <c r="H21" s="3975">
        <f t="shared" ref="H21" si="2">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7407</v>
      </c>
      <c r="E22" s="3051"/>
      <c r="F22" s="3047"/>
      <c r="G22" s="3542"/>
      <c r="H22" s="3916"/>
      <c r="I22" s="3937"/>
      <c r="J22" s="3563"/>
      <c r="K22" s="2555"/>
      <c r="S22" s="5034"/>
    </row>
    <row r="23" spans="1:21" s="1061" customFormat="1" ht="13.5" customHeight="1">
      <c r="A23" s="3237"/>
      <c r="B23" s="3636"/>
      <c r="C23" s="3521"/>
      <c r="D23" s="5414" t="s">
        <v>6528</v>
      </c>
      <c r="E23" s="3051"/>
      <c r="F23" s="3047">
        <v>5</v>
      </c>
      <c r="G23" s="3542"/>
      <c r="H23" s="3916"/>
      <c r="I23" s="3937"/>
      <c r="J23" s="3563"/>
      <c r="K23" s="5482"/>
      <c r="S23" s="5034"/>
      <c r="T23" s="1478"/>
    </row>
    <row r="24" spans="1:21" s="1061" customFormat="1" ht="13.5" customHeight="1">
      <c r="A24" s="3237"/>
      <c r="B24" s="3636"/>
      <c r="C24" s="3521"/>
      <c r="D24" s="5414" t="s">
        <v>6529</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6530</v>
      </c>
      <c r="E25" s="3051"/>
      <c r="F25" s="3047">
        <v>6</v>
      </c>
      <c r="G25" s="3542"/>
      <c r="H25" s="3916"/>
      <c r="I25" s="3937"/>
      <c r="J25" s="3563"/>
      <c r="K25" s="5482"/>
    </row>
    <row r="26" spans="1:21" s="1061" customFormat="1" ht="27" customHeight="1">
      <c r="A26" s="3237"/>
      <c r="B26" s="3636"/>
      <c r="C26" s="3521"/>
      <c r="D26" s="5414" t="s">
        <v>7404</v>
      </c>
      <c r="E26" s="3051"/>
      <c r="F26" s="3047"/>
      <c r="G26" s="3542"/>
      <c r="H26" s="3916"/>
      <c r="I26" s="3937"/>
      <c r="J26" s="3563"/>
      <c r="K26"/>
    </row>
    <row r="27" spans="1:21" s="2549" customFormat="1" ht="13.5" customHeight="1">
      <c r="A27" s="3525">
        <v>4</v>
      </c>
      <c r="B27" s="3536" t="s">
        <v>4993</v>
      </c>
      <c r="C27" s="3536" t="s">
        <v>7408</v>
      </c>
      <c r="D27" s="5413" t="s">
        <v>7409</v>
      </c>
      <c r="E27" s="3610" t="s">
        <v>23</v>
      </c>
      <c r="F27" s="5371">
        <f>SUM(F29:F31)</f>
        <v>52</v>
      </c>
      <c r="G27" s="3052"/>
      <c r="H27" s="3975">
        <f t="shared" ref="H27" si="3">ROUND(F27*G27,2)</f>
        <v>0</v>
      </c>
      <c r="I27" s="4096"/>
      <c r="J27" s="3239" t="s">
        <v>60</v>
      </c>
      <c r="K27" s="2555"/>
      <c r="L27" s="1061"/>
      <c r="M27" s="1061"/>
      <c r="P27" s="5037"/>
      <c r="S27" s="5034"/>
      <c r="T27" s="5344"/>
    </row>
    <row r="28" spans="1:21" s="2549" customFormat="1" ht="13.5" customHeight="1">
      <c r="A28" s="5415"/>
      <c r="B28" s="3536"/>
      <c r="C28" s="3536"/>
      <c r="D28" s="5414" t="s">
        <v>7410</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6811</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6529</v>
      </c>
      <c r="E30" s="3046"/>
      <c r="F30" s="5416">
        <v>16</v>
      </c>
      <c r="G30" s="3052"/>
      <c r="H30" s="4082"/>
      <c r="I30" s="4096"/>
      <c r="J30" s="3049"/>
      <c r="K30" s="5483"/>
    </row>
    <row r="31" spans="1:21" s="2549" customFormat="1" ht="13.5" customHeight="1">
      <c r="A31" s="5415"/>
      <c r="B31" s="3536"/>
      <c r="C31" s="3536"/>
      <c r="D31" s="5414" t="s">
        <v>6530</v>
      </c>
      <c r="E31" s="3046"/>
      <c r="F31" s="5416">
        <v>16</v>
      </c>
      <c r="G31" s="3052"/>
      <c r="H31" s="4082"/>
      <c r="I31" s="4096"/>
      <c r="J31" s="3049"/>
    </row>
    <row r="32" spans="1:21" s="1061" customFormat="1" ht="27" customHeight="1">
      <c r="A32" s="3237"/>
      <c r="B32" s="3636"/>
      <c r="C32" s="3521"/>
      <c r="D32" s="5414" t="s">
        <v>7411</v>
      </c>
      <c r="E32" s="3051"/>
      <c r="F32" s="3047"/>
      <c r="G32" s="3542"/>
      <c r="H32" s="3916"/>
      <c r="I32" s="3937"/>
      <c r="J32" s="3563"/>
      <c r="K32"/>
    </row>
    <row r="33" spans="1:21" s="52" customFormat="1" ht="13.5" customHeight="1">
      <c r="A33" s="3525">
        <v>5</v>
      </c>
      <c r="B33" s="4363">
        <v>742</v>
      </c>
      <c r="C33" s="3536" t="s">
        <v>10554</v>
      </c>
      <c r="D33" s="5413" t="s">
        <v>7413</v>
      </c>
      <c r="E33" s="3610" t="s">
        <v>141</v>
      </c>
      <c r="F33" s="5371">
        <f>SUM(F34)</f>
        <v>11000</v>
      </c>
      <c r="G33" s="3048"/>
      <c r="H33" s="3975">
        <f t="shared" ref="H33" si="4">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7414</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10425</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10555</v>
      </c>
      <c r="D36" s="5413" t="s">
        <v>7416</v>
      </c>
      <c r="E36" s="3610" t="s">
        <v>141</v>
      </c>
      <c r="F36" s="5371">
        <f>SUM(F37)</f>
        <v>1000</v>
      </c>
      <c r="G36" s="3048"/>
      <c r="H36" s="3975">
        <f t="shared" ref="H36" si="5">ROUND(F36*G36,2)</f>
        <v>0</v>
      </c>
      <c r="I36" s="4096"/>
      <c r="J36" s="3049" t="s">
        <v>60</v>
      </c>
      <c r="K36" s="3663"/>
      <c r="L36" s="5484"/>
      <c r="M36" s="1061"/>
      <c r="S36" s="5034"/>
    </row>
    <row r="37" spans="1:21" s="2549" customFormat="1" ht="13.5" customHeight="1">
      <c r="A37" s="3237"/>
      <c r="B37" s="3636"/>
      <c r="C37" s="3521"/>
      <c r="D37" s="5420" t="s">
        <v>7414</v>
      </c>
      <c r="E37" s="3610"/>
      <c r="F37" s="3047">
        <v>1000</v>
      </c>
      <c r="G37" s="3048"/>
      <c r="H37" s="3897"/>
      <c r="I37" s="4097"/>
      <c r="J37" s="3049"/>
      <c r="K37" s="3663"/>
      <c r="L37" s="5484"/>
      <c r="M37" s="1061"/>
      <c r="S37" s="5034"/>
    </row>
    <row r="38" spans="1:21" s="2549" customFormat="1" ht="27.75" customHeight="1">
      <c r="A38" s="3237"/>
      <c r="B38" s="3636"/>
      <c r="C38" s="3521"/>
      <c r="D38" s="5414" t="s">
        <v>10426</v>
      </c>
      <c r="E38" s="3610"/>
      <c r="F38" s="3047"/>
      <c r="G38" s="3048"/>
      <c r="H38" s="3897"/>
      <c r="I38" s="4097"/>
      <c r="J38" s="3049"/>
      <c r="K38" s="1061"/>
      <c r="M38" s="1061"/>
    </row>
    <row r="39" spans="1:21" s="2560" customFormat="1" ht="13.5" customHeight="1">
      <c r="A39" s="3525">
        <v>7</v>
      </c>
      <c r="B39" s="4363">
        <v>742</v>
      </c>
      <c r="C39" s="3536" t="s">
        <v>7412</v>
      </c>
      <c r="D39" s="5421" t="s">
        <v>7167</v>
      </c>
      <c r="E39" s="3240" t="s">
        <v>23</v>
      </c>
      <c r="F39" s="5368">
        <f>SUM(F40)</f>
        <v>1</v>
      </c>
      <c r="G39" s="3052"/>
      <c r="H39" s="3975">
        <f t="shared" ref="H39" si="6">ROUND(F39*G39,2)</f>
        <v>0</v>
      </c>
      <c r="I39" s="4098"/>
      <c r="J39" s="3049" t="s">
        <v>60</v>
      </c>
      <c r="K39" s="5336"/>
      <c r="L39" s="1061"/>
      <c r="Q39" s="2474"/>
      <c r="R39" s="2474"/>
      <c r="S39" s="2474"/>
      <c r="T39" s="2474"/>
      <c r="U39" s="2474"/>
    </row>
    <row r="40" spans="1:21" s="2560" customFormat="1" ht="13.5" customHeight="1">
      <c r="A40" s="5422"/>
      <c r="B40" s="5423"/>
      <c r="C40" s="5423"/>
      <c r="D40" s="5320" t="s">
        <v>7525</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10654</v>
      </c>
      <c r="E41" s="3240"/>
      <c r="F41" s="5314"/>
      <c r="G41" s="3238"/>
      <c r="H41" s="4080"/>
      <c r="I41" s="4098"/>
      <c r="J41" s="3239"/>
      <c r="K41" s="2472"/>
    </row>
    <row r="42" spans="1:21" s="2560" customFormat="1" ht="108" customHeight="1">
      <c r="A42" s="3242"/>
      <c r="B42" s="3240"/>
      <c r="C42" s="3240"/>
      <c r="D42" s="3252" t="s">
        <v>10651</v>
      </c>
      <c r="E42" s="3240"/>
      <c r="F42" s="3253"/>
      <c r="G42" s="3238"/>
      <c r="H42" s="4080"/>
      <c r="I42" s="4098"/>
      <c r="J42" s="3239"/>
      <c r="K42" s="2472"/>
      <c r="L42" s="2563"/>
    </row>
    <row r="43" spans="1:21" s="2560" customFormat="1" ht="13.5" customHeight="1">
      <c r="A43" s="3525">
        <v>8</v>
      </c>
      <c r="B43" s="4363">
        <v>742</v>
      </c>
      <c r="C43" s="3536" t="s">
        <v>7415</v>
      </c>
      <c r="D43" s="5421" t="s">
        <v>7170</v>
      </c>
      <c r="E43" s="3240" t="s">
        <v>23</v>
      </c>
      <c r="F43" s="5368">
        <f>SUM(F44)</f>
        <v>1</v>
      </c>
      <c r="G43" s="3052"/>
      <c r="H43" s="3975">
        <f t="shared" ref="H43" si="7">ROUND(F43*G43,2)</f>
        <v>0</v>
      </c>
      <c r="I43" s="4098"/>
      <c r="J43" s="3049" t="s">
        <v>60</v>
      </c>
      <c r="K43" s="5336"/>
      <c r="L43" s="1061"/>
      <c r="Q43" s="2474"/>
      <c r="R43" s="2474"/>
      <c r="S43" s="2474"/>
      <c r="T43" s="2474"/>
      <c r="U43" s="2474"/>
    </row>
    <row r="44" spans="1:21" s="2560" customFormat="1" ht="27" customHeight="1">
      <c r="A44" s="5422"/>
      <c r="B44" s="5423"/>
      <c r="C44" s="5423"/>
      <c r="D44" s="5320" t="s">
        <v>7527</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8378</v>
      </c>
      <c r="E45" s="3240"/>
      <c r="F45" s="5314"/>
      <c r="G45" s="3238"/>
      <c r="H45" s="4080"/>
      <c r="I45" s="4098"/>
      <c r="J45" s="3239"/>
      <c r="K45" s="2472"/>
    </row>
    <row r="46" spans="1:21" s="1061" customFormat="1" ht="13.5" customHeight="1">
      <c r="A46" s="3525">
        <v>9</v>
      </c>
      <c r="B46" s="4363">
        <v>742</v>
      </c>
      <c r="C46" s="3536" t="s">
        <v>7417</v>
      </c>
      <c r="D46" s="5413" t="s">
        <v>7534</v>
      </c>
      <c r="E46" s="5373" t="s">
        <v>23</v>
      </c>
      <c r="F46" s="3050">
        <v>1</v>
      </c>
      <c r="G46" s="3052"/>
      <c r="H46" s="3975">
        <f t="shared" ref="H46:H47" si="8">ROUND(F46*G46,2)</f>
        <v>0</v>
      </c>
      <c r="I46" s="4097"/>
      <c r="J46" s="3049" t="s">
        <v>60</v>
      </c>
    </row>
    <row r="47" spans="1:21" s="3595" customFormat="1" ht="13.5" customHeight="1">
      <c r="A47" s="5424">
        <v>10</v>
      </c>
      <c r="B47" s="5425">
        <v>742</v>
      </c>
      <c r="C47" s="5418">
        <v>998742203</v>
      </c>
      <c r="D47" s="5426" t="s">
        <v>7418</v>
      </c>
      <c r="E47" s="3622" t="s">
        <v>8</v>
      </c>
      <c r="F47" s="3623">
        <v>0.81</v>
      </c>
      <c r="G47" s="3597"/>
      <c r="H47" s="3975">
        <f t="shared" si="8"/>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 t="shared" ref="H48" si="9">ROUND(F48*G48,2)</f>
        <v>0</v>
      </c>
      <c r="I48" s="4100"/>
      <c r="J48" s="3624" t="s">
        <v>142</v>
      </c>
      <c r="K48" s="4728"/>
      <c r="L48" s="4729"/>
      <c r="M48" s="4730"/>
      <c r="N48" s="3598"/>
      <c r="O48" s="3598"/>
      <c r="P48" s="3598"/>
    </row>
    <row r="49" spans="1:25" s="3596" customFormat="1" ht="13.5" customHeight="1">
      <c r="A49" s="5417"/>
      <c r="B49" s="5418"/>
      <c r="C49" s="5419"/>
      <c r="D49" s="5427" t="s">
        <v>7419</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7420</v>
      </c>
      <c r="E50" s="3599"/>
      <c r="F50" s="3600"/>
      <c r="G50" s="3597"/>
      <c r="H50" s="3899"/>
      <c r="I50" s="4100"/>
      <c r="J50" s="3601"/>
      <c r="K50" s="5486"/>
      <c r="L50" s="2290"/>
    </row>
    <row r="51" spans="1:25" s="2549" customFormat="1" ht="13.5" customHeight="1">
      <c r="A51" s="3237"/>
      <c r="B51" s="3521"/>
      <c r="C51" s="3521">
        <v>742</v>
      </c>
      <c r="D51" s="5428" t="s">
        <v>7421</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7422</v>
      </c>
      <c r="D52" s="5430" t="s">
        <v>7423</v>
      </c>
      <c r="E52" s="3614" t="s">
        <v>155</v>
      </c>
      <c r="F52" s="3050">
        <f>SUM(F53:F57)</f>
        <v>16</v>
      </c>
      <c r="G52" s="3607"/>
      <c r="H52" s="3975">
        <f t="shared" ref="H52" si="10">ROUND(F52*G52,2)</f>
        <v>0</v>
      </c>
      <c r="I52" s="4101"/>
      <c r="J52" s="3049" t="s">
        <v>60</v>
      </c>
      <c r="K52" s="3663"/>
      <c r="L52" s="3664"/>
      <c r="M52" s="1061"/>
      <c r="Q52" s="5344"/>
      <c r="R52" s="4723"/>
      <c r="Y52" s="3662"/>
    </row>
    <row r="53" spans="1:25" s="2549" customFormat="1" ht="13.5" customHeight="1">
      <c r="A53" s="5415"/>
      <c r="B53" s="3536"/>
      <c r="C53" s="3536"/>
      <c r="D53" s="5414" t="s">
        <v>7424</v>
      </c>
      <c r="E53" s="3046"/>
      <c r="F53" s="5416"/>
      <c r="G53" s="3052"/>
      <c r="H53" s="4082"/>
      <c r="I53" s="4096"/>
      <c r="J53" s="3049"/>
      <c r="K53" s="2528"/>
    </row>
    <row r="54" spans="1:25" s="2549" customFormat="1" ht="13.5" customHeight="1">
      <c r="A54" s="5415"/>
      <c r="B54" s="3536"/>
      <c r="C54" s="3536"/>
      <c r="D54" s="5414" t="s">
        <v>6339</v>
      </c>
      <c r="E54" s="3046"/>
      <c r="F54" s="5416">
        <v>1</v>
      </c>
      <c r="G54" s="3052"/>
      <c r="H54" s="4082"/>
      <c r="I54" s="4096"/>
      <c r="J54" s="3049"/>
      <c r="K54" s="5482"/>
    </row>
    <row r="55" spans="1:25" s="2549" customFormat="1" ht="13.5" customHeight="1">
      <c r="A55" s="5415"/>
      <c r="B55" s="3536"/>
      <c r="C55" s="3536"/>
      <c r="D55" s="5414" t="s">
        <v>6811</v>
      </c>
      <c r="E55" s="3046"/>
      <c r="F55" s="5416">
        <v>3</v>
      </c>
      <c r="G55" s="3052"/>
      <c r="H55" s="4082"/>
      <c r="I55" s="4096"/>
      <c r="J55" s="3049"/>
      <c r="K55" s="5482"/>
    </row>
    <row r="56" spans="1:25" s="2549" customFormat="1" ht="13.5" customHeight="1">
      <c r="A56" s="5415"/>
      <c r="B56" s="3536"/>
      <c r="C56" s="3536"/>
      <c r="D56" s="5414" t="s">
        <v>6529</v>
      </c>
      <c r="E56" s="3046"/>
      <c r="F56" s="5416">
        <v>4</v>
      </c>
      <c r="G56" s="3052"/>
      <c r="H56" s="4082"/>
      <c r="I56" s="4096"/>
      <c r="J56" s="3049"/>
      <c r="K56" s="5482"/>
    </row>
    <row r="57" spans="1:25" s="2549" customFormat="1" ht="13.5" customHeight="1">
      <c r="A57" s="5415"/>
      <c r="B57" s="3536"/>
      <c r="C57" s="3536"/>
      <c r="D57" s="5414" t="s">
        <v>6530</v>
      </c>
      <c r="E57" s="3046"/>
      <c r="F57" s="5416">
        <v>8</v>
      </c>
      <c r="G57" s="3052"/>
      <c r="H57" s="4082"/>
      <c r="I57" s="4096"/>
      <c r="J57" s="3049"/>
      <c r="K57" s="5482"/>
    </row>
    <row r="58" spans="1:25" s="2549" customFormat="1" ht="13.5" customHeight="1">
      <c r="A58" s="5415"/>
      <c r="B58" s="3536"/>
      <c r="C58" s="3536"/>
      <c r="D58" s="5431" t="s">
        <v>7425</v>
      </c>
      <c r="E58" s="3046"/>
      <c r="F58" s="5284"/>
      <c r="G58" s="3052"/>
      <c r="H58" s="4082"/>
      <c r="I58" s="4096"/>
      <c r="J58" s="3049"/>
    </row>
    <row r="59" spans="1:25" s="2549" customFormat="1" ht="13.5" customHeight="1">
      <c r="A59" s="5415">
        <v>13</v>
      </c>
      <c r="B59" s="3536" t="s">
        <v>4993</v>
      </c>
      <c r="C59" s="3536" t="s">
        <v>7429</v>
      </c>
      <c r="D59" s="5413" t="s">
        <v>7426</v>
      </c>
      <c r="E59" s="3610" t="s">
        <v>23</v>
      </c>
      <c r="F59" s="5432">
        <f>SUM(F61:F61)</f>
        <v>1</v>
      </c>
      <c r="G59" s="3048"/>
      <c r="H59" s="3975">
        <f t="shared" ref="H59" si="11">ROUND(F59*G59,2)</f>
        <v>0</v>
      </c>
      <c r="I59" s="4096"/>
      <c r="J59" s="3049" t="s">
        <v>60</v>
      </c>
      <c r="K59" s="5251"/>
      <c r="L59" s="1091"/>
      <c r="N59" s="5352"/>
      <c r="Q59" s="1562"/>
    </row>
    <row r="60" spans="1:25" s="2549" customFormat="1" ht="13.5" customHeight="1">
      <c r="A60" s="5415"/>
      <c r="B60" s="3536"/>
      <c r="C60" s="3536"/>
      <c r="D60" s="5414" t="s">
        <v>7427</v>
      </c>
      <c r="E60" s="3610"/>
      <c r="F60" s="5433"/>
      <c r="G60" s="3048"/>
      <c r="H60" s="4082"/>
      <c r="I60" s="4096"/>
      <c r="J60" s="3049"/>
      <c r="N60" s="5352"/>
    </row>
    <row r="61" spans="1:25" s="2549" customFormat="1" ht="13.5" customHeight="1">
      <c r="A61" s="3637"/>
      <c r="B61" s="3536"/>
      <c r="C61" s="3536"/>
      <c r="D61" s="4364" t="s">
        <v>7428</v>
      </c>
      <c r="E61" s="3046"/>
      <c r="F61" s="5433">
        <v>1</v>
      </c>
      <c r="G61" s="3048"/>
      <c r="H61" s="4082"/>
      <c r="I61" s="4096"/>
      <c r="J61" s="3049"/>
      <c r="L61" s="5273"/>
      <c r="N61" s="5352"/>
    </row>
    <row r="62" spans="1:25" s="1346" customFormat="1" ht="40.5" customHeight="1">
      <c r="A62" s="3106"/>
      <c r="B62" s="5434"/>
      <c r="C62" s="3377"/>
      <c r="D62" s="5435" t="s">
        <v>10427</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10428</v>
      </c>
      <c r="D63" s="5438" t="s">
        <v>7430</v>
      </c>
      <c r="E63" s="5439" t="s">
        <v>155</v>
      </c>
      <c r="F63" s="3050">
        <f>SUM(F64:F66)</f>
        <v>3</v>
      </c>
      <c r="G63" s="3607"/>
      <c r="H63" s="3975">
        <f t="shared" ref="H63" si="12">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7431</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6339</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6811</v>
      </c>
      <c r="E66" s="5439"/>
      <c r="F66" s="5416">
        <v>1</v>
      </c>
      <c r="G66" s="5441"/>
      <c r="H66" s="4085"/>
      <c r="I66" s="4103"/>
      <c r="J66" s="3239"/>
      <c r="K66" s="5482"/>
    </row>
    <row r="67" spans="1:22" s="2560" customFormat="1" ht="27" customHeight="1">
      <c r="A67" s="5415"/>
      <c r="B67" s="5423"/>
      <c r="C67" s="5423"/>
      <c r="D67" s="5320" t="s">
        <v>7432</v>
      </c>
      <c r="E67" s="5439"/>
      <c r="F67" s="5440"/>
      <c r="G67" s="5441"/>
      <c r="H67" s="4085"/>
      <c r="I67" s="4103"/>
      <c r="J67" s="3239"/>
    </row>
    <row r="68" spans="1:22" s="52" customFormat="1" ht="13.5" customHeight="1">
      <c r="A68" s="3525">
        <v>15</v>
      </c>
      <c r="B68" s="4363">
        <v>742</v>
      </c>
      <c r="C68" s="3536" t="s">
        <v>10429</v>
      </c>
      <c r="D68" s="4456" t="s">
        <v>7434</v>
      </c>
      <c r="E68" s="3536" t="s">
        <v>155</v>
      </c>
      <c r="F68" s="3050">
        <f>SUM(F69:F72)</f>
        <v>21</v>
      </c>
      <c r="G68" s="3048"/>
      <c r="H68" s="3975">
        <f t="shared" ref="H68" si="13">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7435</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6811</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6529</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6530</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10440</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10439</v>
      </c>
      <c r="D74" s="3046" t="s">
        <v>10438</v>
      </c>
      <c r="E74" s="3046" t="s">
        <v>155</v>
      </c>
      <c r="F74" s="5371">
        <f>SUM(F75)</f>
        <v>1</v>
      </c>
      <c r="G74" s="3048"/>
      <c r="H74" s="3975">
        <f t="shared" ref="H74" si="14">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10442</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10441</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10458</v>
      </c>
      <c r="D77" s="3046" t="s">
        <v>10455</v>
      </c>
      <c r="E77" s="3046" t="s">
        <v>155</v>
      </c>
      <c r="F77" s="5371">
        <f>SUM(F78)</f>
        <v>1</v>
      </c>
      <c r="G77" s="3048"/>
      <c r="H77" s="3975">
        <f t="shared" ref="H77" si="15">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10457</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10456</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10556</v>
      </c>
      <c r="D80" s="5413" t="s">
        <v>7413</v>
      </c>
      <c r="E80" s="3610" t="s">
        <v>141</v>
      </c>
      <c r="F80" s="5371">
        <f>SUM(F81)</f>
        <v>2000</v>
      </c>
      <c r="G80" s="3048"/>
      <c r="H80" s="3975">
        <f t="shared" ref="H80" si="16">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10430</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10425</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10557</v>
      </c>
      <c r="D83" s="3046" t="s">
        <v>10431</v>
      </c>
      <c r="E83" s="3046" t="s">
        <v>141</v>
      </c>
      <c r="F83" s="5371">
        <f>SUM(F84)</f>
        <v>50</v>
      </c>
      <c r="G83" s="3048"/>
      <c r="H83" s="3975">
        <f t="shared" ref="H83" si="17">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10430</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10425</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7433</v>
      </c>
      <c r="D86" s="5421" t="s">
        <v>7167</v>
      </c>
      <c r="E86" s="3240" t="s">
        <v>23</v>
      </c>
      <c r="F86" s="5368">
        <f>SUM(F87)</f>
        <v>1</v>
      </c>
      <c r="G86" s="3052"/>
      <c r="H86" s="3975">
        <f t="shared" ref="H86" si="18">ROUND(F86*G86,2)</f>
        <v>0</v>
      </c>
      <c r="I86" s="4098"/>
      <c r="J86" s="3049" t="s">
        <v>60</v>
      </c>
      <c r="K86" s="5336"/>
      <c r="L86" s="1061"/>
      <c r="Q86" s="2474"/>
      <c r="R86" s="2474"/>
      <c r="S86" s="2474"/>
      <c r="T86" s="2474"/>
      <c r="U86" s="2474"/>
    </row>
    <row r="87" spans="1:22" s="2560" customFormat="1" ht="13.5" customHeight="1">
      <c r="A87" s="5422"/>
      <c r="B87" s="5423"/>
      <c r="C87" s="5423"/>
      <c r="D87" s="5320" t="s">
        <v>7525</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10654</v>
      </c>
      <c r="E88" s="3240"/>
      <c r="F88" s="5314"/>
      <c r="G88" s="3238"/>
      <c r="H88" s="4080"/>
      <c r="I88" s="4098"/>
      <c r="J88" s="3239"/>
      <c r="K88" s="2472"/>
    </row>
    <row r="89" spans="1:22" s="2560" customFormat="1" ht="108" customHeight="1">
      <c r="A89" s="3242"/>
      <c r="B89" s="3240"/>
      <c r="C89" s="3240"/>
      <c r="D89" s="3252" t="s">
        <v>10652</v>
      </c>
      <c r="E89" s="3240"/>
      <c r="F89" s="3253"/>
      <c r="G89" s="3238"/>
      <c r="H89" s="4080"/>
      <c r="I89" s="4098"/>
      <c r="J89" s="3239"/>
      <c r="K89" s="2472"/>
      <c r="L89" s="2563"/>
    </row>
    <row r="90" spans="1:22" s="2560" customFormat="1" ht="13.5" customHeight="1">
      <c r="A90" s="3525">
        <v>21</v>
      </c>
      <c r="B90" s="4363">
        <v>742</v>
      </c>
      <c r="C90" s="3536" t="s">
        <v>7436</v>
      </c>
      <c r="D90" s="5421" t="s">
        <v>7170</v>
      </c>
      <c r="E90" s="3240" t="s">
        <v>23</v>
      </c>
      <c r="F90" s="5368">
        <f>SUM(F91)</f>
        <v>1</v>
      </c>
      <c r="G90" s="3052"/>
      <c r="H90" s="3975">
        <f t="shared" ref="H90" si="19">ROUND(F90*G90,2)</f>
        <v>0</v>
      </c>
      <c r="I90" s="4098"/>
      <c r="J90" s="3049" t="s">
        <v>60</v>
      </c>
      <c r="K90" s="5336"/>
      <c r="L90" s="1061"/>
      <c r="Q90" s="2474"/>
      <c r="R90" s="2474"/>
      <c r="S90" s="2474"/>
      <c r="T90" s="2474"/>
      <c r="U90" s="2474"/>
    </row>
    <row r="91" spans="1:22" s="2560" customFormat="1" ht="27" customHeight="1">
      <c r="A91" s="5422"/>
      <c r="B91" s="5423"/>
      <c r="C91" s="5423"/>
      <c r="D91" s="5320" t="s">
        <v>7527</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8378</v>
      </c>
      <c r="E92" s="3240"/>
      <c r="F92" s="5314"/>
      <c r="G92" s="3238"/>
      <c r="H92" s="4080"/>
      <c r="I92" s="4098"/>
      <c r="J92" s="3239"/>
      <c r="K92" s="2472"/>
    </row>
    <row r="93" spans="1:22" s="1061" customFormat="1" ht="13.5" customHeight="1">
      <c r="A93" s="3525">
        <v>22</v>
      </c>
      <c r="B93" s="4363">
        <v>742</v>
      </c>
      <c r="C93" s="3536" t="s">
        <v>7437</v>
      </c>
      <c r="D93" s="5413" t="s">
        <v>7534</v>
      </c>
      <c r="E93" s="5373" t="s">
        <v>23</v>
      </c>
      <c r="F93" s="3050">
        <v>1</v>
      </c>
      <c r="G93" s="3052"/>
      <c r="H93" s="3975">
        <f t="shared" ref="H93:H95" si="20">ROUND(F93*G93,2)</f>
        <v>0</v>
      </c>
      <c r="I93" s="4097"/>
      <c r="J93" s="3049" t="s">
        <v>60</v>
      </c>
    </row>
    <row r="94" spans="1:22" s="3595" customFormat="1" ht="13.5" customHeight="1">
      <c r="A94" s="5424">
        <v>23</v>
      </c>
      <c r="B94" s="5425">
        <v>742</v>
      </c>
      <c r="C94" s="5418">
        <v>998742203</v>
      </c>
      <c r="D94" s="5426" t="s">
        <v>7418</v>
      </c>
      <c r="E94" s="3622" t="s">
        <v>8</v>
      </c>
      <c r="F94" s="3623">
        <v>0.81</v>
      </c>
      <c r="G94" s="3597"/>
      <c r="H94" s="3975">
        <f t="shared" si="20"/>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 t="shared" si="20"/>
        <v>0</v>
      </c>
      <c r="I95" s="4100"/>
      <c r="J95" s="3624" t="s">
        <v>142</v>
      </c>
      <c r="K95" s="4728"/>
      <c r="L95" s="4729"/>
      <c r="M95" s="4730"/>
      <c r="N95" s="3598"/>
      <c r="O95" s="3598"/>
      <c r="P95" s="3598"/>
    </row>
    <row r="96" spans="1:22" s="3596" customFormat="1" ht="13.5" customHeight="1">
      <c r="A96" s="5417"/>
      <c r="B96" s="5418"/>
      <c r="C96" s="5419"/>
      <c r="D96" s="5427" t="s">
        <v>7419</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7420</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7438</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7439</v>
      </c>
      <c r="D99" s="5413" t="s">
        <v>7440</v>
      </c>
      <c r="E99" s="3606" t="s">
        <v>155</v>
      </c>
      <c r="F99" s="5443">
        <f>SUM(F101:F101)</f>
        <v>2</v>
      </c>
      <c r="G99" s="3607"/>
      <c r="H99" s="3975">
        <f t="shared" ref="H99" si="21">ROUND(F99*G99,2)</f>
        <v>0</v>
      </c>
      <c r="I99" s="4104"/>
      <c r="J99" s="3049" t="s">
        <v>60</v>
      </c>
      <c r="K99" s="3663"/>
      <c r="L99" s="3664"/>
      <c r="M99" s="52"/>
      <c r="N99" s="52"/>
      <c r="O99" s="4723"/>
      <c r="Q99" s="5034"/>
    </row>
    <row r="100" spans="1:23" s="1061" customFormat="1" ht="13.5" customHeight="1">
      <c r="A100" s="3237"/>
      <c r="B100" s="3636"/>
      <c r="C100" s="3521"/>
      <c r="D100" s="5414" t="s">
        <v>7441</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6532</v>
      </c>
      <c r="E101" s="3051"/>
      <c r="F101" s="3047">
        <v>2</v>
      </c>
      <c r="G101" s="3542"/>
      <c r="H101" s="3916"/>
      <c r="I101" s="3937"/>
      <c r="J101" s="3563"/>
      <c r="K101" s="5482"/>
      <c r="Q101" s="4723"/>
    </row>
    <row r="102" spans="1:23" s="2549" customFormat="1" ht="13.5" customHeight="1">
      <c r="A102" s="5429"/>
      <c r="B102" s="5444"/>
      <c r="C102" s="5444"/>
      <c r="D102" s="5427" t="s">
        <v>7442</v>
      </c>
      <c r="E102" s="3614"/>
      <c r="F102" s="3047"/>
      <c r="G102" s="3607"/>
      <c r="H102" s="3898"/>
      <c r="I102" s="4101"/>
      <c r="J102" s="3614"/>
    </row>
    <row r="103" spans="1:23" s="2549" customFormat="1" ht="13.5" customHeight="1">
      <c r="A103" s="5429">
        <v>26</v>
      </c>
      <c r="B103" s="4363">
        <v>742</v>
      </c>
      <c r="C103" s="3536" t="s">
        <v>7443</v>
      </c>
      <c r="D103" s="5413" t="s">
        <v>7444</v>
      </c>
      <c r="E103" s="3606" t="s">
        <v>155</v>
      </c>
      <c r="F103" s="5443">
        <f>SUM(F105:F107)</f>
        <v>11</v>
      </c>
      <c r="G103" s="3607"/>
      <c r="H103" s="3975">
        <f t="shared" ref="H103" si="22">ROUND(F103*G103,2)</f>
        <v>0</v>
      </c>
      <c r="I103" s="4104"/>
      <c r="J103" s="3049" t="s">
        <v>60</v>
      </c>
      <c r="K103" s="3663"/>
      <c r="L103" s="3664"/>
      <c r="M103" s="52"/>
      <c r="N103" s="52"/>
      <c r="O103" s="4723"/>
      <c r="Q103" s="4723"/>
    </row>
    <row r="104" spans="1:23" s="1061" customFormat="1" ht="13.5" customHeight="1">
      <c r="A104" s="3237"/>
      <c r="B104" s="3636"/>
      <c r="C104" s="3521"/>
      <c r="D104" s="5414" t="s">
        <v>7445</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6528</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6529</v>
      </c>
      <c r="E106" s="3051"/>
      <c r="F106" s="3047">
        <v>1</v>
      </c>
      <c r="G106" s="3542"/>
      <c r="H106" s="3916"/>
      <c r="I106" s="3937"/>
      <c r="J106" s="3563"/>
      <c r="K106"/>
      <c r="S106" s="4723"/>
      <c r="T106" s="5037"/>
    </row>
    <row r="107" spans="1:23" s="1061" customFormat="1" ht="13.5" customHeight="1">
      <c r="A107" s="3237"/>
      <c r="B107" s="3636"/>
      <c r="C107" s="3521"/>
      <c r="D107" s="5414" t="s">
        <v>6530</v>
      </c>
      <c r="E107" s="3051"/>
      <c r="F107" s="3047">
        <v>1</v>
      </c>
      <c r="G107" s="3542"/>
      <c r="H107" s="3916"/>
      <c r="I107" s="3937"/>
      <c r="J107" s="3563"/>
    </row>
    <row r="108" spans="1:23" s="2549" customFormat="1" ht="13.5" customHeight="1">
      <c r="A108" s="5429"/>
      <c r="B108" s="5444"/>
      <c r="C108" s="5444"/>
      <c r="D108" s="5427" t="s">
        <v>7442</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10497</v>
      </c>
      <c r="D109" s="4456" t="s">
        <v>7447</v>
      </c>
      <c r="E109" s="3536" t="s">
        <v>155</v>
      </c>
      <c r="F109" s="3541">
        <f>F110</f>
        <v>1</v>
      </c>
      <c r="G109" s="5739" t="s">
        <v>11578</v>
      </c>
      <c r="H109" s="5740"/>
      <c r="I109" s="3937"/>
      <c r="J109" s="3529" t="s">
        <v>60</v>
      </c>
      <c r="K109" s="1061"/>
      <c r="M109" s="1061"/>
    </row>
    <row r="110" spans="1:23" s="2549" customFormat="1" ht="13.5" customHeight="1">
      <c r="A110" s="3525"/>
      <c r="B110" s="4363"/>
      <c r="C110" s="3536"/>
      <c r="D110" s="4364" t="s">
        <v>7448</v>
      </c>
      <c r="E110" s="3558"/>
      <c r="F110" s="3530">
        <v>1</v>
      </c>
      <c r="G110" s="4457"/>
      <c r="H110" s="4086"/>
      <c r="I110" s="4105"/>
      <c r="J110" s="4432"/>
      <c r="K110" s="1562"/>
      <c r="M110" s="1061"/>
    </row>
    <row r="111" spans="1:23" s="52" customFormat="1" ht="13.5" customHeight="1">
      <c r="A111" s="3525">
        <v>28</v>
      </c>
      <c r="B111" s="4363">
        <v>742</v>
      </c>
      <c r="C111" s="3536" t="s">
        <v>10558</v>
      </c>
      <c r="D111" s="5413" t="s">
        <v>7413</v>
      </c>
      <c r="E111" s="3610" t="s">
        <v>141</v>
      </c>
      <c r="F111" s="5371">
        <f>SUM(F112)</f>
        <v>4100</v>
      </c>
      <c r="G111" s="3048"/>
      <c r="H111" s="3975">
        <f t="shared" ref="H111" si="23">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7414</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7146</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7446</v>
      </c>
      <c r="D114" s="5421" t="s">
        <v>7167</v>
      </c>
      <c r="E114" s="3240" t="s">
        <v>23</v>
      </c>
      <c r="F114" s="5368">
        <f>SUM(F115)</f>
        <v>1</v>
      </c>
      <c r="G114" s="3052"/>
      <c r="H114" s="3975">
        <f t="shared" ref="H114" si="24">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7525</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10654</v>
      </c>
      <c r="E116" s="3240"/>
      <c r="F116" s="5314"/>
      <c r="G116" s="3238"/>
      <c r="H116" s="4080"/>
      <c r="I116" s="4098"/>
      <c r="J116" s="3239"/>
      <c r="K116" s="2472"/>
    </row>
    <row r="117" spans="1:21" s="2560" customFormat="1" ht="108" customHeight="1">
      <c r="A117" s="3242"/>
      <c r="B117" s="3240"/>
      <c r="C117" s="3240"/>
      <c r="D117" s="3252" t="s">
        <v>10653</v>
      </c>
      <c r="E117" s="3240"/>
      <c r="F117" s="3253"/>
      <c r="G117" s="3238"/>
      <c r="H117" s="4080"/>
      <c r="I117" s="4098"/>
      <c r="J117" s="3239"/>
      <c r="K117" s="2472"/>
      <c r="L117" s="2563"/>
    </row>
    <row r="118" spans="1:21" s="2560" customFormat="1" ht="13.5" customHeight="1">
      <c r="A118" s="3525">
        <v>30</v>
      </c>
      <c r="B118" s="4363">
        <v>742</v>
      </c>
      <c r="C118" s="3536" t="s">
        <v>10559</v>
      </c>
      <c r="D118" s="5421" t="s">
        <v>7170</v>
      </c>
      <c r="E118" s="3240" t="s">
        <v>23</v>
      </c>
      <c r="F118" s="5368">
        <f>SUM(F119)</f>
        <v>1</v>
      </c>
      <c r="G118" s="3052"/>
      <c r="H118" s="3975">
        <f t="shared" ref="H118" si="25">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7527</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8378</v>
      </c>
      <c r="E120" s="3240"/>
      <c r="F120" s="5314"/>
      <c r="G120" s="3238"/>
      <c r="H120" s="4080"/>
      <c r="I120" s="4098"/>
      <c r="J120" s="3239"/>
      <c r="K120" s="2472"/>
    </row>
    <row r="121" spans="1:21" s="1061" customFormat="1" ht="13.5" customHeight="1">
      <c r="A121" s="3525">
        <v>31</v>
      </c>
      <c r="B121" s="4363">
        <v>742</v>
      </c>
      <c r="C121" s="3536" t="s">
        <v>7449</v>
      </c>
      <c r="D121" s="5413" t="s">
        <v>7534</v>
      </c>
      <c r="E121" s="5373" t="s">
        <v>23</v>
      </c>
      <c r="F121" s="3050">
        <v>1</v>
      </c>
      <c r="G121" s="3052"/>
      <c r="H121" s="3975">
        <f t="shared" ref="H121:H122" si="26">ROUND(F121*G121,2)</f>
        <v>0</v>
      </c>
      <c r="I121" s="4097"/>
      <c r="J121" s="3049" t="s">
        <v>60</v>
      </c>
    </row>
    <row r="122" spans="1:21" s="3595" customFormat="1" ht="13.5" customHeight="1">
      <c r="A122" s="5424">
        <v>32</v>
      </c>
      <c r="B122" s="5425">
        <v>742</v>
      </c>
      <c r="C122" s="5418">
        <v>998742203</v>
      </c>
      <c r="D122" s="5426" t="s">
        <v>7418</v>
      </c>
      <c r="E122" s="3622" t="s">
        <v>8</v>
      </c>
      <c r="F122" s="3623">
        <v>0.81</v>
      </c>
      <c r="G122" s="3597"/>
      <c r="H122" s="3975">
        <f t="shared" si="26"/>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 t="shared" ref="H123" si="27">ROUND(F123*G123,2)</f>
        <v>0</v>
      </c>
      <c r="I123" s="4100"/>
      <c r="J123" s="3624" t="s">
        <v>142</v>
      </c>
      <c r="K123" s="4728"/>
      <c r="L123" s="4729"/>
      <c r="M123" s="4730"/>
      <c r="N123" s="3598"/>
      <c r="O123" s="3598"/>
      <c r="P123" s="3598"/>
    </row>
    <row r="124" spans="1:21" s="3596" customFormat="1" ht="13.5" customHeight="1">
      <c r="A124" s="5417"/>
      <c r="B124" s="5418"/>
      <c r="C124" s="5419"/>
      <c r="D124" s="5427" t="s">
        <v>7419</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7420</v>
      </c>
      <c r="E125" s="3599"/>
      <c r="F125" s="3600"/>
      <c r="G125" s="3597"/>
      <c r="H125" s="3899"/>
      <c r="I125" s="4100"/>
      <c r="J125" s="3601"/>
      <c r="K125" s="5486"/>
      <c r="L125" s="2290"/>
    </row>
    <row r="126" spans="1:21" s="2549" customFormat="1" ht="13.5" customHeight="1">
      <c r="A126" s="3237"/>
      <c r="B126" s="3521"/>
      <c r="C126" s="3521">
        <v>742</v>
      </c>
      <c r="D126" s="5445" t="s">
        <v>7450</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7451</v>
      </c>
      <c r="D127" s="5447" t="s">
        <v>7452</v>
      </c>
      <c r="E127" s="3606" t="s">
        <v>155</v>
      </c>
      <c r="F127" s="5443">
        <f>SUM(F129:F131)</f>
        <v>38</v>
      </c>
      <c r="G127" s="3607"/>
      <c r="H127" s="3975">
        <f t="shared" ref="H127" si="28">ROUND(F127*G127,2)</f>
        <v>0</v>
      </c>
      <c r="I127" s="4104"/>
      <c r="J127" s="3049" t="s">
        <v>60</v>
      </c>
      <c r="K127" s="3663"/>
      <c r="L127" s="5484"/>
      <c r="M127" s="1061"/>
      <c r="O127" s="3666"/>
      <c r="R127" s="5034"/>
    </row>
    <row r="128" spans="1:21" s="3596" customFormat="1" ht="13.5" customHeight="1">
      <c r="A128" s="5417"/>
      <c r="B128" s="5418"/>
      <c r="C128" s="5419"/>
      <c r="D128" s="5427" t="s">
        <v>7453</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6528</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6529</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6530</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7454</v>
      </c>
      <c r="E132" s="3614"/>
      <c r="F132" s="3047"/>
      <c r="G132" s="3615"/>
      <c r="H132" s="3898"/>
      <c r="I132" s="4101"/>
      <c r="J132" s="3614"/>
    </row>
    <row r="133" spans="1:21" s="2549" customFormat="1" ht="13.5" customHeight="1">
      <c r="A133" s="5446">
        <v>35</v>
      </c>
      <c r="B133" s="4363">
        <v>742</v>
      </c>
      <c r="C133" s="3536" t="s">
        <v>7451</v>
      </c>
      <c r="D133" s="5447" t="s">
        <v>7455</v>
      </c>
      <c r="E133" s="3606" t="s">
        <v>23</v>
      </c>
      <c r="F133" s="5443">
        <f>F134</f>
        <v>1</v>
      </c>
      <c r="G133" s="3607"/>
      <c r="H133" s="3975">
        <f t="shared" ref="H133" si="29">ROUND(F133*G133,2)</f>
        <v>0</v>
      </c>
      <c r="I133" s="4104"/>
      <c r="J133" s="3049" t="s">
        <v>60</v>
      </c>
    </row>
    <row r="134" spans="1:21" s="2549" customFormat="1" ht="13.5" customHeight="1">
      <c r="A134" s="5444"/>
      <c r="B134" s="5444"/>
      <c r="C134" s="5444"/>
      <c r="D134" s="5420" t="s">
        <v>7456</v>
      </c>
      <c r="E134" s="3606"/>
      <c r="F134" s="3047">
        <v>1</v>
      </c>
      <c r="G134" s="3607"/>
      <c r="H134" s="3896"/>
      <c r="I134" s="4104"/>
      <c r="J134" s="3049"/>
    </row>
    <row r="135" spans="1:21" s="2549" customFormat="1" ht="27.75" customHeight="1">
      <c r="A135" s="5444"/>
      <c r="B135" s="5444"/>
      <c r="C135" s="5444"/>
      <c r="D135" s="5414" t="s">
        <v>7457</v>
      </c>
      <c r="E135" s="3610"/>
      <c r="F135" s="5369"/>
      <c r="G135" s="5432"/>
      <c r="H135" s="4087"/>
      <c r="I135" s="4106"/>
      <c r="J135" s="3049"/>
    </row>
    <row r="136" spans="1:21" s="2549" customFormat="1" ht="13.5" customHeight="1">
      <c r="A136" s="5446">
        <v>36</v>
      </c>
      <c r="B136" s="4363">
        <v>742</v>
      </c>
      <c r="C136" s="3536" t="s">
        <v>10432</v>
      </c>
      <c r="D136" s="4456" t="s">
        <v>7458</v>
      </c>
      <c r="E136" s="3536" t="s">
        <v>23</v>
      </c>
      <c r="F136" s="3541">
        <v>1</v>
      </c>
      <c r="G136" s="3542"/>
      <c r="H136" s="3975">
        <f t="shared" ref="H136:H138" si="30">ROUND(F136*G136,2)</f>
        <v>0</v>
      </c>
      <c r="I136" s="3937"/>
      <c r="J136" s="3529" t="s">
        <v>60</v>
      </c>
    </row>
    <row r="137" spans="1:21" s="2549" customFormat="1" ht="13.5" customHeight="1">
      <c r="A137" s="5446">
        <v>37</v>
      </c>
      <c r="B137" s="4363">
        <v>742</v>
      </c>
      <c r="C137" s="3536" t="s">
        <v>10433</v>
      </c>
      <c r="D137" s="4456" t="s">
        <v>7459</v>
      </c>
      <c r="E137" s="3536" t="s">
        <v>23</v>
      </c>
      <c r="F137" s="3541">
        <v>1</v>
      </c>
      <c r="G137" s="3542"/>
      <c r="H137" s="3975">
        <f t="shared" si="30"/>
        <v>0</v>
      </c>
      <c r="I137" s="3937"/>
      <c r="J137" s="3529" t="s">
        <v>60</v>
      </c>
    </row>
    <row r="138" spans="1:21" s="2549" customFormat="1" ht="13.5" customHeight="1">
      <c r="A138" s="5446">
        <v>38</v>
      </c>
      <c r="B138" s="4363">
        <v>742</v>
      </c>
      <c r="C138" s="3536" t="s">
        <v>10434</v>
      </c>
      <c r="D138" s="4456" t="s">
        <v>7460</v>
      </c>
      <c r="E138" s="3536" t="s">
        <v>155</v>
      </c>
      <c r="F138" s="3541">
        <f>F139</f>
        <v>1</v>
      </c>
      <c r="G138" s="3542"/>
      <c r="H138" s="3975">
        <f t="shared" si="30"/>
        <v>0</v>
      </c>
      <c r="I138" s="3937"/>
      <c r="J138" s="3529" t="s">
        <v>60</v>
      </c>
    </row>
    <row r="139" spans="1:21" s="2549" customFormat="1" ht="13.5" customHeight="1">
      <c r="A139" s="5446"/>
      <c r="B139" s="4363"/>
      <c r="C139" s="3536"/>
      <c r="D139" s="5420" t="s">
        <v>10444</v>
      </c>
      <c r="E139" s="1404"/>
      <c r="F139" s="3047">
        <v>1</v>
      </c>
      <c r="G139" s="2558"/>
      <c r="H139" s="4083"/>
      <c r="I139" s="4099"/>
      <c r="J139" s="1392"/>
    </row>
    <row r="140" spans="1:21" s="2549" customFormat="1" ht="27" customHeight="1">
      <c r="A140" s="5444"/>
      <c r="B140" s="5444"/>
      <c r="C140" s="5444"/>
      <c r="D140" s="5449" t="s">
        <v>10443</v>
      </c>
      <c r="E140" s="3610"/>
      <c r="F140" s="3047"/>
      <c r="G140" s="5432"/>
      <c r="H140" s="4087"/>
      <c r="I140" s="4106"/>
      <c r="J140" s="3049"/>
    </row>
    <row r="141" spans="1:21" s="52" customFormat="1" ht="13.5" customHeight="1">
      <c r="A141" s="3525">
        <v>39</v>
      </c>
      <c r="B141" s="4363">
        <v>742</v>
      </c>
      <c r="C141" s="3536" t="s">
        <v>10560</v>
      </c>
      <c r="D141" s="4456" t="s">
        <v>7462</v>
      </c>
      <c r="E141" s="3536" t="s">
        <v>141</v>
      </c>
      <c r="F141" s="5371">
        <f>SUM(F142:F142)</f>
        <v>3800</v>
      </c>
      <c r="G141" s="3048"/>
      <c r="H141" s="3975">
        <f t="shared" ref="H141" si="31">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7463</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7464</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7461</v>
      </c>
      <c r="D144" s="5421" t="s">
        <v>7167</v>
      </c>
      <c r="E144" s="3240" t="s">
        <v>23</v>
      </c>
      <c r="F144" s="5368">
        <f>SUM(F145)</f>
        <v>1</v>
      </c>
      <c r="G144" s="3052"/>
      <c r="H144" s="3975">
        <f t="shared" ref="H144" si="32">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7525</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10654</v>
      </c>
      <c r="E146" s="3240"/>
      <c r="F146" s="5314"/>
      <c r="G146" s="3238"/>
      <c r="H146" s="4080"/>
      <c r="I146" s="4098"/>
      <c r="J146" s="3239"/>
      <c r="K146" s="2472"/>
    </row>
    <row r="147" spans="1:21" s="2560" customFormat="1" ht="108" customHeight="1">
      <c r="A147" s="3242"/>
      <c r="B147" s="3240"/>
      <c r="C147" s="3240"/>
      <c r="D147" s="3252" t="s">
        <v>10562</v>
      </c>
      <c r="E147" s="3240"/>
      <c r="F147" s="3253"/>
      <c r="G147" s="3238"/>
      <c r="H147" s="4080"/>
      <c r="I147" s="4098"/>
      <c r="J147" s="3239"/>
      <c r="K147" s="2472"/>
      <c r="L147" s="2563"/>
    </row>
    <row r="148" spans="1:21" s="2560" customFormat="1" ht="13.5" customHeight="1">
      <c r="A148" s="3525">
        <v>41</v>
      </c>
      <c r="B148" s="4363">
        <v>742</v>
      </c>
      <c r="C148" s="3536" t="s">
        <v>7465</v>
      </c>
      <c r="D148" s="5421" t="s">
        <v>7170</v>
      </c>
      <c r="E148" s="3240" t="s">
        <v>23</v>
      </c>
      <c r="F148" s="5368">
        <f>SUM(F149)</f>
        <v>1</v>
      </c>
      <c r="G148" s="3052"/>
      <c r="H148" s="3975">
        <f t="shared" ref="H148" si="33">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7527</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8378</v>
      </c>
      <c r="E150" s="3240"/>
      <c r="F150" s="5314"/>
      <c r="G150" s="3238"/>
      <c r="H150" s="4080"/>
      <c r="I150" s="4098"/>
      <c r="J150" s="3239"/>
      <c r="K150" s="2472"/>
    </row>
    <row r="151" spans="1:21" s="1061" customFormat="1" ht="13.5" customHeight="1">
      <c r="A151" s="3525">
        <v>42</v>
      </c>
      <c r="B151" s="4363">
        <v>742</v>
      </c>
      <c r="C151" s="3536" t="s">
        <v>10561</v>
      </c>
      <c r="D151" s="5413" t="s">
        <v>7534</v>
      </c>
      <c r="E151" s="5373" t="s">
        <v>23</v>
      </c>
      <c r="F151" s="3050">
        <v>1</v>
      </c>
      <c r="G151" s="3052"/>
      <c r="H151" s="3975">
        <f t="shared" ref="H151:H153" si="34">ROUND(F151*G151,2)</f>
        <v>0</v>
      </c>
      <c r="I151" s="4097"/>
      <c r="J151" s="3049" t="s">
        <v>60</v>
      </c>
    </row>
    <row r="152" spans="1:21" s="3595" customFormat="1" ht="13.5" customHeight="1">
      <c r="A152" s="5424">
        <v>43</v>
      </c>
      <c r="B152" s="5425">
        <v>742</v>
      </c>
      <c r="C152" s="5418">
        <v>998742203</v>
      </c>
      <c r="D152" s="5426" t="s">
        <v>7418</v>
      </c>
      <c r="E152" s="3622" t="s">
        <v>8</v>
      </c>
      <c r="F152" s="3623">
        <v>0.81</v>
      </c>
      <c r="G152" s="3597"/>
      <c r="H152" s="3975">
        <f t="shared" si="34"/>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 t="shared" si="34"/>
        <v>0</v>
      </c>
      <c r="I153" s="4100"/>
      <c r="J153" s="3624" t="s">
        <v>142</v>
      </c>
      <c r="K153" s="4728"/>
      <c r="L153" s="4729"/>
      <c r="M153" s="4730"/>
      <c r="N153" s="3598"/>
      <c r="O153" s="3598"/>
      <c r="P153" s="3598"/>
    </row>
    <row r="154" spans="1:21" s="3596" customFormat="1" ht="13.5" customHeight="1">
      <c r="A154" s="5417"/>
      <c r="B154" s="5418"/>
      <c r="C154" s="5419"/>
      <c r="D154" s="5427" t="s">
        <v>7419</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7420</v>
      </c>
      <c r="E155" s="3599"/>
      <c r="F155" s="3600"/>
      <c r="G155" s="3597"/>
      <c r="H155" s="3899"/>
      <c r="I155" s="4100"/>
      <c r="J155" s="3601"/>
      <c r="K155" s="5486"/>
      <c r="L155" s="2290"/>
    </row>
    <row r="156" spans="1:21" s="2549" customFormat="1" ht="13.5" customHeight="1">
      <c r="A156" s="3237"/>
      <c r="B156" s="3521"/>
      <c r="C156" s="3521">
        <v>742</v>
      </c>
      <c r="D156" s="5445" t="s">
        <v>7466</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7467</v>
      </c>
      <c r="D157" s="5430" t="s">
        <v>7468</v>
      </c>
      <c r="E157" s="3614" t="s">
        <v>23</v>
      </c>
      <c r="F157" s="5451">
        <f>F158</f>
        <v>1</v>
      </c>
      <c r="G157" s="3615"/>
      <c r="H157" s="3975">
        <f t="shared" ref="H157" si="35">ROUND(F157*G157,2)</f>
        <v>0</v>
      </c>
      <c r="I157" s="4101"/>
      <c r="J157" s="3049" t="s">
        <v>60</v>
      </c>
      <c r="K157" s="5492"/>
      <c r="L157" s="5493"/>
      <c r="M157" s="5494"/>
      <c r="O157" s="4723"/>
    </row>
    <row r="158" spans="1:21" s="52" customFormat="1" ht="13.5" customHeight="1">
      <c r="A158" s="5429"/>
      <c r="B158" s="5452"/>
      <c r="C158" s="3536"/>
      <c r="D158" s="5453" t="s">
        <v>7469</v>
      </c>
      <c r="E158" s="3614"/>
      <c r="F158" s="3047">
        <v>1</v>
      </c>
      <c r="G158" s="3615"/>
      <c r="H158" s="3898"/>
      <c r="I158" s="4101"/>
      <c r="J158" s="3049"/>
      <c r="K158" s="3663"/>
      <c r="L158" s="3664"/>
      <c r="O158" s="4723"/>
    </row>
    <row r="159" spans="1:21" s="52" customFormat="1" ht="27" customHeight="1">
      <c r="A159" s="5454"/>
      <c r="B159" s="5452"/>
      <c r="C159" s="3536"/>
      <c r="D159" s="5453" t="s">
        <v>7470</v>
      </c>
      <c r="E159" s="3614"/>
      <c r="F159" s="2562"/>
      <c r="G159" s="3615"/>
      <c r="H159" s="3898"/>
      <c r="I159" s="4101"/>
      <c r="J159" s="3049"/>
      <c r="K159" s="5492"/>
      <c r="L159" s="5490"/>
    </row>
    <row r="160" spans="1:21" s="52" customFormat="1" ht="27" customHeight="1">
      <c r="A160" s="5454"/>
      <c r="B160" s="5452"/>
      <c r="C160" s="3536"/>
      <c r="D160" s="5414" t="s">
        <v>7471</v>
      </c>
      <c r="E160" s="3614"/>
      <c r="F160" s="3047"/>
      <c r="G160" s="3615"/>
      <c r="H160" s="3898"/>
      <c r="I160" s="4101"/>
      <c r="J160" s="3049"/>
      <c r="K160" s="5490"/>
      <c r="L160" s="5490"/>
    </row>
    <row r="161" spans="1:32" s="52" customFormat="1" ht="13.5" customHeight="1">
      <c r="A161" s="5429">
        <v>46</v>
      </c>
      <c r="B161" s="4363">
        <v>742</v>
      </c>
      <c r="C161" s="3536" t="s">
        <v>7472</v>
      </c>
      <c r="D161" s="5455" t="s">
        <v>7473</v>
      </c>
      <c r="E161" s="3610" t="s">
        <v>155</v>
      </c>
      <c r="F161" s="5371">
        <f>SUM(F163:F166)</f>
        <v>142</v>
      </c>
      <c r="G161" s="3542"/>
      <c r="H161" s="3975">
        <f t="shared" ref="H161" si="36">ROUND(F161*G161,2)</f>
        <v>0</v>
      </c>
      <c r="I161" s="3937"/>
      <c r="J161" s="3049" t="s">
        <v>60</v>
      </c>
      <c r="K161" s="3663"/>
      <c r="L161" s="3664"/>
      <c r="R161" s="5034"/>
    </row>
    <row r="162" spans="1:32" s="52" customFormat="1" ht="13.5" customHeight="1">
      <c r="A162" s="3237"/>
      <c r="B162" s="5456"/>
      <c r="C162" s="3536"/>
      <c r="D162" s="5420" t="s">
        <v>7474</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6532</v>
      </c>
      <c r="E163" s="3610"/>
      <c r="F163" s="3611">
        <v>37</v>
      </c>
      <c r="G163" s="3542"/>
      <c r="H163" s="3916"/>
      <c r="I163" s="3937"/>
      <c r="J163" s="3049"/>
      <c r="K163" s="5497"/>
      <c r="M163" s="5273"/>
      <c r="U163" s="5495"/>
    </row>
    <row r="164" spans="1:32" s="1061" customFormat="1" ht="13.5" customHeight="1">
      <c r="A164" s="3237"/>
      <c r="B164" s="3536"/>
      <c r="C164" s="3536"/>
      <c r="D164" s="5420" t="s">
        <v>6528</v>
      </c>
      <c r="E164" s="3610"/>
      <c r="F164" s="3611">
        <v>30</v>
      </c>
      <c r="G164" s="3542"/>
      <c r="H164" s="3916"/>
      <c r="I164" s="3937"/>
      <c r="J164" s="3049"/>
      <c r="K164" s="3663"/>
      <c r="L164" s="3664"/>
      <c r="R164" s="5034"/>
    </row>
    <row r="165" spans="1:32" s="1061" customFormat="1" ht="13.5" customHeight="1">
      <c r="A165" s="3237"/>
      <c r="B165" s="3536"/>
      <c r="C165" s="3536"/>
      <c r="D165" s="5420" t="s">
        <v>6529</v>
      </c>
      <c r="E165" s="3610"/>
      <c r="F165" s="3611">
        <v>32</v>
      </c>
      <c r="G165" s="3542"/>
      <c r="H165" s="3916"/>
      <c r="I165" s="3937"/>
      <c r="J165" s="3049"/>
      <c r="K165" s="5497"/>
      <c r="S165" s="1091"/>
    </row>
    <row r="166" spans="1:32" s="1061" customFormat="1" ht="13.5" customHeight="1">
      <c r="A166" s="3237"/>
      <c r="B166" s="3536"/>
      <c r="C166" s="3536"/>
      <c r="D166" s="5420" t="s">
        <v>6530</v>
      </c>
      <c r="E166" s="3610"/>
      <c r="F166" s="3611">
        <v>43</v>
      </c>
      <c r="G166" s="3542"/>
      <c r="H166" s="3916"/>
      <c r="I166" s="3937"/>
      <c r="J166" s="3049"/>
      <c r="K166" s="5497"/>
    </row>
    <row r="167" spans="1:32" s="52" customFormat="1" ht="13.5" customHeight="1">
      <c r="A167" s="3237"/>
      <c r="B167" s="4363"/>
      <c r="C167" s="3536"/>
      <c r="D167" s="5414" t="s">
        <v>7475</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7476</v>
      </c>
      <c r="D168" s="5455" t="s">
        <v>7477</v>
      </c>
      <c r="E168" s="3610" t="s">
        <v>155</v>
      </c>
      <c r="F168" s="5371">
        <f>SUM(F170:F173)</f>
        <v>111</v>
      </c>
      <c r="G168" s="3542"/>
      <c r="H168" s="3975">
        <f t="shared" ref="H168" si="37">ROUND(F168*G168,2)</f>
        <v>0</v>
      </c>
      <c r="I168" s="3937"/>
      <c r="J168" s="3049" t="s">
        <v>60</v>
      </c>
      <c r="K168" s="5492"/>
      <c r="L168" s="3664"/>
      <c r="O168" s="4723"/>
    </row>
    <row r="169" spans="1:32" s="52" customFormat="1" ht="13.5" customHeight="1">
      <c r="A169" s="3237"/>
      <c r="B169" s="5456"/>
      <c r="C169" s="3536"/>
      <c r="D169" s="5420" t="s">
        <v>7478</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6532</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6528</v>
      </c>
      <c r="E171" s="3610"/>
      <c r="F171" s="3611">
        <v>29</v>
      </c>
      <c r="G171" s="3542"/>
      <c r="H171" s="3916"/>
      <c r="I171" s="3937"/>
      <c r="J171" s="3049"/>
      <c r="K171" s="5497"/>
    </row>
    <row r="172" spans="1:32" s="1061" customFormat="1" ht="13.5" customHeight="1">
      <c r="A172" s="3237"/>
      <c r="B172" s="3536"/>
      <c r="C172" s="3536"/>
      <c r="D172" s="5420" t="s">
        <v>6529</v>
      </c>
      <c r="E172" s="3610"/>
      <c r="F172" s="3611">
        <v>31</v>
      </c>
      <c r="G172" s="3542"/>
      <c r="H172" s="3916"/>
      <c r="I172" s="3937"/>
      <c r="J172" s="3049"/>
      <c r="K172" s="5497"/>
      <c r="S172" s="1091"/>
    </row>
    <row r="173" spans="1:32" s="1061" customFormat="1" ht="13.5" customHeight="1">
      <c r="A173" s="3237"/>
      <c r="B173" s="3536"/>
      <c r="C173" s="3536"/>
      <c r="D173" s="5420" t="s">
        <v>6530</v>
      </c>
      <c r="E173" s="3610"/>
      <c r="F173" s="3611">
        <v>31</v>
      </c>
      <c r="G173" s="3542"/>
      <c r="H173" s="3916"/>
      <c r="I173" s="3937"/>
      <c r="J173" s="3049"/>
      <c r="K173" s="5497"/>
    </row>
    <row r="174" spans="1:32" s="52" customFormat="1" ht="27" customHeight="1">
      <c r="A174" s="3237"/>
      <c r="B174" s="4363"/>
      <c r="C174" s="3536"/>
      <c r="D174" s="5414" t="s">
        <v>7479</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7480</v>
      </c>
      <c r="D175" s="5455" t="s">
        <v>7481</v>
      </c>
      <c r="E175" s="3610" t="s">
        <v>155</v>
      </c>
      <c r="F175" s="5371">
        <f>SUM(F177:F180)</f>
        <v>27</v>
      </c>
      <c r="G175" s="3542"/>
      <c r="H175" s="3975">
        <f t="shared" ref="H175" si="38">ROUND(F175*G175,2)</f>
        <v>0</v>
      </c>
      <c r="I175" s="3937"/>
      <c r="J175" s="3049" t="s">
        <v>60</v>
      </c>
      <c r="K175" s="3663"/>
      <c r="L175" s="3664"/>
      <c r="O175" s="4723"/>
      <c r="P175" s="4723"/>
      <c r="R175" s="5034"/>
    </row>
    <row r="176" spans="1:32" s="52" customFormat="1" ht="13.5" customHeight="1">
      <c r="A176" s="3237"/>
      <c r="B176" s="5456"/>
      <c r="C176" s="3536"/>
      <c r="D176" s="5420" t="s">
        <v>7482</v>
      </c>
      <c r="E176" s="3610"/>
      <c r="F176" s="5371"/>
      <c r="G176" s="3542"/>
      <c r="H176" s="3916"/>
      <c r="I176" s="3937"/>
      <c r="J176" s="3049"/>
      <c r="K176" s="2584"/>
      <c r="M176" s="3662"/>
      <c r="R176" s="5034"/>
      <c r="X176" s="5495"/>
    </row>
    <row r="177" spans="1:21" s="1061" customFormat="1" ht="13.5" customHeight="1">
      <c r="A177" s="3237"/>
      <c r="B177" s="3536"/>
      <c r="C177" s="3536"/>
      <c r="D177" s="5420" t="s">
        <v>6532</v>
      </c>
      <c r="E177" s="3610"/>
      <c r="F177" s="3611">
        <v>4</v>
      </c>
      <c r="G177" s="3542"/>
      <c r="H177" s="3916"/>
      <c r="I177" s="3937"/>
      <c r="J177" s="3049"/>
      <c r="K177" s="5497"/>
    </row>
    <row r="178" spans="1:21" s="1061" customFormat="1" ht="13.5" customHeight="1">
      <c r="A178" s="3237"/>
      <c r="B178" s="3536"/>
      <c r="C178" s="3536"/>
      <c r="D178" s="5420" t="s">
        <v>6528</v>
      </c>
      <c r="E178" s="3610"/>
      <c r="F178" s="3611">
        <v>10</v>
      </c>
      <c r="G178" s="3542"/>
      <c r="H178" s="3916"/>
      <c r="I178" s="3937"/>
      <c r="J178" s="3049"/>
      <c r="K178" s="5497"/>
    </row>
    <row r="179" spans="1:21" s="1061" customFormat="1" ht="13.5" customHeight="1">
      <c r="A179" s="3237"/>
      <c r="B179" s="3536"/>
      <c r="C179" s="3536"/>
      <c r="D179" s="5420" t="s">
        <v>6529</v>
      </c>
      <c r="E179" s="3610"/>
      <c r="F179" s="3611">
        <v>7</v>
      </c>
      <c r="G179" s="3542"/>
      <c r="H179" s="3916"/>
      <c r="I179" s="3937"/>
      <c r="J179" s="3049"/>
      <c r="K179" s="5497"/>
    </row>
    <row r="180" spans="1:21" s="1061" customFormat="1" ht="13.5" customHeight="1">
      <c r="A180" s="3237"/>
      <c r="B180" s="3536"/>
      <c r="C180" s="3536"/>
      <c r="D180" s="5420" t="s">
        <v>6530</v>
      </c>
      <c r="E180" s="3610"/>
      <c r="F180" s="3611">
        <v>6</v>
      </c>
      <c r="G180" s="3542"/>
      <c r="H180" s="3916"/>
      <c r="I180" s="3937"/>
      <c r="J180" s="3049"/>
      <c r="K180" s="5497"/>
    </row>
    <row r="181" spans="1:21" s="52" customFormat="1" ht="13.5" customHeight="1">
      <c r="A181" s="3237"/>
      <c r="B181" s="5457"/>
      <c r="C181" s="3536"/>
      <c r="D181" s="5414" t="s">
        <v>7475</v>
      </c>
      <c r="E181" s="3610"/>
      <c r="F181" s="3047"/>
      <c r="G181" s="3542"/>
      <c r="H181" s="3916"/>
      <c r="I181" s="3937"/>
      <c r="J181" s="3049"/>
      <c r="K181" s="5497"/>
    </row>
    <row r="182" spans="1:21" s="52" customFormat="1" ht="13.5" customHeight="1">
      <c r="A182" s="5458">
        <v>49</v>
      </c>
      <c r="B182" s="4363">
        <v>742</v>
      </c>
      <c r="C182" s="3536" t="s">
        <v>7483</v>
      </c>
      <c r="D182" s="5455" t="s">
        <v>7484</v>
      </c>
      <c r="E182" s="3610" t="s">
        <v>155</v>
      </c>
      <c r="F182" s="5371">
        <f>SUM(F184:F188)</f>
        <v>82</v>
      </c>
      <c r="G182" s="5432"/>
      <c r="H182" s="3975">
        <f t="shared" ref="H182" si="39">ROUND(F182*G182,2)</f>
        <v>0</v>
      </c>
      <c r="I182" s="4106"/>
      <c r="J182" s="3049" t="s">
        <v>60</v>
      </c>
      <c r="K182" s="5498"/>
      <c r="L182" s="5498"/>
    </row>
    <row r="183" spans="1:21" s="52" customFormat="1" ht="13.5" customHeight="1">
      <c r="A183" s="5458"/>
      <c r="B183" s="4363"/>
      <c r="C183" s="3536"/>
      <c r="D183" s="5414" t="s">
        <v>7485</v>
      </c>
      <c r="E183" s="3610"/>
      <c r="F183" s="5371"/>
      <c r="G183" s="5432"/>
      <c r="H183" s="4087"/>
      <c r="I183" s="4106"/>
      <c r="J183" s="3049"/>
      <c r="K183" s="5498"/>
      <c r="L183" s="5498"/>
    </row>
    <row r="184" spans="1:21" s="52" customFormat="1" ht="13.5" customHeight="1">
      <c r="A184" s="5458"/>
      <c r="B184" s="4363"/>
      <c r="C184" s="3536"/>
      <c r="D184" s="5420" t="s">
        <v>6532</v>
      </c>
      <c r="E184" s="3610"/>
      <c r="F184" s="3047">
        <v>10</v>
      </c>
      <c r="G184" s="5432"/>
      <c r="H184" s="4087"/>
      <c r="I184" s="4106"/>
      <c r="J184" s="3049"/>
      <c r="K184" s="5498"/>
      <c r="L184" s="5498"/>
    </row>
    <row r="185" spans="1:21" s="52" customFormat="1" ht="13.5" customHeight="1">
      <c r="A185" s="5458"/>
      <c r="B185" s="4363"/>
      <c r="C185" s="3536"/>
      <c r="D185" s="5420" t="s">
        <v>6528</v>
      </c>
      <c r="E185" s="3610"/>
      <c r="F185" s="3047">
        <v>19</v>
      </c>
      <c r="G185" s="5432"/>
      <c r="H185" s="4087"/>
      <c r="I185" s="4106"/>
      <c r="J185" s="3049"/>
      <c r="K185" s="3663"/>
      <c r="L185" s="3664"/>
      <c r="O185" s="4723"/>
    </row>
    <row r="186" spans="1:21" s="52" customFormat="1" ht="13.5" customHeight="1">
      <c r="A186" s="5458"/>
      <c r="B186" s="4363"/>
      <c r="C186" s="3536"/>
      <c r="D186" s="5420" t="s">
        <v>6529</v>
      </c>
      <c r="E186" s="3610"/>
      <c r="F186" s="3047">
        <v>23</v>
      </c>
      <c r="G186" s="5432"/>
      <c r="H186" s="4087"/>
      <c r="I186" s="4106"/>
      <c r="J186" s="3049"/>
      <c r="K186" s="2561"/>
      <c r="L186" s="5490"/>
      <c r="R186" s="4723"/>
      <c r="U186" s="5495"/>
    </row>
    <row r="187" spans="1:21" s="52" customFormat="1" ht="13.5" customHeight="1">
      <c r="A187" s="5458"/>
      <c r="B187" s="4363"/>
      <c r="C187" s="3536"/>
      <c r="D187" s="5420" t="s">
        <v>6530</v>
      </c>
      <c r="E187" s="3610"/>
      <c r="F187" s="3047">
        <v>27</v>
      </c>
      <c r="G187" s="5432"/>
      <c r="H187" s="4087"/>
      <c r="I187" s="4106"/>
      <c r="J187" s="3049"/>
      <c r="K187" s="5498"/>
      <c r="L187" s="5498"/>
    </row>
    <row r="188" spans="1:21" s="52" customFormat="1" ht="13.5" customHeight="1">
      <c r="A188" s="5458"/>
      <c r="B188" s="4363"/>
      <c r="C188" s="3536"/>
      <c r="D188" s="5420" t="s">
        <v>7486</v>
      </c>
      <c r="E188" s="3610"/>
      <c r="F188" s="3047">
        <v>3</v>
      </c>
      <c r="G188" s="5432"/>
      <c r="H188" s="4087"/>
      <c r="I188" s="4106"/>
      <c r="J188" s="3049"/>
      <c r="K188" s="5499"/>
      <c r="L188" s="5498"/>
    </row>
    <row r="189" spans="1:21" s="52" customFormat="1" ht="27" customHeight="1">
      <c r="A189" s="5457"/>
      <c r="B189" s="5457"/>
      <c r="C189" s="3536"/>
      <c r="D189" s="5414" t="s">
        <v>7487</v>
      </c>
      <c r="E189" s="3610"/>
      <c r="F189" s="3047"/>
      <c r="G189" s="5432"/>
      <c r="H189" s="4087"/>
      <c r="I189" s="4106"/>
      <c r="J189" s="3049"/>
      <c r="K189" s="5498"/>
      <c r="L189" s="5498"/>
    </row>
    <row r="190" spans="1:21" s="52" customFormat="1" ht="13.5" customHeight="1">
      <c r="A190" s="5458">
        <v>50</v>
      </c>
      <c r="B190" s="5452">
        <v>742</v>
      </c>
      <c r="C190" s="3536" t="s">
        <v>7488</v>
      </c>
      <c r="D190" s="5455" t="s">
        <v>7489</v>
      </c>
      <c r="E190" s="3610" t="s">
        <v>155</v>
      </c>
      <c r="F190" s="5451">
        <f>SUM(F191)</f>
        <v>1</v>
      </c>
      <c r="G190" s="3615"/>
      <c r="H190" s="3975">
        <f t="shared" ref="H190" si="40">ROUND(F190*G190,2)</f>
        <v>0</v>
      </c>
      <c r="I190" s="4106"/>
      <c r="J190" s="3049" t="s">
        <v>60</v>
      </c>
      <c r="K190" s="3663"/>
      <c r="L190" s="3664"/>
      <c r="O190" s="4723"/>
      <c r="S190" s="5495"/>
    </row>
    <row r="191" spans="1:21" s="52" customFormat="1" ht="13.5" customHeight="1">
      <c r="A191" s="5458"/>
      <c r="B191" s="4363"/>
      <c r="C191" s="3536"/>
      <c r="D191" s="5414" t="s">
        <v>7490</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7491</v>
      </c>
      <c r="E192" s="3610"/>
      <c r="F192" s="2562"/>
      <c r="G192" s="5432"/>
      <c r="H192" s="4087"/>
      <c r="I192" s="4106"/>
      <c r="J192" s="3049"/>
      <c r="Q192" s="4723"/>
      <c r="S192" s="5495"/>
      <c r="U192" s="5495"/>
    </row>
    <row r="193" spans="1:24" s="52" customFormat="1" ht="13.5" customHeight="1">
      <c r="A193" s="5429">
        <v>51</v>
      </c>
      <c r="B193" s="5452">
        <v>742</v>
      </c>
      <c r="C193" s="3536" t="s">
        <v>7492</v>
      </c>
      <c r="D193" s="5430" t="s">
        <v>7493</v>
      </c>
      <c r="E193" s="3614" t="s">
        <v>155</v>
      </c>
      <c r="F193" s="5451">
        <f>SUM(F195:F197)</f>
        <v>4</v>
      </c>
      <c r="G193" s="3615"/>
      <c r="H193" s="3975">
        <f t="shared" ref="H193" si="41">ROUND(F193*G193,2)</f>
        <v>0</v>
      </c>
      <c r="I193" s="4101"/>
      <c r="J193" s="3049" t="s">
        <v>60</v>
      </c>
      <c r="K193" s="3663"/>
      <c r="L193" s="3664"/>
      <c r="O193" s="4723"/>
      <c r="U193" s="5495"/>
    </row>
    <row r="194" spans="1:24" s="52" customFormat="1" ht="13.5" customHeight="1">
      <c r="A194" s="3237"/>
      <c r="B194" s="5456"/>
      <c r="C194" s="3536"/>
      <c r="D194" s="5420" t="s">
        <v>7494</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6528</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6529</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6530</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7491</v>
      </c>
      <c r="E198" s="3614"/>
      <c r="F198" s="3047"/>
      <c r="G198" s="3615"/>
      <c r="H198" s="3898"/>
      <c r="I198" s="4101"/>
      <c r="J198" s="3049"/>
      <c r="K198" s="2561"/>
      <c r="L198" s="5490"/>
      <c r="U198" s="5495"/>
    </row>
    <row r="199" spans="1:24" s="52" customFormat="1" ht="13.5" customHeight="1">
      <c r="A199" s="5429">
        <v>52</v>
      </c>
      <c r="B199" s="5452">
        <v>742</v>
      </c>
      <c r="C199" s="3536" t="s">
        <v>7495</v>
      </c>
      <c r="D199" s="5413" t="s">
        <v>7496</v>
      </c>
      <c r="E199" s="3610" t="s">
        <v>155</v>
      </c>
      <c r="F199" s="5371">
        <f>SUM(F201:F201)</f>
        <v>5</v>
      </c>
      <c r="G199" s="3048"/>
      <c r="H199" s="3975">
        <f t="shared" ref="H199" si="42">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7497</v>
      </c>
      <c r="E200" s="3610"/>
      <c r="F200" s="3047"/>
      <c r="G200" s="3048"/>
      <c r="H200" s="4082"/>
      <c r="I200" s="4096"/>
      <c r="J200" s="3049"/>
      <c r="K200" s="5501"/>
      <c r="L200" s="5502"/>
      <c r="R200" s="5034"/>
      <c r="U200" s="5495"/>
    </row>
    <row r="201" spans="1:24" s="52" customFormat="1" ht="13.5" customHeight="1">
      <c r="A201" s="5454"/>
      <c r="B201" s="5452"/>
      <c r="C201" s="3536"/>
      <c r="D201" s="5420" t="s">
        <v>6532</v>
      </c>
      <c r="E201" s="3046"/>
      <c r="F201" s="3047">
        <v>5</v>
      </c>
      <c r="G201" s="3048"/>
      <c r="H201" s="4082"/>
      <c r="I201" s="4096"/>
      <c r="J201" s="3049"/>
      <c r="K201" s="2561"/>
      <c r="L201" s="5490"/>
      <c r="U201" s="5495"/>
    </row>
    <row r="202" spans="1:24" s="52" customFormat="1" ht="13.5" customHeight="1">
      <c r="A202" s="5454"/>
      <c r="B202" s="5452"/>
      <c r="C202" s="3536"/>
      <c r="D202" s="4364" t="s">
        <v>7498</v>
      </c>
      <c r="E202" s="3046"/>
      <c r="F202" s="3047"/>
      <c r="G202" s="3048"/>
      <c r="H202" s="4082"/>
      <c r="I202" s="4096"/>
      <c r="J202" s="3049"/>
      <c r="K202" s="2561"/>
      <c r="L202" s="5490"/>
      <c r="U202" s="5495"/>
    </row>
    <row r="203" spans="1:24" s="52" customFormat="1" ht="13.5" customHeight="1">
      <c r="A203" s="5429">
        <v>53</v>
      </c>
      <c r="B203" s="5452">
        <v>742</v>
      </c>
      <c r="C203" s="3536" t="s">
        <v>7499</v>
      </c>
      <c r="D203" s="5413" t="s">
        <v>10445</v>
      </c>
      <c r="E203" s="3610" t="s">
        <v>141</v>
      </c>
      <c r="F203" s="5371">
        <f>SUM(F205:F205)</f>
        <v>80</v>
      </c>
      <c r="G203" s="3048"/>
      <c r="H203" s="3975">
        <f t="shared" ref="H203" si="43">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10446</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6532</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10452</v>
      </c>
      <c r="E206" s="3046"/>
      <c r="F206" s="3047"/>
      <c r="G206" s="3048"/>
      <c r="H206" s="4082"/>
      <c r="I206" s="4096"/>
      <c r="J206" s="3049"/>
      <c r="K206" s="2561"/>
      <c r="L206" s="5490"/>
      <c r="U206" s="5495"/>
    </row>
    <row r="207" spans="1:24" s="52" customFormat="1" ht="13.5" customHeight="1">
      <c r="A207" s="5429">
        <v>54</v>
      </c>
      <c r="B207" s="5452">
        <v>742</v>
      </c>
      <c r="C207" s="3536" t="s">
        <v>10449</v>
      </c>
      <c r="D207" s="5413" t="s">
        <v>10447</v>
      </c>
      <c r="E207" s="3610" t="s">
        <v>155</v>
      </c>
      <c r="F207" s="5371">
        <f>SUM(F209:F209)</f>
        <v>1</v>
      </c>
      <c r="G207" s="3048"/>
      <c r="H207" s="3975">
        <f t="shared" ref="H207" si="44">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10448</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6532</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10451</v>
      </c>
      <c r="E210" s="3046"/>
      <c r="F210" s="3047"/>
      <c r="G210" s="3048"/>
      <c r="H210" s="4082"/>
      <c r="I210" s="4096"/>
      <c r="J210" s="3049"/>
      <c r="K210" s="2561"/>
      <c r="L210" s="5490"/>
      <c r="U210" s="5495"/>
    </row>
    <row r="211" spans="1:23" s="52" customFormat="1" ht="13.5" customHeight="1">
      <c r="A211" s="5429">
        <v>55</v>
      </c>
      <c r="B211" s="5452">
        <v>742</v>
      </c>
      <c r="C211" s="3536" t="s">
        <v>10563</v>
      </c>
      <c r="D211" s="5413" t="s">
        <v>10465</v>
      </c>
      <c r="E211" s="3610" t="s">
        <v>155</v>
      </c>
      <c r="F211" s="5371">
        <f>SUM(F212)</f>
        <v>13</v>
      </c>
      <c r="G211" s="3048"/>
      <c r="H211" s="3975">
        <f t="shared" ref="H211" si="45">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10655</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10453</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10564</v>
      </c>
      <c r="D214" s="5413" t="s">
        <v>10656</v>
      </c>
      <c r="E214" s="3610" t="s">
        <v>141</v>
      </c>
      <c r="F214" s="5371">
        <f>F215</f>
        <v>4000</v>
      </c>
      <c r="G214" s="3048"/>
      <c r="H214" s="3975">
        <f t="shared" ref="H214" si="46">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7500</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7146</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10565</v>
      </c>
      <c r="D217" s="5413" t="s">
        <v>10657</v>
      </c>
      <c r="E217" s="3610" t="s">
        <v>141</v>
      </c>
      <c r="F217" s="5371">
        <f>F218</f>
        <v>500</v>
      </c>
      <c r="G217" s="3048"/>
      <c r="H217" s="3975">
        <f t="shared" ref="H217" si="47">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7500</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7146</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7501</v>
      </c>
      <c r="D220" s="5421" t="s">
        <v>7167</v>
      </c>
      <c r="E220" s="3240" t="s">
        <v>23</v>
      </c>
      <c r="F220" s="5368">
        <f>SUM(F221)</f>
        <v>1</v>
      </c>
      <c r="G220" s="3052"/>
      <c r="H220" s="3975">
        <f t="shared" ref="H220" si="48">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7525</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10654</v>
      </c>
      <c r="E222" s="3240"/>
      <c r="F222" s="5314"/>
      <c r="G222" s="3238"/>
      <c r="H222" s="4080"/>
      <c r="I222" s="4098"/>
      <c r="J222" s="3239"/>
      <c r="K222" s="2472"/>
    </row>
    <row r="223" spans="1:23" s="2560" customFormat="1" ht="108" customHeight="1">
      <c r="A223" s="3242"/>
      <c r="B223" s="3240"/>
      <c r="C223" s="3240"/>
      <c r="D223" s="3252" t="s">
        <v>10658</v>
      </c>
      <c r="E223" s="3240"/>
      <c r="F223" s="3253"/>
      <c r="G223" s="3238"/>
      <c r="H223" s="4080"/>
      <c r="I223" s="4098"/>
      <c r="J223" s="4365"/>
      <c r="K223" s="5357"/>
      <c r="L223" s="2563"/>
    </row>
    <row r="224" spans="1:23" s="2560" customFormat="1" ht="13.5" customHeight="1">
      <c r="A224" s="3525">
        <v>59</v>
      </c>
      <c r="B224" s="4363">
        <v>742</v>
      </c>
      <c r="C224" s="3536" t="s">
        <v>7502</v>
      </c>
      <c r="D224" s="5421" t="s">
        <v>7170</v>
      </c>
      <c r="E224" s="3240" t="s">
        <v>23</v>
      </c>
      <c r="F224" s="5368">
        <f>SUM(F225)</f>
        <v>1</v>
      </c>
      <c r="G224" s="3052"/>
      <c r="H224" s="3975">
        <f t="shared" ref="H224" si="49">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7527</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8378</v>
      </c>
      <c r="E226" s="3240"/>
      <c r="F226" s="5314"/>
      <c r="G226" s="3238"/>
      <c r="H226" s="4080"/>
      <c r="I226" s="4098"/>
      <c r="J226" s="3239"/>
      <c r="K226" s="2472"/>
    </row>
    <row r="227" spans="1:21" s="1061" customFormat="1" ht="13.5" customHeight="1">
      <c r="A227" s="3525">
        <v>60</v>
      </c>
      <c r="B227" s="4363">
        <v>742</v>
      </c>
      <c r="C227" s="3536" t="s">
        <v>10450</v>
      </c>
      <c r="D227" s="5413" t="s">
        <v>7534</v>
      </c>
      <c r="E227" s="5373" t="s">
        <v>23</v>
      </c>
      <c r="F227" s="3050">
        <v>1</v>
      </c>
      <c r="G227" s="3052"/>
      <c r="H227" s="3975">
        <f t="shared" ref="H227:H229" si="50">ROUND(F227*G227,2)</f>
        <v>0</v>
      </c>
      <c r="I227" s="4097"/>
      <c r="J227" s="3049" t="s">
        <v>60</v>
      </c>
    </row>
    <row r="228" spans="1:21" s="3595" customFormat="1" ht="13.5" customHeight="1">
      <c r="A228" s="5424">
        <v>61</v>
      </c>
      <c r="B228" s="5425">
        <v>742</v>
      </c>
      <c r="C228" s="5418">
        <v>998742203</v>
      </c>
      <c r="D228" s="5426" t="s">
        <v>7418</v>
      </c>
      <c r="E228" s="3622" t="s">
        <v>8</v>
      </c>
      <c r="F228" s="3623">
        <v>0.81</v>
      </c>
      <c r="G228" s="3597"/>
      <c r="H228" s="3975">
        <f t="shared" si="50"/>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 t="shared" si="50"/>
        <v>0</v>
      </c>
      <c r="I229" s="4100"/>
      <c r="J229" s="3624" t="s">
        <v>142</v>
      </c>
      <c r="K229" s="4728"/>
      <c r="L229" s="4729"/>
      <c r="M229" s="4730"/>
      <c r="N229" s="3598"/>
      <c r="O229" s="3598"/>
      <c r="P229" s="3598"/>
    </row>
    <row r="230" spans="1:21" s="3596" customFormat="1" ht="13.5" customHeight="1">
      <c r="A230" s="5417"/>
      <c r="B230" s="5418"/>
      <c r="C230" s="5419"/>
      <c r="D230" s="5427" t="s">
        <v>7419</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7420</v>
      </c>
      <c r="E231" s="3599"/>
      <c r="F231" s="3600"/>
      <c r="G231" s="3597"/>
      <c r="H231" s="3899"/>
      <c r="I231" s="4100"/>
      <c r="J231" s="3601"/>
      <c r="K231" s="5486"/>
      <c r="L231" s="2290"/>
    </row>
    <row r="232" spans="1:21" s="2549" customFormat="1" ht="13.5" customHeight="1">
      <c r="A232" s="3237"/>
      <c r="B232" s="3521"/>
      <c r="C232" s="3521">
        <v>742</v>
      </c>
      <c r="D232" s="5445" t="s">
        <v>7503</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7504</v>
      </c>
      <c r="D233" s="5447" t="s">
        <v>7505</v>
      </c>
      <c r="E233" s="3610" t="s">
        <v>155</v>
      </c>
      <c r="F233" s="5371">
        <f>F235</f>
        <v>1</v>
      </c>
      <c r="G233" s="5432"/>
      <c r="H233" s="3975">
        <f t="shared" ref="H233" si="51">ROUND(F233*G233,2)</f>
        <v>0</v>
      </c>
      <c r="I233" s="4106"/>
      <c r="J233" s="3049" t="s">
        <v>60</v>
      </c>
      <c r="K233" s="3663"/>
      <c r="L233" s="5484"/>
    </row>
    <row r="234" spans="1:21" s="1061" customFormat="1" ht="13.5" customHeight="1">
      <c r="A234" s="5429"/>
      <c r="B234" s="4363"/>
      <c r="C234" s="3536"/>
      <c r="D234" s="5414" t="s">
        <v>7506</v>
      </c>
      <c r="E234" s="3610"/>
      <c r="F234" s="5371"/>
      <c r="G234" s="5432"/>
      <c r="H234" s="4087"/>
      <c r="I234" s="4106"/>
      <c r="J234" s="3049"/>
    </row>
    <row r="235" spans="1:21" s="1061" customFormat="1" ht="13.5" customHeight="1">
      <c r="A235" s="3237"/>
      <c r="B235" s="3536"/>
      <c r="C235" s="3536"/>
      <c r="D235" s="5420" t="s">
        <v>6532</v>
      </c>
      <c r="E235" s="3610"/>
      <c r="F235" s="3611">
        <v>1</v>
      </c>
      <c r="G235" s="3052"/>
      <c r="H235" s="4082"/>
      <c r="I235" s="4096"/>
      <c r="J235" s="3049"/>
      <c r="K235" s="5497"/>
      <c r="R235" s="4723"/>
    </row>
    <row r="236" spans="1:21" s="1061" customFormat="1" ht="27" customHeight="1">
      <c r="A236" s="5429"/>
      <c r="B236" s="4363"/>
      <c r="C236" s="3536"/>
      <c r="D236" s="5414" t="s">
        <v>10454</v>
      </c>
      <c r="E236" s="3610"/>
      <c r="F236" s="3047"/>
      <c r="G236" s="5432"/>
      <c r="H236" s="4569"/>
      <c r="I236" s="4570"/>
      <c r="J236" s="3049"/>
    </row>
    <row r="237" spans="1:21" s="1061" customFormat="1" ht="27" customHeight="1">
      <c r="A237" s="3638"/>
      <c r="B237" s="3521"/>
      <c r="C237" s="5459"/>
      <c r="D237" s="5414" t="s">
        <v>7507</v>
      </c>
      <c r="E237" s="3610"/>
      <c r="F237" s="5460"/>
      <c r="G237" s="5432"/>
      <c r="H237" s="4087"/>
      <c r="I237" s="4106"/>
      <c r="J237" s="3563"/>
    </row>
    <row r="238" spans="1:21" s="1061" customFormat="1" ht="13.5" customHeight="1">
      <c r="A238" s="5429">
        <v>64</v>
      </c>
      <c r="B238" s="4363">
        <v>742</v>
      </c>
      <c r="C238" s="3536" t="s">
        <v>7508</v>
      </c>
      <c r="D238" s="5455" t="s">
        <v>7509</v>
      </c>
      <c r="E238" s="3610" t="s">
        <v>155</v>
      </c>
      <c r="F238" s="5371">
        <f>SUM(F240:F242)</f>
        <v>3</v>
      </c>
      <c r="G238" s="3597"/>
      <c r="H238" s="3975">
        <f t="shared" ref="H238" si="52">ROUND(F238*G238,2)</f>
        <v>0</v>
      </c>
      <c r="I238" s="4106"/>
      <c r="J238" s="3049" t="s">
        <v>60</v>
      </c>
      <c r="K238" s="5251"/>
      <c r="L238" s="1091"/>
      <c r="M238" s="320"/>
      <c r="N238" s="320"/>
      <c r="O238" s="320"/>
      <c r="Q238" s="320"/>
      <c r="R238" s="4723"/>
    </row>
    <row r="239" spans="1:21" s="1061" customFormat="1" ht="13.5" customHeight="1">
      <c r="A239" s="5429"/>
      <c r="B239" s="5452"/>
      <c r="C239" s="3536"/>
      <c r="D239" s="5420" t="s">
        <v>7510</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6528</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6529</v>
      </c>
      <c r="E241" s="3610"/>
      <c r="F241" s="3611">
        <v>1</v>
      </c>
      <c r="G241" s="3052"/>
      <c r="H241" s="4082"/>
      <c r="I241" s="4096"/>
      <c r="J241" s="3049"/>
      <c r="K241" s="4733"/>
      <c r="L241" s="4734"/>
    </row>
    <row r="242" spans="1:20" s="1061" customFormat="1" ht="13.5" customHeight="1">
      <c r="A242" s="3237"/>
      <c r="B242" s="3536"/>
      <c r="C242" s="3536"/>
      <c r="D242" s="5420" t="s">
        <v>6530</v>
      </c>
      <c r="E242" s="3610"/>
      <c r="F242" s="3611">
        <v>1</v>
      </c>
      <c r="G242" s="3052"/>
      <c r="H242" s="4082"/>
      <c r="I242" s="4096"/>
      <c r="J242" s="3049"/>
      <c r="K242" s="5504"/>
    </row>
    <row r="243" spans="1:20" s="1061" customFormat="1" ht="13.5" customHeight="1">
      <c r="A243" s="3638"/>
      <c r="B243" s="3521"/>
      <c r="C243" s="5459"/>
      <c r="D243" s="5420" t="s">
        <v>7511</v>
      </c>
      <c r="E243" s="3610"/>
      <c r="F243" s="3047"/>
      <c r="G243" s="5432"/>
      <c r="H243" s="4569"/>
      <c r="I243" s="4570"/>
      <c r="J243" s="3563"/>
      <c r="R243" s="5505"/>
    </row>
    <row r="244" spans="1:20" s="1061" customFormat="1" ht="13.5" customHeight="1">
      <c r="A244" s="5429">
        <v>65</v>
      </c>
      <c r="B244" s="4363">
        <v>742</v>
      </c>
      <c r="C244" s="3536" t="s">
        <v>7512</v>
      </c>
      <c r="D244" s="5455" t="s">
        <v>7513</v>
      </c>
      <c r="E244" s="3610" t="s">
        <v>155</v>
      </c>
      <c r="F244" s="5371">
        <f>SUM(F246:F249)</f>
        <v>200</v>
      </c>
      <c r="G244" s="3597"/>
      <c r="H244" s="3975">
        <f t="shared" ref="H244" si="53">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7514</v>
      </c>
      <c r="E245" s="3610"/>
      <c r="F245" s="5371"/>
      <c r="G245" s="5432"/>
      <c r="H245" s="4087"/>
      <c r="I245" s="4106"/>
      <c r="J245" s="3049"/>
      <c r="K245" s="4733"/>
      <c r="L245" s="4734"/>
      <c r="S245" s="4723"/>
      <c r="T245" s="52"/>
    </row>
    <row r="246" spans="1:20" s="1061" customFormat="1" ht="13.5" customHeight="1">
      <c r="A246" s="3638"/>
      <c r="B246" s="3521"/>
      <c r="C246" s="5459"/>
      <c r="D246" s="5420" t="s">
        <v>6532</v>
      </c>
      <c r="E246" s="3610"/>
      <c r="F246" s="3611">
        <v>21</v>
      </c>
      <c r="G246" s="5432"/>
      <c r="H246" s="4090"/>
      <c r="I246" s="4109"/>
      <c r="J246" s="3049"/>
    </row>
    <row r="247" spans="1:20" s="1061" customFormat="1" ht="13.5" customHeight="1">
      <c r="A247" s="3638"/>
      <c r="B247" s="3521"/>
      <c r="C247" s="5459"/>
      <c r="D247" s="5420" t="s">
        <v>6528</v>
      </c>
      <c r="E247" s="3610"/>
      <c r="F247" s="3611">
        <v>61</v>
      </c>
      <c r="G247" s="5432"/>
      <c r="H247" s="4090"/>
      <c r="I247" s="4109"/>
      <c r="J247" s="3563"/>
    </row>
    <row r="248" spans="1:20" s="1061" customFormat="1" ht="13.5" customHeight="1">
      <c r="A248" s="3638"/>
      <c r="B248" s="3521"/>
      <c r="C248" s="5459"/>
      <c r="D248" s="5420" t="s">
        <v>6529</v>
      </c>
      <c r="E248" s="3610"/>
      <c r="F248" s="3611">
        <v>59</v>
      </c>
      <c r="G248" s="5432"/>
      <c r="H248" s="4090"/>
      <c r="I248" s="4109"/>
      <c r="J248" s="3563"/>
    </row>
    <row r="249" spans="1:20" s="1061" customFormat="1" ht="13.5" customHeight="1">
      <c r="A249" s="3638"/>
      <c r="B249" s="3521"/>
      <c r="C249" s="5459"/>
      <c r="D249" s="5420" t="s">
        <v>6530</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7515</v>
      </c>
      <c r="E250" s="3610"/>
      <c r="F250" s="3047"/>
      <c r="G250" s="5432"/>
      <c r="H250" s="4569"/>
      <c r="I250" s="4570"/>
      <c r="J250" s="3563"/>
      <c r="K250" s="3688"/>
      <c r="S250" s="5507"/>
    </row>
    <row r="251" spans="1:20" s="1061" customFormat="1" ht="13.5" customHeight="1">
      <c r="A251" s="5429">
        <v>66</v>
      </c>
      <c r="B251" s="4363">
        <v>742</v>
      </c>
      <c r="C251" s="3536" t="s">
        <v>7516</v>
      </c>
      <c r="D251" s="5455" t="s">
        <v>7517</v>
      </c>
      <c r="E251" s="3610" t="s">
        <v>155</v>
      </c>
      <c r="F251" s="5371">
        <f>SUM(F253:F256)</f>
        <v>55</v>
      </c>
      <c r="G251" s="3597"/>
      <c r="H251" s="3975">
        <f t="shared" ref="H251" si="54">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7518</v>
      </c>
      <c r="E252" s="3610"/>
      <c r="F252" s="5371"/>
      <c r="G252" s="5432"/>
      <c r="H252" s="4088"/>
      <c r="I252" s="4107"/>
      <c r="J252" s="3049"/>
      <c r="K252" s="3663"/>
      <c r="L252" s="3664"/>
      <c r="S252" s="4723"/>
      <c r="T252" s="52"/>
    </row>
    <row r="253" spans="1:20" s="1061" customFormat="1" ht="13.5" customHeight="1">
      <c r="A253" s="3638"/>
      <c r="B253" s="3521"/>
      <c r="C253" s="5459"/>
      <c r="D253" s="5420" t="s">
        <v>6532</v>
      </c>
      <c r="E253" s="3610"/>
      <c r="F253" s="3611">
        <v>17</v>
      </c>
      <c r="G253" s="5432"/>
      <c r="H253" s="4090"/>
      <c r="I253" s="4109"/>
      <c r="J253" s="3049"/>
      <c r="S253" s="5507"/>
    </row>
    <row r="254" spans="1:20" s="1061" customFormat="1" ht="13.5" customHeight="1">
      <c r="A254" s="3638"/>
      <c r="B254" s="3521"/>
      <c r="C254" s="5459"/>
      <c r="D254" s="5420" t="s">
        <v>6528</v>
      </c>
      <c r="E254" s="3610"/>
      <c r="F254" s="3611">
        <v>7</v>
      </c>
      <c r="G254" s="5432"/>
      <c r="H254" s="4090"/>
      <c r="I254" s="4109"/>
      <c r="J254" s="3563"/>
    </row>
    <row r="255" spans="1:20" s="1061" customFormat="1" ht="13.5" customHeight="1">
      <c r="A255" s="3638"/>
      <c r="B255" s="3521"/>
      <c r="C255" s="5459"/>
      <c r="D255" s="5420" t="s">
        <v>6529</v>
      </c>
      <c r="E255" s="3610"/>
      <c r="F255" s="3611">
        <v>16</v>
      </c>
      <c r="G255" s="5432"/>
      <c r="H255" s="4090"/>
      <c r="I255" s="4109"/>
      <c r="J255" s="3563"/>
    </row>
    <row r="256" spans="1:20" s="1061" customFormat="1" ht="13.5" customHeight="1">
      <c r="A256" s="3638"/>
      <c r="B256" s="3521"/>
      <c r="C256" s="5459"/>
      <c r="D256" s="5420" t="s">
        <v>6530</v>
      </c>
      <c r="E256" s="3610"/>
      <c r="F256" s="3611">
        <v>15</v>
      </c>
      <c r="G256" s="5432"/>
      <c r="H256" s="4090"/>
      <c r="I256" s="4109"/>
      <c r="J256" s="3563"/>
    </row>
    <row r="257" spans="1:22" s="1061" customFormat="1" ht="13.5" customHeight="1">
      <c r="A257" s="3638"/>
      <c r="B257" s="3521"/>
      <c r="C257" s="5459"/>
      <c r="D257" s="5414" t="s">
        <v>7515</v>
      </c>
      <c r="E257" s="3610"/>
      <c r="F257" s="3047"/>
      <c r="G257" s="5432"/>
      <c r="H257" s="4089"/>
      <c r="I257" s="4108"/>
      <c r="J257" s="3563"/>
    </row>
    <row r="258" spans="1:22" s="52" customFormat="1" ht="13.5" customHeight="1">
      <c r="A258" s="3525">
        <v>67</v>
      </c>
      <c r="B258" s="4363">
        <v>742</v>
      </c>
      <c r="C258" s="3536" t="s">
        <v>10566</v>
      </c>
      <c r="D258" s="4456" t="s">
        <v>7520</v>
      </c>
      <c r="E258" s="3536" t="s">
        <v>141</v>
      </c>
      <c r="F258" s="5371">
        <f>SUM(F259:F259)</f>
        <v>7700</v>
      </c>
      <c r="G258" s="3048"/>
      <c r="H258" s="3975">
        <f t="shared" ref="H258" si="55">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7521</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7146</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7519</v>
      </c>
      <c r="D261" s="5421" t="s">
        <v>7167</v>
      </c>
      <c r="E261" s="3240" t="s">
        <v>23</v>
      </c>
      <c r="F261" s="5368">
        <f>SUM(F262)</f>
        <v>1</v>
      </c>
      <c r="G261" s="3052"/>
      <c r="H261" s="3975">
        <f t="shared" ref="H261" si="56">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7525</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10654</v>
      </c>
      <c r="E263" s="3240"/>
      <c r="F263" s="5314"/>
      <c r="G263" s="3238"/>
      <c r="H263" s="4080"/>
      <c r="I263" s="4098"/>
      <c r="J263" s="3239"/>
      <c r="K263" s="2472"/>
    </row>
    <row r="264" spans="1:22" s="2560" customFormat="1" ht="94.5" customHeight="1">
      <c r="A264" s="3242"/>
      <c r="B264" s="3240"/>
      <c r="C264" s="3240"/>
      <c r="D264" s="3252" t="s">
        <v>10659</v>
      </c>
      <c r="E264" s="3240"/>
      <c r="F264" s="3253"/>
      <c r="G264" s="3238"/>
      <c r="H264" s="4080"/>
      <c r="I264" s="4098"/>
      <c r="J264" s="3239"/>
      <c r="K264" s="5357"/>
      <c r="L264" s="2563"/>
    </row>
    <row r="265" spans="1:22" s="2560" customFormat="1" ht="13.5" customHeight="1">
      <c r="A265" s="3525">
        <v>69</v>
      </c>
      <c r="B265" s="4363">
        <v>742</v>
      </c>
      <c r="C265" s="3536" t="s">
        <v>7522</v>
      </c>
      <c r="D265" s="5421" t="s">
        <v>7170</v>
      </c>
      <c r="E265" s="3240" t="s">
        <v>23</v>
      </c>
      <c r="F265" s="5368">
        <f>SUM(F266)</f>
        <v>1</v>
      </c>
      <c r="G265" s="3052"/>
      <c r="H265" s="3975">
        <f t="shared" ref="H265" si="57">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7527</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8378</v>
      </c>
      <c r="E267" s="3240"/>
      <c r="F267" s="5314"/>
      <c r="G267" s="3238"/>
      <c r="H267" s="4080"/>
      <c r="I267" s="4098"/>
      <c r="J267" s="3239"/>
      <c r="K267" s="2472"/>
    </row>
    <row r="268" spans="1:22" s="1061" customFormat="1" ht="13.5" customHeight="1">
      <c r="A268" s="3525">
        <v>70</v>
      </c>
      <c r="B268" s="4363">
        <v>742</v>
      </c>
      <c r="C268" s="3536" t="s">
        <v>10567</v>
      </c>
      <c r="D268" s="5413" t="s">
        <v>7534</v>
      </c>
      <c r="E268" s="5373" t="s">
        <v>23</v>
      </c>
      <c r="F268" s="3050">
        <v>1</v>
      </c>
      <c r="G268" s="3052"/>
      <c r="H268" s="3975">
        <f t="shared" ref="H268:H270" si="58">ROUND(F268*G268,2)</f>
        <v>0</v>
      </c>
      <c r="I268" s="4097"/>
      <c r="J268" s="3049" t="s">
        <v>60</v>
      </c>
    </row>
    <row r="269" spans="1:22" s="3595" customFormat="1" ht="13.5" customHeight="1">
      <c r="A269" s="5424">
        <v>71</v>
      </c>
      <c r="B269" s="5425">
        <v>742</v>
      </c>
      <c r="C269" s="5418">
        <v>998742203</v>
      </c>
      <c r="D269" s="5426" t="s">
        <v>7418</v>
      </c>
      <c r="E269" s="3622" t="s">
        <v>8</v>
      </c>
      <c r="F269" s="3623">
        <v>0.81</v>
      </c>
      <c r="G269" s="3597"/>
      <c r="H269" s="3975">
        <f t="shared" si="58"/>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 t="shared" si="58"/>
        <v>0</v>
      </c>
      <c r="I270" s="4100"/>
      <c r="J270" s="3624" t="s">
        <v>142</v>
      </c>
      <c r="K270" s="4728"/>
      <c r="L270" s="4729"/>
      <c r="M270" s="4730"/>
      <c r="N270" s="3598"/>
      <c r="O270" s="3598"/>
      <c r="P270" s="3598"/>
    </row>
    <row r="271" spans="1:22" s="3596" customFormat="1" ht="13.5" customHeight="1">
      <c r="A271" s="5417"/>
      <c r="B271" s="5418"/>
      <c r="C271" s="5419"/>
      <c r="D271" s="5427" t="s">
        <v>7419</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7420</v>
      </c>
      <c r="E272" s="3599"/>
      <c r="F272" s="3600"/>
      <c r="G272" s="3597"/>
      <c r="H272" s="3899"/>
      <c r="I272" s="4100"/>
      <c r="J272" s="3601"/>
      <c r="K272" s="5486"/>
      <c r="L272" s="2290"/>
    </row>
    <row r="273" spans="1:21" s="2549" customFormat="1" ht="13.5" customHeight="1">
      <c r="A273" s="3237"/>
      <c r="B273" s="3521"/>
      <c r="C273" s="3521">
        <v>742</v>
      </c>
      <c r="D273" s="5445" t="s">
        <v>7523</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5590">
        <v>73</v>
      </c>
      <c r="B274" s="4363">
        <v>742</v>
      </c>
      <c r="C274" s="3536" t="s">
        <v>7524</v>
      </c>
      <c r="D274" s="5317" t="s">
        <v>10661</v>
      </c>
      <c r="E274" s="5317" t="s">
        <v>141</v>
      </c>
      <c r="F274" s="5592">
        <f>F275</f>
        <v>178.5</v>
      </c>
      <c r="G274" s="5318"/>
      <c r="H274" s="3975">
        <f t="shared" ref="H274" si="59">ROUND(F274*G274,2)</f>
        <v>0</v>
      </c>
      <c r="I274" s="4116"/>
      <c r="J274" s="2470" t="s">
        <v>60</v>
      </c>
      <c r="K274" s="52"/>
      <c r="L274" s="5057"/>
      <c r="N274" s="3666"/>
      <c r="T274" s="1061"/>
    </row>
    <row r="275" spans="1:21" s="2549" customFormat="1" ht="13.7" customHeight="1">
      <c r="A275" s="3237"/>
      <c r="B275" s="5316"/>
      <c r="C275" s="5317"/>
      <c r="D275" s="5319" t="s">
        <v>11706</v>
      </c>
      <c r="E275" s="5317"/>
      <c r="F275" s="5591">
        <f>(170)*1.05</f>
        <v>178.5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10660</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7526</v>
      </c>
      <c r="D277" s="5461" t="s">
        <v>7529</v>
      </c>
      <c r="E277" s="3240" t="s">
        <v>23</v>
      </c>
      <c r="F277" s="5368">
        <f>SUM(F278)</f>
        <v>1</v>
      </c>
      <c r="G277" s="3052"/>
      <c r="H277" s="3975">
        <f t="shared" ref="H277" si="60">ROUND(F277*G277,2)</f>
        <v>0</v>
      </c>
      <c r="I277" s="4098"/>
      <c r="J277" s="3049" t="s">
        <v>60</v>
      </c>
      <c r="K277" s="2563"/>
      <c r="Q277" s="2474"/>
      <c r="R277" s="2474"/>
      <c r="S277" s="2474"/>
      <c r="T277" s="2474"/>
      <c r="U277" s="2474"/>
    </row>
    <row r="278" spans="1:21" s="2560" customFormat="1" ht="13.5" customHeight="1">
      <c r="A278" s="5422"/>
      <c r="B278" s="5423"/>
      <c r="C278" s="5423"/>
      <c r="D278" s="5320" t="s">
        <v>7530</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7531</v>
      </c>
      <c r="E279" s="3240"/>
      <c r="F279" s="5314"/>
      <c r="G279" s="3238"/>
      <c r="H279" s="4080"/>
      <c r="I279" s="4098"/>
      <c r="J279" s="2470"/>
      <c r="K279" s="2472"/>
    </row>
    <row r="280" spans="1:21" s="2303" customFormat="1" ht="94.5" customHeight="1">
      <c r="A280" s="5322"/>
      <c r="B280" s="5323"/>
      <c r="C280" s="5323"/>
      <c r="D280" s="5324" t="s">
        <v>10553</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7528</v>
      </c>
      <c r="D282" s="5470" t="s">
        <v>10459</v>
      </c>
      <c r="E282" s="5471" t="s">
        <v>23</v>
      </c>
      <c r="F282" s="5472">
        <f>SUM(F285:F292)</f>
        <v>26</v>
      </c>
      <c r="G282" s="5473"/>
      <c r="H282" s="3975">
        <f t="shared" ref="H282" si="61">ROUND(F282*G282,2)</f>
        <v>0</v>
      </c>
      <c r="I282" s="4111"/>
      <c r="J282" s="4321" t="s">
        <v>60</v>
      </c>
      <c r="K282" s="4740"/>
      <c r="M282" s="1562"/>
    </row>
    <row r="283" spans="1:21" s="52" customFormat="1" ht="27" customHeight="1">
      <c r="A283" s="3525"/>
      <c r="B283" s="3536"/>
      <c r="C283" s="3536"/>
      <c r="D283" s="3548" t="s">
        <v>10462</v>
      </c>
      <c r="E283" s="3536"/>
      <c r="F283" s="3530"/>
      <c r="G283" s="3542"/>
      <c r="H283" s="3905"/>
      <c r="I283" s="3926"/>
      <c r="J283" s="4432"/>
      <c r="K283" s="5503"/>
    </row>
    <row r="284" spans="1:21" s="52" customFormat="1" ht="13.5" customHeight="1">
      <c r="A284" s="3525"/>
      <c r="B284" s="3536"/>
      <c r="C284" s="3536"/>
      <c r="D284" s="3548" t="s">
        <v>10460</v>
      </c>
      <c r="E284" s="3536"/>
      <c r="F284" s="3530"/>
      <c r="G284" s="3542"/>
      <c r="H284" s="3905"/>
      <c r="I284" s="3926"/>
      <c r="J284" s="4432"/>
      <c r="K284" s="5503"/>
    </row>
    <row r="285" spans="1:21" s="1061" customFormat="1" ht="13.5" customHeight="1">
      <c r="A285" s="3638"/>
      <c r="B285" s="3521"/>
      <c r="C285" s="5459"/>
      <c r="D285" s="5474" t="s">
        <v>6529</v>
      </c>
      <c r="E285" s="5457"/>
      <c r="F285" s="5475">
        <v>5</v>
      </c>
      <c r="G285" s="5476"/>
      <c r="H285" s="4093"/>
      <c r="I285" s="4112"/>
      <c r="J285" s="4432"/>
    </row>
    <row r="286" spans="1:21" s="1061" customFormat="1" ht="13.5" customHeight="1">
      <c r="A286" s="3638"/>
      <c r="B286" s="3521"/>
      <c r="C286" s="5459"/>
      <c r="D286" s="5474" t="s">
        <v>6530</v>
      </c>
      <c r="E286" s="5457"/>
      <c r="F286" s="5475">
        <v>5</v>
      </c>
      <c r="G286" s="5476"/>
      <c r="H286" s="4093"/>
      <c r="I286" s="4112"/>
      <c r="J286" s="4432"/>
    </row>
    <row r="287" spans="1:21" s="52" customFormat="1" ht="13.5" customHeight="1">
      <c r="A287" s="3525"/>
      <c r="B287" s="3536"/>
      <c r="C287" s="3536"/>
      <c r="D287" s="3548" t="s">
        <v>10461</v>
      </c>
      <c r="E287" s="3536"/>
      <c r="F287" s="3530"/>
      <c r="G287" s="3542"/>
      <c r="H287" s="3905"/>
      <c r="I287" s="3926"/>
      <c r="J287" s="4432"/>
      <c r="K287" s="5503"/>
    </row>
    <row r="288" spans="1:21" s="1061" customFormat="1" ht="13.5" customHeight="1">
      <c r="A288" s="3638"/>
      <c r="B288" s="3521"/>
      <c r="C288" s="5459"/>
      <c r="D288" s="5474" t="s">
        <v>6529</v>
      </c>
      <c r="E288" s="5457"/>
      <c r="F288" s="5475">
        <v>5</v>
      </c>
      <c r="G288" s="5476"/>
      <c r="H288" s="4093"/>
      <c r="I288" s="4112"/>
      <c r="J288" s="4432"/>
    </row>
    <row r="289" spans="1:257" s="1061" customFormat="1" ht="13.5" customHeight="1">
      <c r="A289" s="3638"/>
      <c r="B289" s="3521"/>
      <c r="C289" s="5459"/>
      <c r="D289" s="5474" t="s">
        <v>6530</v>
      </c>
      <c r="E289" s="5457"/>
      <c r="F289" s="5475">
        <v>5</v>
      </c>
      <c r="G289" s="5476"/>
      <c r="H289" s="4093"/>
      <c r="I289" s="4112"/>
      <c r="J289" s="4432"/>
    </row>
    <row r="290" spans="1:257" s="52" customFormat="1" ht="13.5" customHeight="1">
      <c r="A290" s="3525"/>
      <c r="B290" s="3536"/>
      <c r="C290" s="3536"/>
      <c r="D290" s="3548" t="s">
        <v>10463</v>
      </c>
      <c r="E290" s="3536"/>
      <c r="F290" s="3530"/>
      <c r="G290" s="3542"/>
      <c r="H290" s="3905"/>
      <c r="I290" s="3926"/>
      <c r="J290" s="4432"/>
      <c r="K290" s="5503"/>
    </row>
    <row r="291" spans="1:257" s="1061" customFormat="1" ht="13.5" customHeight="1">
      <c r="A291" s="3638"/>
      <c r="B291" s="3521"/>
      <c r="C291" s="5459"/>
      <c r="D291" s="5474" t="s">
        <v>6529</v>
      </c>
      <c r="E291" s="5457"/>
      <c r="F291" s="5475">
        <v>3</v>
      </c>
      <c r="G291" s="5476"/>
      <c r="H291" s="4093"/>
      <c r="I291" s="4112"/>
      <c r="J291" s="4432"/>
    </row>
    <row r="292" spans="1:257" s="1061" customFormat="1" ht="13.5" customHeight="1">
      <c r="A292" s="3638"/>
      <c r="B292" s="3521"/>
      <c r="C292" s="5459"/>
      <c r="D292" s="5474" t="s">
        <v>6530</v>
      </c>
      <c r="E292" s="5457"/>
      <c r="F292" s="5475">
        <v>3</v>
      </c>
      <c r="G292" s="5476"/>
      <c r="H292" s="4093"/>
      <c r="I292" s="4112"/>
      <c r="J292" s="4432"/>
    </row>
    <row r="293" spans="1:257" s="333" customFormat="1" ht="54" customHeight="1">
      <c r="A293" s="5462"/>
      <c r="B293" s="5463"/>
      <c r="C293" s="5464"/>
      <c r="D293" s="5002" t="s">
        <v>10464</v>
      </c>
      <c r="E293" s="5423"/>
      <c r="F293" s="5466"/>
      <c r="G293" s="5467"/>
      <c r="H293" s="4091"/>
      <c r="I293" s="4110"/>
      <c r="J293" s="4452"/>
      <c r="K293" s="469"/>
      <c r="L293" s="470"/>
      <c r="M293" s="471"/>
      <c r="N293" s="699"/>
    </row>
    <row r="294" spans="1:257" s="1061" customFormat="1" ht="13.5" customHeight="1">
      <c r="A294" s="5327">
        <v>76</v>
      </c>
      <c r="B294" s="5477">
        <v>742</v>
      </c>
      <c r="C294" s="3536" t="s">
        <v>7532</v>
      </c>
      <c r="D294" s="3046" t="s">
        <v>10489</v>
      </c>
      <c r="E294" s="3046" t="s">
        <v>23</v>
      </c>
      <c r="F294" s="3527">
        <f>ROUND(SUM(F295),3)</f>
        <v>1</v>
      </c>
      <c r="G294" s="3048"/>
      <c r="H294" s="3904"/>
      <c r="I294" s="3821">
        <f>ROUND(F294*G294,2)</f>
        <v>0</v>
      </c>
      <c r="J294" s="3049" t="s">
        <v>60</v>
      </c>
    </row>
    <row r="295" spans="1:257" s="2595" customFormat="1" ht="13.5" customHeight="1">
      <c r="A295" s="3567"/>
      <c r="B295" s="3558"/>
      <c r="C295" s="3558"/>
      <c r="D295" s="3548" t="s">
        <v>10490</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10491</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10662</v>
      </c>
      <c r="D297" s="4358" t="s">
        <v>7533</v>
      </c>
      <c r="E297" s="4359" t="s">
        <v>23</v>
      </c>
      <c r="F297" s="5479">
        <f>F299</f>
        <v>1</v>
      </c>
      <c r="G297" s="5480"/>
      <c r="H297" s="3975">
        <f t="shared" ref="H297" si="62">ROUND(F297*G297,2)</f>
        <v>0</v>
      </c>
      <c r="I297" s="4113"/>
      <c r="J297" s="4454" t="s">
        <v>60</v>
      </c>
      <c r="K297" s="4740"/>
      <c r="M297" s="1562"/>
    </row>
    <row r="298" spans="1:257" s="2595" customFormat="1" ht="27" customHeight="1">
      <c r="A298" s="2679"/>
      <c r="B298" s="3558"/>
      <c r="C298" s="3558"/>
      <c r="D298" s="1407" t="s">
        <v>8440</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6542</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10551</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10552</v>
      </c>
      <c r="E301" s="4355"/>
      <c r="F301" s="4357"/>
      <c r="G301" s="5248"/>
      <c r="H301" s="4066"/>
      <c r="I301" s="4114"/>
      <c r="J301" s="4455"/>
      <c r="K301" s="4600"/>
    </row>
    <row r="302" spans="1:257" s="3595" customFormat="1" ht="13.5" customHeight="1">
      <c r="A302" s="5424">
        <v>78</v>
      </c>
      <c r="B302" s="5425">
        <v>742</v>
      </c>
      <c r="C302" s="5418">
        <v>998742203</v>
      </c>
      <c r="D302" s="5426" t="s">
        <v>7418</v>
      </c>
      <c r="E302" s="3622" t="s">
        <v>8</v>
      </c>
      <c r="F302" s="3623">
        <v>0.81</v>
      </c>
      <c r="G302" s="3597"/>
      <c r="H302" s="3975">
        <f t="shared" ref="H302:H303" si="63">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 t="shared" si="63"/>
        <v>0</v>
      </c>
      <c r="I303" s="4100"/>
      <c r="J303" s="3624" t="s">
        <v>142</v>
      </c>
      <c r="K303" s="4728"/>
      <c r="L303" s="4729"/>
      <c r="M303" s="4730"/>
      <c r="N303" s="3598"/>
      <c r="O303" s="3598"/>
      <c r="P303" s="3598"/>
    </row>
    <row r="304" spans="1:257" s="3596" customFormat="1" ht="13.5" customHeight="1">
      <c r="A304" s="5417"/>
      <c r="B304" s="5418"/>
      <c r="C304" s="5419"/>
      <c r="D304" s="5427" t="s">
        <v>7419</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7420</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736" t="s">
        <v>99</v>
      </c>
      <c r="B308" s="5737"/>
      <c r="C308" s="5738"/>
      <c r="D308" s="2568" t="s">
        <v>10515</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736" t="s">
        <v>99</v>
      </c>
      <c r="B309" s="5737"/>
      <c r="C309" s="5738"/>
      <c r="D309" s="2568" t="s">
        <v>10517</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650" t="s">
        <v>7535</v>
      </c>
      <c r="B312" s="5650"/>
      <c r="C312" s="5650"/>
      <c r="D312" s="5650"/>
      <c r="E312" s="5650"/>
      <c r="F312" s="5650"/>
      <c r="G312" s="5650"/>
      <c r="H312" s="2575"/>
      <c r="I312" s="2575"/>
      <c r="J312" s="1406"/>
    </row>
    <row r="313" spans="1:63" s="1061" customFormat="1" ht="107.25" customHeight="1">
      <c r="A313" s="5650" t="s">
        <v>26</v>
      </c>
      <c r="B313" s="5650"/>
      <c r="C313" s="5650"/>
      <c r="D313" s="5650"/>
      <c r="E313" s="5650"/>
      <c r="F313" s="5650"/>
      <c r="G313" s="5650"/>
      <c r="H313" s="2575"/>
      <c r="I313" s="2575"/>
      <c r="J313" s="48"/>
      <c r="M313" s="2535"/>
    </row>
    <row r="314" spans="1:63" s="1061" customFormat="1" ht="13.5" customHeight="1">
      <c r="A314" s="5650" t="s">
        <v>27</v>
      </c>
      <c r="B314" s="5650"/>
      <c r="C314" s="5650"/>
      <c r="D314" s="5650"/>
      <c r="E314" s="5650"/>
      <c r="F314" s="5650"/>
      <c r="G314" s="5650"/>
      <c r="H314" s="2576"/>
      <c r="I314" s="2576"/>
      <c r="J314" s="318"/>
    </row>
    <row r="315" spans="1:63" s="1061" customFormat="1" ht="13.5" customHeight="1">
      <c r="A315" s="5650" t="s">
        <v>28</v>
      </c>
      <c r="B315" s="5650"/>
      <c r="C315" s="5650"/>
      <c r="D315" s="5650"/>
      <c r="E315" s="5650"/>
      <c r="F315" s="5650"/>
      <c r="G315" s="5650"/>
      <c r="H315" s="2576"/>
      <c r="I315" s="2576"/>
      <c r="J315" s="318"/>
    </row>
    <row r="316" spans="1:63" s="52" customFormat="1" ht="40.5" customHeight="1">
      <c r="A316" s="5652" t="s">
        <v>61</v>
      </c>
      <c r="B316" s="5652"/>
      <c r="C316" s="5652"/>
      <c r="D316" s="5652"/>
      <c r="E316" s="5652"/>
      <c r="F316" s="5652"/>
      <c r="G316" s="5652"/>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734" t="s">
        <v>112</v>
      </c>
      <c r="B2" s="5734"/>
      <c r="C2" s="5734"/>
      <c r="D2" s="5734"/>
      <c r="E2" s="5734"/>
      <c r="F2" s="5734"/>
      <c r="G2" s="5734"/>
      <c r="H2" s="5734"/>
      <c r="I2" s="5734"/>
      <c r="J2" s="4722"/>
    </row>
    <row r="3" spans="1:19" s="52" customFormat="1" ht="13.5" customHeight="1">
      <c r="A3" s="5743" t="s">
        <v>7394</v>
      </c>
      <c r="B3" s="5743"/>
      <c r="C3" s="5743"/>
      <c r="D3" s="5743"/>
      <c r="E3" s="5743"/>
      <c r="F3" s="5743"/>
      <c r="G3" s="5743"/>
      <c r="H3" s="5743"/>
      <c r="I3" s="5743"/>
    </row>
    <row r="4" spans="1:19" s="52" customFormat="1" ht="13.5" customHeight="1">
      <c r="A4" s="642" t="s">
        <v>7536</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10501</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7537</v>
      </c>
      <c r="E9" s="3051"/>
      <c r="F9" s="3054"/>
      <c r="G9" s="3594"/>
      <c r="H9" s="3895">
        <f>SUM(H10:H179)</f>
        <v>0</v>
      </c>
      <c r="I9" s="3563"/>
      <c r="K9" s="4602"/>
      <c r="L9" s="4602"/>
      <c r="M9" s="4602"/>
      <c r="N9" s="4602"/>
      <c r="O9" s="4602"/>
      <c r="P9" s="4602"/>
    </row>
    <row r="10" spans="1:19" s="2549" customFormat="1" ht="13.5" customHeight="1">
      <c r="A10" s="3604">
        <v>1</v>
      </c>
      <c r="B10" s="3605">
        <v>742</v>
      </c>
      <c r="C10" s="3046" t="s">
        <v>7538</v>
      </c>
      <c r="D10" s="3046" t="s">
        <v>7539</v>
      </c>
      <c r="E10" s="3606" t="s">
        <v>155</v>
      </c>
      <c r="F10" s="3050">
        <f>SUM(F12:F14)</f>
        <v>3</v>
      </c>
      <c r="G10" s="3607"/>
      <c r="H10" s="3975">
        <f t="shared" ref="H10" si="0">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7540</v>
      </c>
      <c r="E11" s="3610"/>
      <c r="F11" s="3611"/>
      <c r="G11" s="3048"/>
      <c r="H11" s="3897"/>
      <c r="I11" s="3049"/>
      <c r="J11" s="2582"/>
      <c r="K11" s="1607"/>
      <c r="M11" s="3665"/>
      <c r="N11" s="3666"/>
      <c r="O11" s="2549"/>
      <c r="P11" s="2549"/>
      <c r="Q11" s="3662"/>
    </row>
    <row r="12" spans="1:19" s="1061" customFormat="1" ht="13.5" customHeight="1">
      <c r="A12" s="3608"/>
      <c r="B12" s="3046"/>
      <c r="C12" s="3046"/>
      <c r="D12" s="3609" t="s">
        <v>6528</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6529</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6530</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7541</v>
      </c>
      <c r="E15" s="3614"/>
      <c r="F15" s="3047"/>
      <c r="G15" s="3615"/>
      <c r="H15" s="3898"/>
      <c r="I15" s="3614"/>
      <c r="Q15" s="3662"/>
      <c r="R15" s="3664"/>
    </row>
    <row r="16" spans="1:19" s="2549" customFormat="1" ht="13.5" customHeight="1">
      <c r="A16" s="3604"/>
      <c r="B16" s="3612"/>
      <c r="C16" s="3612"/>
      <c r="D16" s="3044" t="s">
        <v>7542</v>
      </c>
      <c r="E16" s="3614"/>
      <c r="F16" s="3047"/>
      <c r="G16" s="3615"/>
      <c r="H16" s="3898"/>
      <c r="I16" s="3049"/>
      <c r="Q16" s="3662"/>
      <c r="R16" s="3664"/>
    </row>
    <row r="17" spans="1:19" s="2549" customFormat="1" ht="13.5" customHeight="1">
      <c r="A17" s="3616" t="s">
        <v>134</v>
      </c>
      <c r="B17" s="3605">
        <v>742</v>
      </c>
      <c r="C17" s="3046" t="s">
        <v>7543</v>
      </c>
      <c r="D17" s="3046" t="s">
        <v>7544</v>
      </c>
      <c r="E17" s="3606" t="s">
        <v>155</v>
      </c>
      <c r="F17" s="3050">
        <f>SUM(F19:F21)</f>
        <v>3</v>
      </c>
      <c r="G17" s="3607"/>
      <c r="H17" s="3975">
        <f t="shared" ref="H17" si="1">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7545</v>
      </c>
      <c r="E18" s="3610"/>
      <c r="F18" s="3611"/>
      <c r="G18" s="3048"/>
      <c r="H18" s="3897"/>
      <c r="I18" s="3049"/>
      <c r="J18" s="2583"/>
      <c r="K18" s="1607"/>
      <c r="M18" s="3665"/>
      <c r="N18" s="3666"/>
      <c r="O18" s="2549"/>
      <c r="P18" s="2549"/>
      <c r="Q18" s="3662"/>
    </row>
    <row r="19" spans="1:19" s="1061" customFormat="1" ht="13.5" customHeight="1">
      <c r="A19" s="3617"/>
      <c r="B19" s="3046"/>
      <c r="C19" s="3046"/>
      <c r="D19" s="3609" t="s">
        <v>6528</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6529</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6530</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7546</v>
      </c>
      <c r="E22" s="3614"/>
      <c r="F22" s="3047"/>
      <c r="G22" s="3615"/>
      <c r="H22" s="3898"/>
      <c r="I22" s="3614"/>
      <c r="Q22" s="3662"/>
      <c r="R22" s="3664"/>
    </row>
    <row r="23" spans="1:19" s="2549" customFormat="1" ht="13.5" customHeight="1">
      <c r="A23" s="3616" t="s">
        <v>854</v>
      </c>
      <c r="B23" s="3605">
        <v>742</v>
      </c>
      <c r="C23" s="3046" t="s">
        <v>7547</v>
      </c>
      <c r="D23" s="3046" t="s">
        <v>7548</v>
      </c>
      <c r="E23" s="3606" t="s">
        <v>155</v>
      </c>
      <c r="F23" s="3050">
        <f>SUM(F25)</f>
        <v>1</v>
      </c>
      <c r="G23" s="3607"/>
      <c r="H23" s="3975">
        <f t="shared" ref="H23" si="2">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7549</v>
      </c>
      <c r="E24" s="3610"/>
      <c r="F24" s="3611"/>
      <c r="G24" s="3048"/>
      <c r="H24" s="3897"/>
      <c r="I24" s="3049"/>
      <c r="J24" s="2583"/>
      <c r="K24" s="1607"/>
      <c r="M24" s="3665"/>
      <c r="N24" s="3666"/>
      <c r="O24" s="2549"/>
      <c r="P24" s="2549"/>
      <c r="Q24" s="3662"/>
    </row>
    <row r="25" spans="1:19" s="1061" customFormat="1" ht="13.5" customHeight="1">
      <c r="A25" s="3617"/>
      <c r="B25" s="3046"/>
      <c r="C25" s="3046"/>
      <c r="D25" s="3609" t="s">
        <v>6528</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7550</v>
      </c>
      <c r="E26" s="3614"/>
      <c r="F26" s="3047"/>
      <c r="G26" s="3615"/>
      <c r="H26" s="3898"/>
      <c r="I26" s="3614"/>
      <c r="Q26" s="3662"/>
      <c r="R26" s="3664"/>
    </row>
    <row r="27" spans="1:19" s="2549" customFormat="1" ht="13.5" customHeight="1">
      <c r="A27" s="3616" t="s">
        <v>856</v>
      </c>
      <c r="B27" s="3605">
        <v>742</v>
      </c>
      <c r="C27" s="3046" t="s">
        <v>7551</v>
      </c>
      <c r="D27" s="3046" t="s">
        <v>7552</v>
      </c>
      <c r="E27" s="3606" t="s">
        <v>155</v>
      </c>
      <c r="F27" s="3050">
        <f>SUM(F29:F30)</f>
        <v>2</v>
      </c>
      <c r="G27" s="3607"/>
      <c r="H27" s="3975">
        <f t="shared" ref="H27" si="3">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7553</v>
      </c>
      <c r="E28" s="3610"/>
      <c r="F28" s="3611"/>
      <c r="G28" s="3048"/>
      <c r="H28" s="3897"/>
      <c r="I28" s="3049"/>
      <c r="J28" s="2583"/>
      <c r="K28" s="1607"/>
      <c r="M28" s="3665"/>
      <c r="N28" s="3666"/>
      <c r="O28" s="2549"/>
      <c r="P28" s="2549"/>
      <c r="Q28" s="3662"/>
    </row>
    <row r="29" spans="1:19" s="1061" customFormat="1" ht="13.5" customHeight="1">
      <c r="A29" s="3617"/>
      <c r="B29" s="3046"/>
      <c r="C29" s="3046"/>
      <c r="D29" s="3609" t="s">
        <v>6529</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6530</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7554</v>
      </c>
      <c r="E31" s="3614"/>
      <c r="F31" s="3047"/>
      <c r="G31" s="3615"/>
      <c r="H31" s="3898"/>
      <c r="I31" s="3614"/>
      <c r="Q31" s="3662"/>
      <c r="R31" s="3664"/>
    </row>
    <row r="32" spans="1:19" s="2549" customFormat="1" ht="13.5" customHeight="1">
      <c r="A32" s="3616" t="s">
        <v>858</v>
      </c>
      <c r="B32" s="3605">
        <v>742</v>
      </c>
      <c r="C32" s="3046" t="s">
        <v>7555</v>
      </c>
      <c r="D32" s="3046" t="s">
        <v>7556</v>
      </c>
      <c r="E32" s="3606" t="s">
        <v>155</v>
      </c>
      <c r="F32" s="3050">
        <f>SUM(F34:F35)</f>
        <v>2</v>
      </c>
      <c r="G32" s="3607"/>
      <c r="H32" s="3975">
        <f t="shared" ref="H32" si="4">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7557</v>
      </c>
      <c r="E33" s="3610"/>
      <c r="F33" s="3611"/>
      <c r="G33" s="3048"/>
      <c r="H33" s="3897"/>
      <c r="I33" s="3049"/>
      <c r="J33" s="2583"/>
      <c r="K33" s="1607"/>
      <c r="M33" s="3665"/>
      <c r="N33" s="3666"/>
      <c r="O33" s="2549"/>
      <c r="P33" s="2549"/>
      <c r="Q33" s="3662"/>
    </row>
    <row r="34" spans="1:19" s="1061" customFormat="1" ht="13.5" customHeight="1">
      <c r="A34" s="3617"/>
      <c r="B34" s="3046"/>
      <c r="C34" s="3046"/>
      <c r="D34" s="3609" t="s">
        <v>6529</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6530</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7558</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7559</v>
      </c>
      <c r="D37" s="3046" t="s">
        <v>7560</v>
      </c>
      <c r="E37" s="3606" t="s">
        <v>155</v>
      </c>
      <c r="F37" s="3050">
        <f>SUM(F39:F41)</f>
        <v>3</v>
      </c>
      <c r="G37" s="3607"/>
      <c r="H37" s="3975">
        <f t="shared" ref="H37" si="5">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7561</v>
      </c>
      <c r="E38" s="3610"/>
      <c r="F38" s="3611"/>
      <c r="G38" s="3048"/>
      <c r="H38" s="3897"/>
      <c r="I38" s="3049"/>
      <c r="J38" s="3603"/>
      <c r="K38" s="1607"/>
      <c r="M38" s="3665"/>
      <c r="N38" s="3666"/>
      <c r="O38" s="2549"/>
      <c r="P38" s="2549"/>
      <c r="Q38" s="3662"/>
    </row>
    <row r="39" spans="1:19" s="1061" customFormat="1" ht="13.5" customHeight="1">
      <c r="A39" s="3617"/>
      <c r="B39" s="3046"/>
      <c r="C39" s="3046"/>
      <c r="D39" s="3609" t="s">
        <v>6528</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6529</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6530</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7550</v>
      </c>
      <c r="E42" s="3614"/>
      <c r="F42" s="3047"/>
      <c r="G42" s="3615"/>
      <c r="H42" s="3898"/>
      <c r="I42" s="3614"/>
      <c r="Q42" s="3662"/>
      <c r="R42" s="3664"/>
    </row>
    <row r="43" spans="1:19" s="2549" customFormat="1" ht="13.5" customHeight="1">
      <c r="A43" s="3616" t="s">
        <v>2097</v>
      </c>
      <c r="B43" s="3605">
        <v>742</v>
      </c>
      <c r="C43" s="3046" t="s">
        <v>7562</v>
      </c>
      <c r="D43" s="3046" t="s">
        <v>7563</v>
      </c>
      <c r="E43" s="3606" t="s">
        <v>155</v>
      </c>
      <c r="F43" s="3050">
        <f>SUM(F45:F45)</f>
        <v>1</v>
      </c>
      <c r="G43" s="3607"/>
      <c r="H43" s="3975">
        <f t="shared" ref="H43" si="6">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7564</v>
      </c>
      <c r="E44" s="3610"/>
      <c r="F44" s="3611"/>
      <c r="G44" s="3048"/>
      <c r="H44" s="3897"/>
      <c r="I44" s="3049"/>
      <c r="J44" s="2583"/>
      <c r="K44" s="1607"/>
      <c r="M44" s="3665"/>
      <c r="N44" s="3666"/>
      <c r="O44" s="2549"/>
      <c r="P44" s="2549"/>
      <c r="Q44" s="3662"/>
    </row>
    <row r="45" spans="1:19" s="1061" customFormat="1" ht="13.5" customHeight="1">
      <c r="A45" s="3617"/>
      <c r="B45" s="3046"/>
      <c r="C45" s="3046"/>
      <c r="D45" s="3609" t="s">
        <v>6528</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7558</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7565</v>
      </c>
      <c r="D47" s="3046" t="s">
        <v>7566</v>
      </c>
      <c r="E47" s="3606" t="s">
        <v>155</v>
      </c>
      <c r="F47" s="3050">
        <f>SUM(F49:F51)</f>
        <v>3</v>
      </c>
      <c r="G47" s="3607"/>
      <c r="H47" s="3975">
        <f t="shared" ref="H47" si="7">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7567</v>
      </c>
      <c r="E48" s="3610"/>
      <c r="F48" s="3611"/>
      <c r="G48" s="3048"/>
      <c r="H48" s="3897"/>
      <c r="I48" s="3049"/>
      <c r="J48" s="2583"/>
      <c r="K48" s="1607"/>
      <c r="M48" s="3665"/>
      <c r="N48" s="3666"/>
      <c r="O48" s="2549"/>
      <c r="P48" s="2549"/>
      <c r="Q48" s="3662"/>
    </row>
    <row r="49" spans="1:19" s="1061" customFormat="1" ht="13.5" customHeight="1">
      <c r="A49" s="3617"/>
      <c r="B49" s="3046"/>
      <c r="C49" s="3046"/>
      <c r="D49" s="3609" t="s">
        <v>6528</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6529</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6530</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7558</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7568</v>
      </c>
      <c r="D53" s="3046" t="s">
        <v>7569</v>
      </c>
      <c r="E53" s="3606" t="s">
        <v>155</v>
      </c>
      <c r="F53" s="3050">
        <f>SUM(F55:F57)</f>
        <v>3</v>
      </c>
      <c r="G53" s="3607"/>
      <c r="H53" s="3975">
        <f t="shared" ref="H53" si="8">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7570</v>
      </c>
      <c r="E54" s="3610"/>
      <c r="F54" s="3611"/>
      <c r="G54" s="3048"/>
      <c r="H54" s="3897"/>
      <c r="I54" s="3049"/>
      <c r="J54" s="2583"/>
      <c r="K54" s="1607"/>
      <c r="M54" s="3665"/>
      <c r="N54" s="3666"/>
      <c r="O54" s="2549"/>
      <c r="P54" s="2549"/>
      <c r="Q54" s="3662"/>
    </row>
    <row r="55" spans="1:19" s="1061" customFormat="1" ht="13.5" customHeight="1">
      <c r="A55" s="3617"/>
      <c r="B55" s="3046"/>
      <c r="C55" s="3046"/>
      <c r="D55" s="3609" t="s">
        <v>6528</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6529</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6530</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7558</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7571</v>
      </c>
      <c r="D59" s="3046" t="s">
        <v>7572</v>
      </c>
      <c r="E59" s="3606" t="s">
        <v>155</v>
      </c>
      <c r="F59" s="3050">
        <f>SUM(F61:F63)</f>
        <v>3</v>
      </c>
      <c r="G59" s="3607"/>
      <c r="H59" s="3975">
        <f t="shared" ref="H59" si="9">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7573</v>
      </c>
      <c r="E60" s="3610"/>
      <c r="F60" s="3611"/>
      <c r="G60" s="3048"/>
      <c r="H60" s="3897"/>
      <c r="I60" s="3049"/>
      <c r="J60" s="2583"/>
      <c r="K60" s="1607"/>
      <c r="M60" s="3665"/>
      <c r="N60" s="3666"/>
      <c r="O60" s="2549"/>
      <c r="P60" s="2549"/>
      <c r="Q60" s="3662"/>
    </row>
    <row r="61" spans="1:19" s="1061" customFormat="1" ht="13.5" customHeight="1">
      <c r="A61" s="3617"/>
      <c r="B61" s="3046"/>
      <c r="C61" s="3046"/>
      <c r="D61" s="3609" t="s">
        <v>6528</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6529</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6530</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7558</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7574</v>
      </c>
      <c r="D65" s="3046" t="s">
        <v>7575</v>
      </c>
      <c r="E65" s="3606" t="s">
        <v>155</v>
      </c>
      <c r="F65" s="3050">
        <f>SUM(F67:F69)</f>
        <v>3</v>
      </c>
      <c r="G65" s="3607"/>
      <c r="H65" s="3975">
        <f t="shared" ref="H65" si="10">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7576</v>
      </c>
      <c r="E66" s="3610"/>
      <c r="F66" s="3611"/>
      <c r="G66" s="3048"/>
      <c r="H66" s="3897"/>
      <c r="I66" s="3049"/>
      <c r="J66" s="2583"/>
      <c r="K66" s="1607"/>
      <c r="M66" s="3665"/>
      <c r="N66" s="3666"/>
      <c r="O66" s="2549"/>
      <c r="P66" s="2549"/>
      <c r="Q66" s="3662"/>
    </row>
    <row r="67" spans="1:19" s="1061" customFormat="1" ht="13.5" customHeight="1">
      <c r="A67" s="3617"/>
      <c r="B67" s="3046"/>
      <c r="C67" s="3046"/>
      <c r="D67" s="3609" t="s">
        <v>6528</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6529</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6530</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7558</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7577</v>
      </c>
      <c r="D71" s="3046" t="s">
        <v>7578</v>
      </c>
      <c r="E71" s="3606" t="s">
        <v>155</v>
      </c>
      <c r="F71" s="3050">
        <f>SUM(F73:F75)</f>
        <v>3</v>
      </c>
      <c r="G71" s="3607"/>
      <c r="H71" s="3975">
        <f t="shared" ref="H71" si="11">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7579</v>
      </c>
      <c r="E72" s="3610"/>
      <c r="F72" s="3611"/>
      <c r="G72" s="3048"/>
      <c r="H72" s="3897"/>
      <c r="I72" s="3049"/>
      <c r="J72" s="2583"/>
      <c r="K72" s="1607"/>
      <c r="M72" s="3665"/>
      <c r="N72" s="3666"/>
      <c r="O72" s="2549"/>
      <c r="P72" s="2549"/>
      <c r="Q72" s="3662"/>
    </row>
    <row r="73" spans="1:19" s="1061" customFormat="1" ht="13.5" customHeight="1">
      <c r="A73" s="3617"/>
      <c r="B73" s="3046"/>
      <c r="C73" s="3046"/>
      <c r="D73" s="3609" t="s">
        <v>6528</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6529</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6530</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7558</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7580</v>
      </c>
      <c r="D77" s="3046" t="s">
        <v>7581</v>
      </c>
      <c r="E77" s="3606" t="s">
        <v>155</v>
      </c>
      <c r="F77" s="3050">
        <f>SUM(F79:F81)</f>
        <v>6</v>
      </c>
      <c r="G77" s="3607"/>
      <c r="H77" s="3975">
        <f t="shared" ref="H77" si="12">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7582</v>
      </c>
      <c r="E78" s="3610"/>
      <c r="F78" s="3611"/>
      <c r="G78" s="3048"/>
      <c r="H78" s="3897"/>
      <c r="I78" s="3049"/>
      <c r="J78" s="2583"/>
      <c r="K78" s="1607"/>
      <c r="M78" s="3665"/>
      <c r="N78" s="3666"/>
      <c r="O78" s="2549"/>
      <c r="P78" s="2549"/>
      <c r="Q78" s="3662"/>
    </row>
    <row r="79" spans="1:19" s="1061" customFormat="1" ht="13.5" customHeight="1">
      <c r="A79" s="3617"/>
      <c r="B79" s="3046"/>
      <c r="C79" s="3046"/>
      <c r="D79" s="3609" t="s">
        <v>6528</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6529</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6530</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7558</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7583</v>
      </c>
      <c r="D83" s="3046" t="s">
        <v>7584</v>
      </c>
      <c r="E83" s="3606" t="s">
        <v>155</v>
      </c>
      <c r="F83" s="3050">
        <f>SUM(F85:F87)</f>
        <v>5</v>
      </c>
      <c r="G83" s="3607"/>
      <c r="H83" s="3975">
        <f t="shared" ref="H83" si="13">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7585</v>
      </c>
      <c r="E84" s="3610"/>
      <c r="F84" s="3611"/>
      <c r="G84" s="3048"/>
      <c r="H84" s="3897"/>
      <c r="I84" s="3049"/>
      <c r="J84" s="2583"/>
      <c r="K84" s="1607"/>
      <c r="M84" s="3665"/>
      <c r="N84" s="3666"/>
      <c r="O84" s="2549"/>
      <c r="P84" s="2549"/>
      <c r="Q84" s="3662"/>
    </row>
    <row r="85" spans="1:19" s="1061" customFormat="1" ht="13.5" customHeight="1">
      <c r="A85" s="3617"/>
      <c r="B85" s="3046"/>
      <c r="C85" s="3046"/>
      <c r="D85" s="3609" t="s">
        <v>6528</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6529</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6530</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7558</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7586</v>
      </c>
      <c r="D89" s="3046" t="s">
        <v>7587</v>
      </c>
      <c r="E89" s="3606" t="s">
        <v>155</v>
      </c>
      <c r="F89" s="3050">
        <f>SUM(F91:F91)</f>
        <v>1</v>
      </c>
      <c r="G89" s="3607"/>
      <c r="H89" s="3975">
        <f t="shared" ref="H89" si="14">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7588</v>
      </c>
      <c r="E90" s="3610"/>
      <c r="F90" s="3611"/>
      <c r="G90" s="3048"/>
      <c r="H90" s="3897"/>
      <c r="J90" s="3049"/>
      <c r="K90" s="1607"/>
      <c r="M90" s="3665"/>
      <c r="N90" s="3666"/>
      <c r="O90" s="2549"/>
      <c r="P90" s="2549"/>
      <c r="Q90" s="3662"/>
    </row>
    <row r="91" spans="1:19" s="1061" customFormat="1" ht="13.5" customHeight="1">
      <c r="A91" s="3617"/>
      <c r="B91" s="3046"/>
      <c r="C91" s="3046"/>
      <c r="D91" s="3609" t="s">
        <v>6528</v>
      </c>
      <c r="E91" s="3610"/>
      <c r="F91" s="3611">
        <v>1</v>
      </c>
      <c r="G91" s="3048"/>
      <c r="H91" s="3897"/>
      <c r="J91" s="2583"/>
      <c r="K91" s="1607"/>
      <c r="M91" s="3665"/>
      <c r="N91" s="3666"/>
      <c r="O91" s="2549"/>
      <c r="P91" s="2549"/>
      <c r="Q91" s="3662"/>
    </row>
    <row r="92" spans="1:19" s="1061" customFormat="1" ht="13.5" customHeight="1">
      <c r="A92" s="3617"/>
      <c r="B92" s="3046"/>
      <c r="C92" s="3046"/>
      <c r="D92" s="3609" t="s">
        <v>7558</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7589</v>
      </c>
      <c r="D93" s="3046" t="s">
        <v>7590</v>
      </c>
      <c r="E93" s="3606" t="s">
        <v>155</v>
      </c>
      <c r="F93" s="3050">
        <f>SUM(F95)</f>
        <v>1</v>
      </c>
      <c r="G93" s="3607"/>
      <c r="H93" s="3975">
        <f t="shared" ref="H93" si="15">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7591</v>
      </c>
      <c r="E94" s="3610"/>
      <c r="F94" s="3611"/>
      <c r="G94" s="3048"/>
      <c r="H94" s="3897"/>
      <c r="I94" s="3049"/>
      <c r="J94" s="2583"/>
      <c r="K94" s="1607"/>
      <c r="M94" s="3665"/>
      <c r="N94" s="3666"/>
      <c r="O94" s="2549"/>
      <c r="P94" s="2549"/>
      <c r="Q94" s="3662"/>
    </row>
    <row r="95" spans="1:19" s="1061" customFormat="1" ht="13.5" customHeight="1">
      <c r="A95" s="3617"/>
      <c r="B95" s="3046"/>
      <c r="C95" s="3046"/>
      <c r="D95" s="3609" t="s">
        <v>6529</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7558</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7592</v>
      </c>
      <c r="D97" s="3046" t="s">
        <v>7593</v>
      </c>
      <c r="E97" s="3606" t="s">
        <v>155</v>
      </c>
      <c r="F97" s="3050">
        <f>SUM(F99:F101)</f>
        <v>51</v>
      </c>
      <c r="G97" s="3607"/>
      <c r="H97" s="3975">
        <f t="shared" ref="H97" si="16">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7594</v>
      </c>
      <c r="E98" s="3610"/>
      <c r="F98" s="3611"/>
      <c r="G98" s="3048"/>
      <c r="H98" s="3897"/>
      <c r="I98" s="3049"/>
      <c r="J98" s="2583"/>
      <c r="K98" s="1607"/>
      <c r="M98" s="3665"/>
      <c r="N98" s="3666"/>
      <c r="O98" s="2549"/>
      <c r="P98" s="2549"/>
      <c r="Q98" s="3662"/>
    </row>
    <row r="99" spans="1:19" s="1061" customFormat="1" ht="13.5" customHeight="1">
      <c r="A99" s="3617"/>
      <c r="B99" s="3046"/>
      <c r="C99" s="3046"/>
      <c r="D99" s="3609" t="s">
        <v>6528</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6529</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6530</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7595</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7558</v>
      </c>
      <c r="E103" s="3614"/>
      <c r="F103" s="3047"/>
      <c r="G103" s="3615"/>
      <c r="H103" s="3898"/>
      <c r="I103" s="3614"/>
      <c r="J103" s="3663"/>
      <c r="Q103" s="3662"/>
      <c r="R103" s="3664"/>
    </row>
    <row r="104" spans="1:19" s="2549" customFormat="1" ht="13.5" customHeight="1">
      <c r="A104" s="3616" t="s">
        <v>2475</v>
      </c>
      <c r="B104" s="3605">
        <v>742</v>
      </c>
      <c r="C104" s="3046" t="s">
        <v>7596</v>
      </c>
      <c r="D104" s="3046" t="s">
        <v>7597</v>
      </c>
      <c r="E104" s="3606" t="s">
        <v>155</v>
      </c>
      <c r="F104" s="3050">
        <f>SUM(F106:F108)</f>
        <v>5</v>
      </c>
      <c r="G104" s="3607"/>
      <c r="H104" s="3975">
        <f t="shared" ref="H104" si="17">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7598</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6528</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6529</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6530</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7599</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7558</v>
      </c>
      <c r="E110" s="3614"/>
      <c r="F110" s="3047"/>
      <c r="G110" s="3615"/>
      <c r="H110" s="3898"/>
      <c r="I110" s="3614"/>
      <c r="Q110" s="3662"/>
      <c r="R110" s="3664"/>
    </row>
    <row r="111" spans="1:19" s="2549" customFormat="1" ht="13.5" customHeight="1">
      <c r="A111" s="3616" t="s">
        <v>1846</v>
      </c>
      <c r="B111" s="3605">
        <v>742</v>
      </c>
      <c r="C111" s="3046" t="s">
        <v>7600</v>
      </c>
      <c r="D111" s="3046" t="s">
        <v>7601</v>
      </c>
      <c r="E111" s="3606" t="s">
        <v>155</v>
      </c>
      <c r="F111" s="3050">
        <f>SUM(F113:F115)</f>
        <v>34</v>
      </c>
      <c r="G111" s="3607"/>
      <c r="H111" s="3975">
        <f t="shared" ref="H111" si="18">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7602</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6528</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6529</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6530</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7546</v>
      </c>
      <c r="E116" s="3614"/>
      <c r="F116" s="3047"/>
      <c r="G116" s="3615"/>
      <c r="H116" s="3898"/>
      <c r="I116" s="3614"/>
      <c r="Q116" s="3662"/>
      <c r="R116" s="3664"/>
    </row>
    <row r="117" spans="1:19" s="2549" customFormat="1" ht="13.5" customHeight="1">
      <c r="A117" s="3616" t="s">
        <v>2272</v>
      </c>
      <c r="B117" s="3605">
        <v>742</v>
      </c>
      <c r="C117" s="3046" t="s">
        <v>7603</v>
      </c>
      <c r="D117" s="3046" t="s">
        <v>7604</v>
      </c>
      <c r="E117" s="3606" t="s">
        <v>155</v>
      </c>
      <c r="F117" s="3050">
        <f>SUM(F119:F121)</f>
        <v>34</v>
      </c>
      <c r="G117" s="3607"/>
      <c r="H117" s="3975">
        <f t="shared" ref="H117" si="19">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7605</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6528</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6529</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6530</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7546</v>
      </c>
      <c r="E122" s="3614"/>
      <c r="F122" s="3047"/>
      <c r="G122" s="3615"/>
      <c r="H122" s="3898"/>
      <c r="I122" s="3614"/>
      <c r="Q122" s="3662"/>
      <c r="R122" s="3664"/>
    </row>
    <row r="123" spans="1:19" s="2549" customFormat="1" ht="13.5" customHeight="1">
      <c r="A123" s="3616" t="s">
        <v>989</v>
      </c>
      <c r="B123" s="3605">
        <v>742</v>
      </c>
      <c r="C123" s="3046" t="s">
        <v>7606</v>
      </c>
      <c r="D123" s="3046" t="s">
        <v>7607</v>
      </c>
      <c r="E123" s="3606" t="s">
        <v>155</v>
      </c>
      <c r="F123" s="3050">
        <f>SUM(F125:F127)</f>
        <v>51</v>
      </c>
      <c r="G123" s="3607"/>
      <c r="H123" s="3975">
        <f t="shared" ref="H123" si="20">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7608</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6528</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6529</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6530</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7558</v>
      </c>
      <c r="E128" s="3614"/>
      <c r="F128" s="3047"/>
      <c r="G128" s="3615"/>
      <c r="H128" s="3898"/>
      <c r="I128" s="3614"/>
      <c r="Q128" s="3662"/>
      <c r="R128" s="3664"/>
    </row>
    <row r="129" spans="1:19" s="2549" customFormat="1" ht="13.5" customHeight="1">
      <c r="A129" s="3616" t="s">
        <v>2917</v>
      </c>
      <c r="B129" s="3605">
        <v>742</v>
      </c>
      <c r="C129" s="3046" t="s">
        <v>7609</v>
      </c>
      <c r="D129" s="3046" t="s">
        <v>7610</v>
      </c>
      <c r="E129" s="3606" t="s">
        <v>155</v>
      </c>
      <c r="F129" s="3050">
        <f>SUM(F131:F133)</f>
        <v>6</v>
      </c>
      <c r="G129" s="3607"/>
      <c r="H129" s="3975">
        <f t="shared" ref="H129" si="21">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7611</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6528</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6529</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6530</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7558</v>
      </c>
      <c r="E134" s="3614"/>
      <c r="F134" s="3047"/>
      <c r="G134" s="3615"/>
      <c r="H134" s="3898"/>
      <c r="I134" s="3614"/>
      <c r="Q134" s="3662"/>
      <c r="R134" s="3664"/>
    </row>
    <row r="135" spans="1:19" s="2549" customFormat="1" ht="13.5" customHeight="1">
      <c r="A135" s="3616" t="s">
        <v>1220</v>
      </c>
      <c r="B135" s="3605">
        <v>742</v>
      </c>
      <c r="C135" s="3046" t="s">
        <v>7612</v>
      </c>
      <c r="D135" s="3046" t="s">
        <v>11597</v>
      </c>
      <c r="E135" s="3606" t="s">
        <v>23</v>
      </c>
      <c r="F135" s="3050">
        <f>SUM(F137:F137)</f>
        <v>1</v>
      </c>
      <c r="G135" s="3607"/>
      <c r="H135" s="3975">
        <f t="shared" ref="H135" si="22">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11596</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7618</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11623</v>
      </c>
      <c r="E138" s="3614"/>
      <c r="F138" s="3047"/>
      <c r="G138" s="3615"/>
      <c r="H138" s="3896"/>
      <c r="I138" s="3614"/>
      <c r="Q138" s="3662"/>
      <c r="R138" s="3664"/>
    </row>
    <row r="139" spans="1:19" s="2549" customFormat="1" ht="13.5" customHeight="1">
      <c r="A139" s="3616" t="s">
        <v>2358</v>
      </c>
      <c r="B139" s="3605">
        <v>742</v>
      </c>
      <c r="C139" s="3046" t="s">
        <v>7615</v>
      </c>
      <c r="D139" s="3046" t="s">
        <v>7613</v>
      </c>
      <c r="E139" s="3606" t="s">
        <v>155</v>
      </c>
      <c r="F139" s="3050">
        <f>SUM(F141:F141)</f>
        <v>1</v>
      </c>
      <c r="G139" s="3607"/>
      <c r="H139" s="3975">
        <f t="shared" ref="H139" si="23">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7614</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6528</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7558</v>
      </c>
      <c r="E142" s="3614"/>
      <c r="F142" s="3047"/>
      <c r="G142" s="3615"/>
      <c r="H142" s="3898"/>
      <c r="I142" s="3614"/>
      <c r="Q142" s="3662"/>
      <c r="R142" s="3664"/>
    </row>
    <row r="143" spans="1:19" s="2549" customFormat="1" ht="13.5" customHeight="1">
      <c r="A143" s="3616" t="s">
        <v>2073</v>
      </c>
      <c r="B143" s="3605">
        <v>742</v>
      </c>
      <c r="C143" s="3046" t="s">
        <v>7619</v>
      </c>
      <c r="D143" s="3046" t="s">
        <v>7616</v>
      </c>
      <c r="E143" s="3606" t="s">
        <v>155</v>
      </c>
      <c r="F143" s="3050">
        <f>SUM(F145:F145)</f>
        <v>6</v>
      </c>
      <c r="G143" s="3607"/>
      <c r="H143" s="3975">
        <f t="shared" ref="H143" si="24">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7617</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7618</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7558</v>
      </c>
      <c r="E146" s="3614"/>
      <c r="F146" s="3047"/>
      <c r="G146" s="3615"/>
      <c r="H146" s="3898"/>
      <c r="I146" s="3614"/>
      <c r="J146" s="3639"/>
      <c r="Q146" s="3662"/>
      <c r="R146" s="3664"/>
    </row>
    <row r="147" spans="1:19" s="2549" customFormat="1" ht="13.5" customHeight="1">
      <c r="A147" s="3616" t="s">
        <v>2522</v>
      </c>
      <c r="B147" s="3605">
        <v>742</v>
      </c>
      <c r="C147" s="3046" t="s">
        <v>7622</v>
      </c>
      <c r="D147" s="3046" t="s">
        <v>7620</v>
      </c>
      <c r="E147" s="3606" t="s">
        <v>155</v>
      </c>
      <c r="F147" s="3050">
        <f>SUM(F149:F149)</f>
        <v>34</v>
      </c>
      <c r="G147" s="3607"/>
      <c r="H147" s="3975">
        <f t="shared" ref="H147" si="25">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7621</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7618</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7558</v>
      </c>
      <c r="E150" s="3614"/>
      <c r="F150" s="3047"/>
      <c r="G150" s="3615"/>
      <c r="H150" s="3898"/>
      <c r="I150" s="3614"/>
      <c r="Q150" s="3662"/>
      <c r="R150" s="3664"/>
    </row>
    <row r="151" spans="1:19" s="2549" customFormat="1" ht="13.5" customHeight="1">
      <c r="A151" s="3616" t="s">
        <v>2527</v>
      </c>
      <c r="B151" s="3605">
        <v>742</v>
      </c>
      <c r="C151" s="3046" t="s">
        <v>7625</v>
      </c>
      <c r="D151" s="3046" t="s">
        <v>7623</v>
      </c>
      <c r="E151" s="3606" t="s">
        <v>155</v>
      </c>
      <c r="F151" s="3050">
        <f>SUM(F153:F153)</f>
        <v>95</v>
      </c>
      <c r="G151" s="3607"/>
      <c r="H151" s="3975">
        <f t="shared" ref="H151" si="26">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7624</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7618</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7558</v>
      </c>
      <c r="E154" s="3614"/>
      <c r="F154" s="3047"/>
      <c r="G154" s="3615"/>
      <c r="H154" s="3898"/>
      <c r="I154" s="3614"/>
      <c r="Q154" s="3662"/>
      <c r="R154" s="3664"/>
    </row>
    <row r="155" spans="1:19" s="2549" customFormat="1" ht="13.5" customHeight="1">
      <c r="A155" s="3616" t="s">
        <v>637</v>
      </c>
      <c r="B155" s="3605">
        <v>742</v>
      </c>
      <c r="C155" s="3046" t="s">
        <v>7629</v>
      </c>
      <c r="D155" s="3046" t="s">
        <v>7626</v>
      </c>
      <c r="E155" s="3606" t="s">
        <v>155</v>
      </c>
      <c r="F155" s="3050">
        <f>SUM(F156:F156)</f>
        <v>3</v>
      </c>
      <c r="G155" s="3607"/>
      <c r="H155" s="3975">
        <f t="shared" ref="H155" si="27">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7627</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7628</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7632</v>
      </c>
      <c r="D158" s="3046" t="s">
        <v>7630</v>
      </c>
      <c r="E158" s="3606" t="s">
        <v>155</v>
      </c>
      <c r="F158" s="3050">
        <f>SUM(F159:F159)</f>
        <v>34</v>
      </c>
      <c r="G158" s="3607"/>
      <c r="H158" s="3975">
        <f t="shared" ref="H158" si="28">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7631</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7628</v>
      </c>
      <c r="E160" s="3610"/>
      <c r="F160" s="3611"/>
      <c r="G160" s="3048"/>
      <c r="H160" s="3897"/>
      <c r="I160" s="3049"/>
      <c r="J160" s="2583"/>
      <c r="K160" s="1607"/>
      <c r="M160" s="3665"/>
      <c r="N160" s="3666"/>
      <c r="O160" s="2549"/>
      <c r="P160" s="2549"/>
      <c r="Q160" s="3662"/>
    </row>
    <row r="161" spans="1:19" s="2549" customFormat="1" ht="13.5" customHeight="1">
      <c r="A161" s="3616" t="s">
        <v>3382</v>
      </c>
      <c r="B161" s="3605">
        <v>742</v>
      </c>
      <c r="C161" s="3046" t="s">
        <v>7635</v>
      </c>
      <c r="D161" s="3046" t="s">
        <v>7633</v>
      </c>
      <c r="E161" s="3606" t="s">
        <v>155</v>
      </c>
      <c r="F161" s="3050">
        <f>SUM(F162:F162)</f>
        <v>3</v>
      </c>
      <c r="G161" s="3607"/>
      <c r="H161" s="3975">
        <f t="shared" ref="H161" si="29">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7634</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7628</v>
      </c>
      <c r="E163" s="3610"/>
      <c r="F163" s="3611"/>
      <c r="G163" s="3048"/>
      <c r="H163" s="3897"/>
      <c r="I163" s="3049"/>
      <c r="J163" s="2583"/>
      <c r="K163" s="1607"/>
      <c r="M163" s="3665"/>
      <c r="N163" s="3666"/>
      <c r="O163" s="2549"/>
      <c r="P163" s="2549"/>
      <c r="Q163" s="3662"/>
    </row>
    <row r="164" spans="1:19" s="2549" customFormat="1" ht="13.5" customHeight="1">
      <c r="A164" s="3616" t="s">
        <v>3386</v>
      </c>
      <c r="B164" s="3605">
        <v>742</v>
      </c>
      <c r="C164" s="3046" t="s">
        <v>7638</v>
      </c>
      <c r="D164" s="3046" t="s">
        <v>7636</v>
      </c>
      <c r="E164" s="3606" t="s">
        <v>155</v>
      </c>
      <c r="F164" s="3050">
        <f>SUM(F165:F165)</f>
        <v>3</v>
      </c>
      <c r="G164" s="3607"/>
      <c r="H164" s="3975">
        <f t="shared" ref="H164" si="30">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7637</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7628</v>
      </c>
      <c r="E166" s="3610"/>
      <c r="F166" s="3611"/>
      <c r="G166" s="3048"/>
      <c r="H166" s="3897"/>
      <c r="I166" s="3049"/>
      <c r="J166" s="2583"/>
      <c r="K166" s="1607"/>
      <c r="M166" s="3665"/>
      <c r="N166" s="3666"/>
      <c r="O166" s="2549"/>
      <c r="P166" s="2549"/>
      <c r="Q166" s="3662"/>
    </row>
    <row r="167" spans="1:19" s="2549" customFormat="1" ht="13.5" customHeight="1">
      <c r="A167" s="3616" t="s">
        <v>3389</v>
      </c>
      <c r="B167" s="3605">
        <v>742</v>
      </c>
      <c r="C167" s="3046" t="s">
        <v>7642</v>
      </c>
      <c r="D167" s="3046" t="s">
        <v>7639</v>
      </c>
      <c r="E167" s="3606" t="s">
        <v>155</v>
      </c>
      <c r="F167" s="3050">
        <f>SUM(F168:F168)</f>
        <v>92</v>
      </c>
      <c r="G167" s="3607"/>
      <c r="H167" s="3975">
        <f t="shared" ref="H167" si="31">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7640</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7641</v>
      </c>
      <c r="E169" s="3610"/>
      <c r="F169" s="3611"/>
      <c r="G169" s="3048"/>
      <c r="H169" s="3897"/>
      <c r="I169" s="3049"/>
      <c r="J169" s="2583"/>
      <c r="K169" s="1607"/>
      <c r="M169" s="3665"/>
      <c r="N169" s="3666"/>
      <c r="O169" s="2549"/>
      <c r="P169" s="2549"/>
      <c r="Q169" s="3662"/>
    </row>
    <row r="170" spans="1:19" s="2549" customFormat="1" ht="13.5" customHeight="1">
      <c r="A170" s="3616" t="s">
        <v>3395</v>
      </c>
      <c r="B170" s="3605">
        <v>742</v>
      </c>
      <c r="C170" s="3046" t="s">
        <v>7645</v>
      </c>
      <c r="D170" s="3046" t="s">
        <v>7643</v>
      </c>
      <c r="E170" s="3606" t="s">
        <v>155</v>
      </c>
      <c r="F170" s="3050">
        <f>SUM(F171:F171)</f>
        <v>34</v>
      </c>
      <c r="G170" s="3607"/>
      <c r="H170" s="3975">
        <f t="shared" ref="H170" si="32">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7644</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7641</v>
      </c>
      <c r="E172" s="3610"/>
      <c r="F172" s="3611"/>
      <c r="G172" s="3048"/>
      <c r="H172" s="3897"/>
      <c r="I172" s="3049"/>
      <c r="J172" s="2583"/>
      <c r="K172" s="1607"/>
      <c r="M172" s="3665"/>
      <c r="N172" s="3666"/>
      <c r="O172" s="2549"/>
      <c r="P172" s="2549"/>
      <c r="Q172" s="3662"/>
    </row>
    <row r="173" spans="1:19" s="2549" customFormat="1" ht="13.5" customHeight="1">
      <c r="A173" s="3616" t="s">
        <v>3399</v>
      </c>
      <c r="B173" s="3605">
        <v>742</v>
      </c>
      <c r="C173" s="3046" t="s">
        <v>11637</v>
      </c>
      <c r="D173" s="3046" t="s">
        <v>7646</v>
      </c>
      <c r="E173" s="3606" t="s">
        <v>155</v>
      </c>
      <c r="F173" s="3050">
        <f>SUM(F174:F174)</f>
        <v>184</v>
      </c>
      <c r="G173" s="3607"/>
      <c r="H173" s="3975">
        <f t="shared" ref="H173" si="33">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7647</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7641</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7418</v>
      </c>
      <c r="E176" s="3622" t="s">
        <v>8</v>
      </c>
      <c r="F176" s="3623">
        <v>0.81</v>
      </c>
      <c r="G176" s="3597"/>
      <c r="H176" s="3975">
        <f t="shared" ref="H176:H177" si="34">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 t="shared" si="34"/>
        <v>0</v>
      </c>
      <c r="I177" s="3624" t="s">
        <v>142</v>
      </c>
      <c r="J177" s="4728"/>
      <c r="K177" s="4729"/>
      <c r="L177" s="4730"/>
      <c r="M177" s="3598"/>
      <c r="N177" s="3598"/>
      <c r="O177" s="3598"/>
    </row>
    <row r="178" spans="1:19" s="3596" customFormat="1" ht="13.5" customHeight="1">
      <c r="A178" s="3626"/>
      <c r="B178" s="3621"/>
      <c r="C178" s="3627"/>
      <c r="D178" s="3628" t="s">
        <v>7419</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7420</v>
      </c>
      <c r="E179" s="3599"/>
      <c r="F179" s="3600"/>
      <c r="G179" s="3597"/>
      <c r="H179" s="3899"/>
      <c r="I179" s="3601"/>
      <c r="J179" s="4731"/>
      <c r="K179" s="2290"/>
    </row>
    <row r="180" spans="1:19" s="1061" customFormat="1" ht="27" customHeight="1">
      <c r="A180" s="3629"/>
      <c r="B180" s="3051"/>
      <c r="C180" s="3602">
        <v>742</v>
      </c>
      <c r="D180" s="3602" t="s">
        <v>7648</v>
      </c>
      <c r="E180" s="3630"/>
      <c r="F180" s="3631"/>
      <c r="G180" s="3632"/>
      <c r="H180" s="3900">
        <f>SUM(H181:H188)</f>
        <v>0</v>
      </c>
      <c r="I180" s="3563"/>
      <c r="L180" s="4599"/>
    </row>
    <row r="181" spans="1:19" s="3595" customFormat="1" ht="13.5" customHeight="1">
      <c r="A181" s="3616" t="s">
        <v>2583</v>
      </c>
      <c r="B181" s="3620">
        <v>742</v>
      </c>
      <c r="C181" s="3046" t="s">
        <v>7649</v>
      </c>
      <c r="D181" s="3622" t="s">
        <v>7650</v>
      </c>
      <c r="E181" s="3622" t="s">
        <v>155</v>
      </c>
      <c r="F181" s="3623">
        <f>SUM(F182)</f>
        <v>3</v>
      </c>
      <c r="G181" s="3597"/>
      <c r="H181" s="3975">
        <f t="shared" ref="H181" si="35">ROUND(F181*G181,2)</f>
        <v>0</v>
      </c>
      <c r="I181" s="3049" t="s">
        <v>60</v>
      </c>
      <c r="J181" s="1061"/>
      <c r="K181" s="4727"/>
    </row>
    <row r="182" spans="1:19" s="1061" customFormat="1" ht="13.5" customHeight="1">
      <c r="A182" s="3629"/>
      <c r="B182" s="3051"/>
      <c r="C182" s="3602"/>
      <c r="D182" s="3628" t="s">
        <v>7651</v>
      </c>
      <c r="E182" s="3599"/>
      <c r="F182" s="3600">
        <v>3</v>
      </c>
      <c r="G182" s="3632"/>
      <c r="H182" s="3897"/>
      <c r="I182" s="3563"/>
      <c r="L182" s="4599"/>
    </row>
    <row r="183" spans="1:19" s="3595" customFormat="1" ht="13.5" customHeight="1">
      <c r="A183" s="3616" t="s">
        <v>685</v>
      </c>
      <c r="B183" s="3620">
        <v>742</v>
      </c>
      <c r="C183" s="3046" t="s">
        <v>7652</v>
      </c>
      <c r="D183" s="3622" t="s">
        <v>7653</v>
      </c>
      <c r="E183" s="3622" t="s">
        <v>155</v>
      </c>
      <c r="F183" s="3623">
        <f>SUM(F184)</f>
        <v>3</v>
      </c>
      <c r="G183" s="3597"/>
      <c r="H183" s="3975">
        <f t="shared" ref="H183" si="36">ROUND(F183*G183,2)</f>
        <v>0</v>
      </c>
      <c r="I183" s="3049" t="s">
        <v>60</v>
      </c>
      <c r="J183" s="1061"/>
      <c r="K183" s="4727"/>
    </row>
    <row r="184" spans="1:19" s="1061" customFormat="1" ht="13.5" customHeight="1">
      <c r="A184" s="3629"/>
      <c r="B184" s="3051"/>
      <c r="C184" s="3602"/>
      <c r="D184" s="3628" t="s">
        <v>7654</v>
      </c>
      <c r="E184" s="3599"/>
      <c r="F184" s="3600">
        <v>3</v>
      </c>
      <c r="G184" s="3632"/>
      <c r="H184" s="3897"/>
      <c r="I184" s="3563"/>
      <c r="L184" s="4599"/>
    </row>
    <row r="185" spans="1:19" s="3595" customFormat="1" ht="13.5" customHeight="1">
      <c r="A185" s="3616" t="s">
        <v>2605</v>
      </c>
      <c r="B185" s="3620">
        <v>742</v>
      </c>
      <c r="C185" s="3046" t="s">
        <v>7655</v>
      </c>
      <c r="D185" s="3622" t="s">
        <v>7656</v>
      </c>
      <c r="E185" s="3622" t="s">
        <v>191</v>
      </c>
      <c r="F185" s="3623">
        <f>SUM(F186)</f>
        <v>6</v>
      </c>
      <c r="G185" s="3597"/>
      <c r="H185" s="3975">
        <f t="shared" ref="H185" si="37">ROUND(F185*G185,2)</f>
        <v>0</v>
      </c>
      <c r="I185" s="3049" t="s">
        <v>60</v>
      </c>
      <c r="J185" s="1061"/>
      <c r="K185" s="4727"/>
    </row>
    <row r="186" spans="1:19" s="1061" customFormat="1" ht="13.5" customHeight="1">
      <c r="A186" s="3629"/>
      <c r="B186" s="3051"/>
      <c r="C186" s="3602"/>
      <c r="D186" s="3628" t="s">
        <v>7657</v>
      </c>
      <c r="E186" s="3599"/>
      <c r="F186" s="3600">
        <v>6</v>
      </c>
      <c r="G186" s="3632"/>
      <c r="H186" s="3897"/>
      <c r="I186" s="3563"/>
      <c r="L186" s="4599"/>
    </row>
    <row r="187" spans="1:19" s="3595" customFormat="1" ht="13.5" customHeight="1">
      <c r="A187" s="3616" t="s">
        <v>2616</v>
      </c>
      <c r="B187" s="3620">
        <v>742</v>
      </c>
      <c r="C187" s="3046" t="s">
        <v>7658</v>
      </c>
      <c r="D187" s="3622" t="s">
        <v>7659</v>
      </c>
      <c r="E187" s="3622" t="s">
        <v>197</v>
      </c>
      <c r="F187" s="3623">
        <f>SUM(F188)</f>
        <v>600</v>
      </c>
      <c r="G187" s="3597"/>
      <c r="H187" s="3975">
        <f t="shared" ref="H187" si="38">ROUND(F187*G187,2)</f>
        <v>0</v>
      </c>
      <c r="I187" s="3049" t="s">
        <v>60</v>
      </c>
      <c r="J187" s="1061"/>
      <c r="K187" s="4727"/>
    </row>
    <row r="188" spans="1:19" s="1061" customFormat="1" ht="13.5" customHeight="1">
      <c r="A188" s="3629"/>
      <c r="B188" s="3051"/>
      <c r="C188" s="3602"/>
      <c r="D188" s="3628" t="s">
        <v>7660</v>
      </c>
      <c r="E188" s="3599"/>
      <c r="F188" s="3600">
        <v>600</v>
      </c>
      <c r="G188" s="3632"/>
      <c r="H188" s="3897"/>
      <c r="I188" s="3563"/>
      <c r="L188" s="4599"/>
    </row>
    <row r="189" spans="1:19" s="1061" customFormat="1" ht="27" customHeight="1">
      <c r="A189" s="3629"/>
      <c r="B189" s="3051"/>
      <c r="C189" s="3602">
        <v>742</v>
      </c>
      <c r="D189" s="3602" t="s">
        <v>7661</v>
      </c>
      <c r="E189" s="3630"/>
      <c r="F189" s="3631"/>
      <c r="G189" s="3632"/>
      <c r="H189" s="3900">
        <f>SUM(H190:H202)</f>
        <v>0</v>
      </c>
      <c r="I189" s="3563"/>
      <c r="L189" s="4599"/>
    </row>
    <row r="190" spans="1:19" s="2549" customFormat="1" ht="13.5" customHeight="1">
      <c r="A190" s="3616" t="s">
        <v>3424</v>
      </c>
      <c r="B190" s="3605">
        <v>742</v>
      </c>
      <c r="C190" s="3046" t="s">
        <v>7662</v>
      </c>
      <c r="D190" s="3046" t="s">
        <v>7663</v>
      </c>
      <c r="E190" s="3606" t="s">
        <v>155</v>
      </c>
      <c r="F190" s="3050">
        <f>SUM(F192:F194)</f>
        <v>3</v>
      </c>
      <c r="G190" s="3607"/>
      <c r="H190" s="3975">
        <f t="shared" ref="H190" si="39">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7664</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6528</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6529</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6530</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7665</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7666</v>
      </c>
      <c r="D196" s="3046" t="s">
        <v>7667</v>
      </c>
      <c r="E196" s="3606" t="s">
        <v>141</v>
      </c>
      <c r="F196" s="3050">
        <f>SUM(F197:F197)</f>
        <v>4900</v>
      </c>
      <c r="G196" s="3607"/>
      <c r="H196" s="3975">
        <f t="shared" ref="H196" si="40">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7668</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7146</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7418</v>
      </c>
      <c r="E199" s="3622" t="s">
        <v>8</v>
      </c>
      <c r="F199" s="3623">
        <v>0.81</v>
      </c>
      <c r="G199" s="3597"/>
      <c r="H199" s="3975">
        <f t="shared" ref="H199:H200" si="41">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 t="shared" si="41"/>
        <v>0</v>
      </c>
      <c r="I200" s="3624" t="s">
        <v>142</v>
      </c>
      <c r="J200" s="4728"/>
      <c r="K200" s="4729"/>
      <c r="L200" s="4730"/>
      <c r="M200" s="3598"/>
      <c r="N200" s="3598"/>
      <c r="O200" s="3598"/>
    </row>
    <row r="201" spans="1:19" s="3596" customFormat="1" ht="13.5" customHeight="1">
      <c r="A201" s="3626"/>
      <c r="B201" s="3621"/>
      <c r="C201" s="3627"/>
      <c r="D201" s="3628" t="s">
        <v>7419</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7420</v>
      </c>
      <c r="E202" s="3599"/>
      <c r="F202" s="3600"/>
      <c r="G202" s="3597"/>
      <c r="H202" s="3899"/>
      <c r="I202" s="3601"/>
      <c r="J202" s="4731"/>
      <c r="K202" s="2290"/>
    </row>
    <row r="203" spans="1:19" s="1061" customFormat="1" ht="27" customHeight="1">
      <c r="A203" s="3629"/>
      <c r="B203" s="3051"/>
      <c r="C203" s="3602">
        <v>742</v>
      </c>
      <c r="D203" s="3602" t="s">
        <v>7669</v>
      </c>
      <c r="E203" s="3630"/>
      <c r="F203" s="3631"/>
      <c r="G203" s="3632"/>
      <c r="H203" s="3900">
        <f>SUM(H204:H250)</f>
        <v>0</v>
      </c>
      <c r="I203" s="3563"/>
      <c r="L203" s="4599"/>
    </row>
    <row r="204" spans="1:19" s="2549" customFormat="1" ht="13.5" customHeight="1">
      <c r="A204" s="3616" t="s">
        <v>2417</v>
      </c>
      <c r="B204" s="3605">
        <v>742</v>
      </c>
      <c r="C204" s="3046" t="s">
        <v>7670</v>
      </c>
      <c r="D204" s="3046" t="s">
        <v>7671</v>
      </c>
      <c r="E204" s="3606" t="s">
        <v>155</v>
      </c>
      <c r="F204" s="3050">
        <f>SUM(F206:F206)</f>
        <v>197</v>
      </c>
      <c r="G204" s="3607"/>
      <c r="H204" s="3975">
        <f t="shared" ref="H204" si="42">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7672</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7673</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7665</v>
      </c>
      <c r="E207" s="3614"/>
      <c r="F207" s="3047"/>
      <c r="G207" s="3615"/>
      <c r="H207" s="3898"/>
      <c r="I207" s="3614"/>
      <c r="Q207" s="3662"/>
      <c r="R207" s="3664"/>
    </row>
    <row r="208" spans="1:19" s="2549" customFormat="1" ht="13.5" customHeight="1">
      <c r="A208" s="3616" t="s">
        <v>1787</v>
      </c>
      <c r="B208" s="3605">
        <v>742</v>
      </c>
      <c r="C208" s="3046" t="s">
        <v>7674</v>
      </c>
      <c r="D208" s="3046" t="s">
        <v>7675</v>
      </c>
      <c r="E208" s="3606" t="s">
        <v>155</v>
      </c>
      <c r="F208" s="3050">
        <f>SUM(F210:F210)</f>
        <v>85</v>
      </c>
      <c r="G208" s="3607"/>
      <c r="H208" s="3975">
        <f t="shared" ref="H208" si="43">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7676</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7673</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7665</v>
      </c>
      <c r="E211" s="3614"/>
      <c r="F211" s="3047"/>
      <c r="G211" s="3615"/>
      <c r="H211" s="3898"/>
      <c r="I211" s="3614"/>
      <c r="Q211" s="3662"/>
      <c r="R211" s="3664"/>
    </row>
    <row r="212" spans="1:19" s="2549" customFormat="1" ht="13.5" customHeight="1">
      <c r="A212" s="3616" t="s">
        <v>3472</v>
      </c>
      <c r="B212" s="3605">
        <v>742</v>
      </c>
      <c r="C212" s="3046" t="s">
        <v>7677</v>
      </c>
      <c r="D212" s="3046" t="s">
        <v>7678</v>
      </c>
      <c r="E212" s="3606" t="s">
        <v>155</v>
      </c>
      <c r="F212" s="3050">
        <f>SUM(F214:F216)</f>
        <v>5</v>
      </c>
      <c r="G212" s="3607"/>
      <c r="H212" s="3975">
        <f t="shared" ref="H212" si="44">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7679</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6528</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6529</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6530</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7665</v>
      </c>
      <c r="E217" s="3614"/>
      <c r="F217" s="3047"/>
      <c r="G217" s="3615"/>
      <c r="H217" s="3898"/>
      <c r="I217" s="3614"/>
      <c r="Q217" s="3662"/>
      <c r="R217" s="3664"/>
    </row>
    <row r="218" spans="1:19" s="2549" customFormat="1" ht="13.5" customHeight="1">
      <c r="A218" s="3616" t="s">
        <v>2191</v>
      </c>
      <c r="B218" s="3605">
        <v>742</v>
      </c>
      <c r="C218" s="3046" t="s">
        <v>7680</v>
      </c>
      <c r="D218" s="3046" t="s">
        <v>7681</v>
      </c>
      <c r="E218" s="3606" t="s">
        <v>141</v>
      </c>
      <c r="F218" s="3050">
        <f>SUM(F219:F219)</f>
        <v>960</v>
      </c>
      <c r="G218" s="3607"/>
      <c r="H218" s="3975">
        <f t="shared" ref="H218" si="45">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7682</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7665</v>
      </c>
      <c r="E220" s="3610"/>
      <c r="F220" s="3611"/>
      <c r="G220" s="3048"/>
      <c r="H220" s="3897"/>
      <c r="I220" s="3049"/>
      <c r="J220" s="2583"/>
      <c r="K220" s="1607"/>
      <c r="M220" s="3665"/>
      <c r="N220" s="3666"/>
      <c r="O220" s="2549"/>
      <c r="P220" s="2549"/>
      <c r="Q220" s="3662"/>
    </row>
    <row r="221" spans="1:19" s="2549" customFormat="1" ht="13.5" customHeight="1">
      <c r="A221" s="3616" t="s">
        <v>3482</v>
      </c>
      <c r="B221" s="3605">
        <v>742</v>
      </c>
      <c r="C221" s="3046" t="s">
        <v>7683</v>
      </c>
      <c r="D221" s="3046" t="s">
        <v>7684</v>
      </c>
      <c r="E221" s="3606" t="s">
        <v>155</v>
      </c>
      <c r="F221" s="3050">
        <f>SUM(F222:F222)</f>
        <v>250</v>
      </c>
      <c r="G221" s="3607"/>
      <c r="H221" s="3975">
        <f t="shared" ref="H221" si="46">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7685</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7665</v>
      </c>
      <c r="E223" s="3610"/>
      <c r="F223" s="3611"/>
      <c r="G223" s="3048"/>
      <c r="H223" s="3897"/>
      <c r="I223" s="3049"/>
      <c r="J223" s="3690"/>
      <c r="K223" s="1607"/>
      <c r="M223" s="3665"/>
      <c r="N223" s="3691"/>
      <c r="O223" s="1470"/>
      <c r="P223" s="1470"/>
      <c r="Q223" s="3662"/>
    </row>
    <row r="224" spans="1:19" s="2549" customFormat="1" ht="13.5" customHeight="1">
      <c r="A224" s="3616" t="s">
        <v>3485</v>
      </c>
      <c r="B224" s="3605">
        <v>742</v>
      </c>
      <c r="C224" s="3046" t="s">
        <v>7686</v>
      </c>
      <c r="D224" s="3046" t="s">
        <v>7687</v>
      </c>
      <c r="E224" s="3606" t="s">
        <v>141</v>
      </c>
      <c r="F224" s="3050">
        <f>SUM(F225:F225)</f>
        <v>250</v>
      </c>
      <c r="G224" s="3607"/>
      <c r="H224" s="3975">
        <f t="shared" ref="H224" si="47">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7688</v>
      </c>
      <c r="E225" s="3610"/>
      <c r="F225" s="3611">
        <v>250</v>
      </c>
      <c r="G225" s="3048"/>
      <c r="H225" s="3897"/>
      <c r="I225" s="3049"/>
      <c r="J225" s="3663"/>
      <c r="K225" s="3664"/>
      <c r="Q225" s="4723"/>
    </row>
    <row r="226" spans="1:19" s="1061" customFormat="1" ht="13.5" customHeight="1">
      <c r="A226" s="3617"/>
      <c r="B226" s="3046"/>
      <c r="C226" s="3046"/>
      <c r="D226" s="3044" t="s">
        <v>7665</v>
      </c>
      <c r="E226" s="3610"/>
      <c r="F226" s="3611"/>
      <c r="G226" s="3048"/>
      <c r="H226" s="3897"/>
      <c r="I226" s="3049"/>
      <c r="L226" s="1470"/>
      <c r="Q226" s="4732"/>
    </row>
    <row r="227" spans="1:19" s="2549" customFormat="1" ht="13.5" customHeight="1">
      <c r="A227" s="3616" t="s">
        <v>2433</v>
      </c>
      <c r="B227" s="3605">
        <v>742</v>
      </c>
      <c r="C227" s="3046" t="s">
        <v>7689</v>
      </c>
      <c r="D227" s="3046" t="s">
        <v>7690</v>
      </c>
      <c r="E227" s="3606" t="s">
        <v>155</v>
      </c>
      <c r="F227" s="3050">
        <f>SUM(F228:F228)</f>
        <v>250</v>
      </c>
      <c r="G227" s="3607"/>
      <c r="H227" s="3975">
        <f t="shared" ref="H227" si="48">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7691</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7665</v>
      </c>
      <c r="E229" s="3610"/>
      <c r="F229" s="3611"/>
      <c r="G229" s="3048"/>
      <c r="H229" s="3897"/>
      <c r="I229" s="3049"/>
      <c r="J229" s="3690"/>
      <c r="K229" s="1607"/>
      <c r="M229" s="3665"/>
      <c r="N229" s="3691"/>
      <c r="O229" s="1470"/>
      <c r="P229" s="1470"/>
      <c r="Q229" s="3662"/>
    </row>
    <row r="230" spans="1:19" s="3598" customFormat="1" ht="13.5" customHeight="1">
      <c r="A230" s="3616" t="s">
        <v>1452</v>
      </c>
      <c r="B230" s="3633" t="s">
        <v>4993</v>
      </c>
      <c r="C230" s="3046" t="s">
        <v>7692</v>
      </c>
      <c r="D230" s="3630" t="s">
        <v>7693</v>
      </c>
      <c r="E230" s="3630" t="s">
        <v>23</v>
      </c>
      <c r="F230" s="3631">
        <f>SUM(F231)</f>
        <v>1</v>
      </c>
      <c r="G230" s="3634"/>
      <c r="H230" s="3975">
        <f t="shared" ref="H230" si="49">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7694</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7695</v>
      </c>
      <c r="E232" s="3599"/>
      <c r="F232" s="3600"/>
      <c r="G232" s="3634"/>
      <c r="H232" s="3901"/>
      <c r="I232" s="3624"/>
      <c r="J232" s="3595"/>
      <c r="K232" s="3595"/>
      <c r="L232" s="3595"/>
      <c r="M232" s="3595"/>
      <c r="N232" s="3595"/>
      <c r="O232" s="3595"/>
      <c r="P232" s="3595"/>
      <c r="Q232" s="3595"/>
    </row>
    <row r="233" spans="1:19" s="2549" customFormat="1" ht="13.5" customHeight="1">
      <c r="A233" s="3616" t="s">
        <v>3497</v>
      </c>
      <c r="B233" s="3605">
        <v>742</v>
      </c>
      <c r="C233" s="3046" t="s">
        <v>7696</v>
      </c>
      <c r="D233" s="3046" t="s">
        <v>7697</v>
      </c>
      <c r="E233" s="3606" t="s">
        <v>141</v>
      </c>
      <c r="F233" s="3050">
        <f>SUM(F234:F234)</f>
        <v>960</v>
      </c>
      <c r="G233" s="3607"/>
      <c r="H233" s="3975">
        <f t="shared" ref="H233" si="50">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7698</v>
      </c>
      <c r="E234" s="3610"/>
      <c r="F234" s="3611">
        <v>960</v>
      </c>
      <c r="G234" s="3048"/>
      <c r="H234" s="3897"/>
      <c r="I234" s="3049"/>
      <c r="J234" s="4733"/>
      <c r="K234" s="1607"/>
      <c r="M234" s="3665"/>
      <c r="N234" s="3691"/>
      <c r="O234" s="1470"/>
      <c r="P234" s="1470"/>
      <c r="Q234" s="3662"/>
    </row>
    <row r="235" spans="1:19" s="2549" customFormat="1" ht="13.5" customHeight="1">
      <c r="A235" s="3616" t="s">
        <v>3502</v>
      </c>
      <c r="B235" s="3605">
        <v>742</v>
      </c>
      <c r="C235" s="3046" t="s">
        <v>7699</v>
      </c>
      <c r="D235" s="3046" t="s">
        <v>7700</v>
      </c>
      <c r="E235" s="3606" t="s">
        <v>155</v>
      </c>
      <c r="F235" s="3050">
        <f>SUM(F236:F236)</f>
        <v>118</v>
      </c>
      <c r="G235" s="3607"/>
      <c r="H235" s="3975">
        <f t="shared" ref="H235" si="51">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7701</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7702</v>
      </c>
      <c r="D237" s="3046" t="s">
        <v>7703</v>
      </c>
      <c r="E237" s="3606" t="s">
        <v>155</v>
      </c>
      <c r="F237" s="4319">
        <f>SUM(F238:F238)</f>
        <v>3</v>
      </c>
      <c r="G237" s="3607"/>
      <c r="H237" s="3975">
        <f t="shared" ref="H237" si="52">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7704</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4993</v>
      </c>
      <c r="C239" s="3046" t="s">
        <v>7705</v>
      </c>
      <c r="D239" s="3630" t="s">
        <v>7706</v>
      </c>
      <c r="E239" s="3630" t="s">
        <v>191</v>
      </c>
      <c r="F239" s="4442">
        <f>SUM(F240)</f>
        <v>6</v>
      </c>
      <c r="G239" s="3597"/>
      <c r="H239" s="3975">
        <f t="shared" ref="H239" si="53">ROUND(F239*G239,2)</f>
        <v>0</v>
      </c>
      <c r="I239" s="3624" t="s">
        <v>60</v>
      </c>
      <c r="J239" s="4738"/>
      <c r="K239" s="4739"/>
    </row>
    <row r="240" spans="1:19" s="3598" customFormat="1" ht="13.5" customHeight="1">
      <c r="A240" s="3635"/>
      <c r="B240" s="3633"/>
      <c r="C240" s="3046"/>
      <c r="D240" s="3628" t="s">
        <v>7707</v>
      </c>
      <c r="E240" s="3630"/>
      <c r="F240" s="4443">
        <v>6</v>
      </c>
      <c r="G240" s="3597"/>
      <c r="H240" s="3899"/>
      <c r="I240" s="3624"/>
      <c r="J240" s="4738"/>
      <c r="K240" s="4739"/>
    </row>
    <row r="241" spans="1:122" s="3596" customFormat="1" ht="27" customHeight="1">
      <c r="A241" s="3635"/>
      <c r="B241" s="3599"/>
      <c r="C241" s="3599"/>
      <c r="D241" s="3628" t="s">
        <v>7708</v>
      </c>
      <c r="E241" s="3599"/>
      <c r="F241" s="4443"/>
      <c r="G241" s="3597"/>
      <c r="H241" s="3899"/>
      <c r="I241" s="3601"/>
    </row>
    <row r="242" spans="1:122" s="1061" customFormat="1" ht="13.5" customHeight="1">
      <c r="A242" s="3616" t="s">
        <v>2750</v>
      </c>
      <c r="B242" s="3633" t="s">
        <v>4993</v>
      </c>
      <c r="C242" s="3046" t="s">
        <v>10568</v>
      </c>
      <c r="D242" s="4358" t="s">
        <v>7533</v>
      </c>
      <c r="E242" s="4359" t="s">
        <v>23</v>
      </c>
      <c r="F242" s="4444">
        <f>F244</f>
        <v>1</v>
      </c>
      <c r="G242" s="3052"/>
      <c r="H242" s="3975">
        <f t="shared" ref="H242" si="54">ROUND(F242*G242,2)</f>
        <v>0</v>
      </c>
      <c r="I242" s="3049" t="s">
        <v>60</v>
      </c>
      <c r="J242" s="1392"/>
      <c r="K242" s="4740"/>
      <c r="M242" s="1562"/>
    </row>
    <row r="243" spans="1:122" s="2595" customFormat="1" ht="27" customHeight="1">
      <c r="A243" s="2679"/>
      <c r="B243" s="3558"/>
      <c r="C243" s="3558"/>
      <c r="D243" s="1407" t="s">
        <v>8440</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6542</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10569</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10570</v>
      </c>
      <c r="E246" s="4355"/>
      <c r="F246" s="4445"/>
      <c r="G246" s="4446"/>
      <c r="H246" s="4320"/>
      <c r="I246" s="4440"/>
      <c r="J246" s="4743"/>
      <c r="K246" s="4600"/>
    </row>
    <row r="247" spans="1:122" s="3595" customFormat="1" ht="13.5" customHeight="1">
      <c r="A247" s="3616" t="s">
        <v>2756</v>
      </c>
      <c r="B247" s="3620">
        <v>742</v>
      </c>
      <c r="C247" s="3621">
        <v>998742203</v>
      </c>
      <c r="D247" s="3622" t="s">
        <v>7418</v>
      </c>
      <c r="E247" s="3622" t="s">
        <v>8</v>
      </c>
      <c r="F247" s="4449">
        <v>0.81</v>
      </c>
      <c r="G247" s="3597"/>
      <c r="H247" s="3975">
        <f t="shared" ref="H247:H248" si="55">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 t="shared" si="55"/>
        <v>0</v>
      </c>
      <c r="I248" s="3624" t="s">
        <v>142</v>
      </c>
      <c r="J248" s="4728"/>
      <c r="K248" s="4729"/>
      <c r="L248" s="4730"/>
      <c r="M248" s="3598"/>
      <c r="N248" s="3598"/>
      <c r="O248" s="3598"/>
    </row>
    <row r="249" spans="1:122" s="3596" customFormat="1" ht="13.5" customHeight="1">
      <c r="A249" s="3626"/>
      <c r="B249" s="3621"/>
      <c r="C249" s="3627"/>
      <c r="D249" s="3628" t="s">
        <v>7419</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7420</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736" t="s">
        <v>99</v>
      </c>
      <c r="B253" s="5737"/>
      <c r="C253" s="5738"/>
      <c r="D253" s="2568" t="s">
        <v>10510</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650" t="s">
        <v>7535</v>
      </c>
      <c r="B256" s="5650"/>
      <c r="C256" s="5650"/>
      <c r="D256" s="5650"/>
      <c r="E256" s="5650"/>
      <c r="F256" s="5650"/>
      <c r="G256" s="5650"/>
      <c r="H256" s="2575"/>
      <c r="I256" s="1406"/>
    </row>
    <row r="257" spans="1:12" s="1061" customFormat="1" ht="107.25" customHeight="1">
      <c r="A257" s="5650" t="s">
        <v>26</v>
      </c>
      <c r="B257" s="5650"/>
      <c r="C257" s="5650"/>
      <c r="D257" s="5650"/>
      <c r="E257" s="5650"/>
      <c r="F257" s="5650"/>
      <c r="G257" s="5650"/>
      <c r="H257" s="2575"/>
      <c r="I257" s="48"/>
      <c r="L257" s="2535"/>
    </row>
    <row r="258" spans="1:12" s="1061" customFormat="1" ht="13.5" customHeight="1">
      <c r="A258" s="5650" t="s">
        <v>27</v>
      </c>
      <c r="B258" s="5650"/>
      <c r="C258" s="5650"/>
      <c r="D258" s="5650"/>
      <c r="E258" s="5650"/>
      <c r="F258" s="5650"/>
      <c r="G258" s="5650"/>
      <c r="H258" s="2576"/>
      <c r="I258" s="318"/>
    </row>
    <row r="259" spans="1:12" s="1061" customFormat="1" ht="13.5" customHeight="1">
      <c r="A259" s="5650" t="s">
        <v>28</v>
      </c>
      <c r="B259" s="5650"/>
      <c r="C259" s="5650"/>
      <c r="D259" s="5650"/>
      <c r="E259" s="5650"/>
      <c r="F259" s="5650"/>
      <c r="G259" s="5650"/>
      <c r="H259" s="2576"/>
      <c r="I259" s="318"/>
    </row>
    <row r="260" spans="1:12" s="52" customFormat="1" ht="40.5" customHeight="1">
      <c r="A260" s="5652" t="s">
        <v>61</v>
      </c>
      <c r="B260" s="5652"/>
      <c r="C260" s="5652"/>
      <c r="D260" s="5652"/>
      <c r="E260" s="5652"/>
      <c r="F260" s="5652"/>
      <c r="G260" s="5652"/>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734" t="s">
        <v>112</v>
      </c>
      <c r="B2" s="5734"/>
      <c r="C2" s="5734"/>
      <c r="D2" s="3667"/>
      <c r="E2" s="3667"/>
      <c r="F2" s="3667"/>
      <c r="G2" s="3667"/>
      <c r="H2" s="3667"/>
      <c r="I2" s="3667"/>
    </row>
    <row r="3" spans="1:9" s="1362" customFormat="1" ht="13.5" customHeight="1">
      <c r="A3" s="5743" t="s">
        <v>2838</v>
      </c>
      <c r="B3" s="5743"/>
      <c r="C3" s="5743"/>
      <c r="D3" s="1688"/>
      <c r="E3" s="1306"/>
      <c r="F3" s="1298"/>
      <c r="G3" s="1298"/>
      <c r="H3" s="460"/>
      <c r="I3" s="460"/>
    </row>
    <row r="4" spans="1:9" ht="13.5" customHeight="1">
      <c r="A4" s="319"/>
      <c r="B4" s="319"/>
      <c r="C4" s="319"/>
    </row>
    <row r="5" spans="1:9" ht="33.200000000000003" customHeight="1">
      <c r="A5" s="645" t="s">
        <v>116</v>
      </c>
      <c r="B5" s="646" t="s">
        <v>68</v>
      </c>
      <c r="C5" s="3786" t="s">
        <v>10502</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10525</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734" t="s">
        <v>112</v>
      </c>
      <c r="B2" s="5745"/>
      <c r="C2" s="5745"/>
      <c r="D2" s="5745"/>
      <c r="E2" s="5745"/>
      <c r="F2" s="5745"/>
      <c r="G2" s="5745"/>
      <c r="H2" s="5745"/>
      <c r="I2" s="5745"/>
    </row>
    <row r="3" spans="1:37" s="485" customFormat="1" ht="13.5" customHeight="1">
      <c r="A3" s="5734" t="s">
        <v>2842</v>
      </c>
      <c r="B3" s="5746"/>
      <c r="C3" s="5746"/>
      <c r="D3" s="5746"/>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10502</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 t="shared" ref="H11" si="0">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 t="shared" ref="H14" si="1">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 t="shared" ref="H22" si="2">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 t="shared" ref="H27" si="3">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 t="shared" ref="H29" si="4">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 t="shared" ref="H32" si="5">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 t="shared" ref="H34" si="6">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 t="shared" ref="H37" si="7">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 t="shared" ref="H40" si="8">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 t="shared" ref="H43" si="9">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 t="shared" ref="H45" si="10">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 t="shared" ref="H48" si="11">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 t="shared" ref="H51" si="12">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 t="shared" ref="H54" si="13">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 t="shared" ref="H57" si="14">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 t="shared" ref="H60" si="15">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 t="shared" ref="H62" si="16">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 t="shared" ref="H65" si="17">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 t="shared" ref="H67" si="18">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 t="shared" ref="H72" si="19">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 t="shared" ref="H75" si="20">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 t="shared" ref="H80" si="21">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 t="shared" ref="H83" si="22">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 t="shared" ref="H86" si="23">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 t="shared" ref="H88" si="24">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 t="shared" ref="H91" si="25">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 t="shared" ref="H95" si="26">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 t="shared" ref="H99" si="27">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 t="shared" ref="H101" si="28">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 t="shared" ref="H104" si="29">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 t="shared" ref="H106" si="30">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 t="shared" ref="H109" si="31">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 t="shared" ref="H116" si="32">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 t="shared" ref="H119" si="33">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 t="shared" ref="H122" si="34">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 t="shared" ref="H125" si="35">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 t="shared" ref="H128" si="36">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 t="shared" ref="H131" si="37">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 t="shared" ref="H134" si="38">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 t="shared" ref="H137" si="39">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 t="shared" ref="H140" si="40">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 t="shared" ref="H143" si="41">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 t="shared" ref="H146" si="42">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 t="shared" ref="H149" si="43">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 t="shared" ref="H152" si="44">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 t="shared" ref="H155" si="45">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 t="shared" ref="H158" si="46">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 t="shared" ref="H161" si="47">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 t="shared" ref="H164" si="48">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 t="shared" ref="H167" si="49">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 t="shared" ref="H170" si="50">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 t="shared" ref="H173" si="51">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 t="shared" ref="H176" si="52">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 t="shared" ref="H179" si="53">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 t="shared" ref="H182" si="54">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 t="shared" ref="H185" si="55">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 t="shared" ref="H188" si="56">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 t="shared" ref="H191" si="57">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 t="shared" ref="H194" si="58">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 t="shared" ref="H197" si="59">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 t="shared" ref="H201" si="60">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 t="shared" ref="H204:H206" si="61">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 t="shared" si="61"/>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 t="shared" si="61"/>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 t="shared" ref="H208" si="62">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 t="shared" ref="H212:H213" si="63">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 t="shared" si="63"/>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 t="shared" ref="H215" si="64">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 t="shared" ref="H218:H221" si="65">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 t="shared" si="65"/>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 t="shared" si="65"/>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 t="shared" si="65"/>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 t="shared" ref="H225" si="66">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 t="shared" ref="H228" si="67">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 t="shared" ref="H230" si="68">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747" t="s">
        <v>99</v>
      </c>
      <c r="B234" s="5748"/>
      <c r="C234" s="5749"/>
      <c r="D234" s="1930" t="s">
        <v>10521</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744" t="s">
        <v>308</v>
      </c>
      <c r="B237" s="5744"/>
      <c r="C237" s="5744"/>
      <c r="D237" s="5744"/>
      <c r="E237" s="5744"/>
      <c r="F237" s="5744"/>
      <c r="G237" s="5744"/>
      <c r="H237" s="639"/>
      <c r="I237" s="1707"/>
    </row>
    <row r="238" spans="1:21" ht="93.75" customHeight="1">
      <c r="A238" s="5744" t="s">
        <v>26</v>
      </c>
      <c r="B238" s="5744"/>
      <c r="C238" s="5744"/>
      <c r="D238" s="5744"/>
      <c r="E238" s="5744"/>
      <c r="F238" s="5744"/>
      <c r="G238" s="5744"/>
      <c r="H238" s="639"/>
      <c r="I238" s="639"/>
    </row>
    <row r="239" spans="1:21" ht="13.5" customHeight="1">
      <c r="A239" s="5744" t="s">
        <v>27</v>
      </c>
      <c r="B239" s="5744"/>
      <c r="C239" s="5744"/>
      <c r="D239" s="5744"/>
      <c r="E239" s="5744"/>
      <c r="F239" s="5744"/>
      <c r="G239" s="5744"/>
      <c r="H239" s="640"/>
      <c r="I239" s="640"/>
    </row>
    <row r="240" spans="1:21" ht="13.5" customHeight="1">
      <c r="A240" s="5744" t="s">
        <v>28</v>
      </c>
      <c r="B240" s="5744"/>
      <c r="C240" s="5744"/>
      <c r="D240" s="5744"/>
      <c r="E240" s="5744"/>
      <c r="F240" s="5744"/>
      <c r="G240" s="5744"/>
      <c r="H240" s="640"/>
      <c r="I240" s="640"/>
    </row>
    <row r="241" spans="1:9" s="1943" customFormat="1" ht="40.5" customHeight="1">
      <c r="A241" s="5652" t="s">
        <v>61</v>
      </c>
      <c r="B241" s="5652"/>
      <c r="C241" s="5652"/>
      <c r="D241" s="5652"/>
      <c r="E241" s="5652"/>
      <c r="F241" s="5652"/>
      <c r="G241" s="5652"/>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734" t="s">
        <v>112</v>
      </c>
      <c r="B2" s="5745"/>
      <c r="C2" s="5745"/>
      <c r="D2" s="5745"/>
      <c r="E2" s="5745"/>
      <c r="F2" s="5745"/>
      <c r="G2" s="5745"/>
      <c r="H2" s="5745"/>
      <c r="I2" s="5745"/>
    </row>
    <row r="3" spans="1:256" s="485" customFormat="1" ht="13.5" customHeight="1">
      <c r="A3" s="5734" t="s">
        <v>2842</v>
      </c>
      <c r="B3" s="5746"/>
      <c r="C3" s="5746"/>
      <c r="D3" s="5746"/>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10502</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 t="shared" ref="H10" si="0">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 t="shared" ref="H16" si="1">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750" t="s">
        <v>3041</v>
      </c>
      <c r="H22" s="5750"/>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539">
        <v>4</v>
      </c>
      <c r="B28" s="5540" t="s">
        <v>3028</v>
      </c>
      <c r="C28" s="5540" t="s">
        <v>3045</v>
      </c>
      <c r="D28" s="5540" t="s">
        <v>3046</v>
      </c>
      <c r="E28" s="5540" t="s">
        <v>155</v>
      </c>
      <c r="F28" s="4393">
        <f>ROUND(SUM(F29),3)</f>
        <v>1</v>
      </c>
      <c r="G28" s="5541"/>
      <c r="H28" s="3925">
        <f t="shared" ref="H28" si="2">ROUND(F28*G28,2)</f>
        <v>0</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 t="shared" ref="H34" si="3">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539">
        <v>6</v>
      </c>
      <c r="B40" s="5540" t="s">
        <v>3028</v>
      </c>
      <c r="C40" s="5540" t="s">
        <v>3055</v>
      </c>
      <c r="D40" s="5540" t="s">
        <v>3056</v>
      </c>
      <c r="E40" s="5540" t="s">
        <v>155</v>
      </c>
      <c r="F40" s="4393">
        <f>ROUND(SUM(F41),3)</f>
        <v>1</v>
      </c>
      <c r="G40" s="5541"/>
      <c r="H40" s="3925">
        <f t="shared" ref="H40" si="4">ROUND(F40*G40,2)</f>
        <v>0</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539">
        <v>7</v>
      </c>
      <c r="B47" s="5540" t="s">
        <v>3028</v>
      </c>
      <c r="C47" s="5540" t="s">
        <v>3061</v>
      </c>
      <c r="D47" s="5540" t="s">
        <v>3062</v>
      </c>
      <c r="E47" s="5540" t="s">
        <v>155</v>
      </c>
      <c r="F47" s="4393">
        <f>ROUND(SUM(F48),3)</f>
        <v>1</v>
      </c>
      <c r="G47" s="5541"/>
      <c r="H47" s="3925">
        <f t="shared" ref="H47" si="5">ROUND(F47*G47,2)</f>
        <v>0</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539">
        <v>8</v>
      </c>
      <c r="B54" s="5540" t="s">
        <v>3028</v>
      </c>
      <c r="C54" s="5540" t="s">
        <v>3066</v>
      </c>
      <c r="D54" s="5540" t="s">
        <v>3067</v>
      </c>
      <c r="E54" s="5540" t="s">
        <v>155</v>
      </c>
      <c r="F54" s="4393">
        <f>ROUND(SUM(F55),3)</f>
        <v>1</v>
      </c>
      <c r="G54" s="5541"/>
      <c r="H54" s="3925">
        <f t="shared" ref="H54" si="6">ROUND(F54*G54,2)</f>
        <v>0</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 t="shared" ref="H60" si="7">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 t="shared" ref="H65" si="8">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747" t="s">
        <v>99</v>
      </c>
      <c r="B69" s="5748"/>
      <c r="C69" s="5749"/>
      <c r="D69" s="1930" t="s">
        <v>10522</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744" t="s">
        <v>308</v>
      </c>
      <c r="B72" s="5744"/>
      <c r="C72" s="5744"/>
      <c r="D72" s="5744"/>
      <c r="E72" s="5744"/>
      <c r="F72" s="5744"/>
      <c r="G72" s="5744"/>
      <c r="H72" s="639"/>
      <c r="I72" s="1707"/>
    </row>
    <row r="73" spans="1:10" ht="93.75" customHeight="1">
      <c r="A73" s="5744" t="s">
        <v>26</v>
      </c>
      <c r="B73" s="5744"/>
      <c r="C73" s="5744"/>
      <c r="D73" s="5744"/>
      <c r="E73" s="5744"/>
      <c r="F73" s="5744"/>
      <c r="G73" s="5744"/>
      <c r="H73" s="639"/>
      <c r="I73" s="639"/>
    </row>
    <row r="74" spans="1:10" ht="13.5" customHeight="1">
      <c r="A74" s="5744" t="s">
        <v>27</v>
      </c>
      <c r="B74" s="5744"/>
      <c r="C74" s="5744"/>
      <c r="D74" s="5744"/>
      <c r="E74" s="5744"/>
      <c r="F74" s="5744"/>
      <c r="G74" s="5744"/>
      <c r="H74" s="640"/>
      <c r="I74" s="640"/>
    </row>
    <row r="75" spans="1:10" ht="13.5" customHeight="1">
      <c r="A75" s="5744" t="s">
        <v>28</v>
      </c>
      <c r="B75" s="5744"/>
      <c r="C75" s="5744"/>
      <c r="D75" s="5744"/>
      <c r="E75" s="5744"/>
      <c r="F75" s="5744"/>
      <c r="G75" s="5744"/>
      <c r="H75" s="640"/>
      <c r="I75" s="640"/>
    </row>
    <row r="76" spans="1:10" s="1943" customFormat="1" ht="40.5" customHeight="1">
      <c r="A76" s="5652" t="s">
        <v>61</v>
      </c>
      <c r="B76" s="5652"/>
      <c r="C76" s="5652"/>
      <c r="D76" s="5652"/>
      <c r="E76" s="5652"/>
      <c r="F76" s="5652"/>
      <c r="G76" s="5652"/>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734" t="s">
        <v>112</v>
      </c>
      <c r="B2" s="5745"/>
      <c r="C2" s="5745"/>
      <c r="D2" s="5745"/>
      <c r="E2" s="5745"/>
      <c r="F2" s="5745"/>
      <c r="G2" s="5745"/>
      <c r="H2" s="5745"/>
      <c r="I2" s="5745"/>
    </row>
    <row r="3" spans="1:244" s="485" customFormat="1" ht="13.5" customHeight="1">
      <c r="A3" s="5734" t="s">
        <v>2842</v>
      </c>
      <c r="B3" s="5746"/>
      <c r="C3" s="5746"/>
      <c r="D3" s="5746"/>
      <c r="F3" s="1699"/>
      <c r="J3" s="5751"/>
      <c r="K3" s="5751"/>
      <c r="L3" s="5751"/>
      <c r="M3" s="5751"/>
      <c r="N3" s="5751"/>
    </row>
    <row r="4" spans="1:244" s="485" customFormat="1" ht="13.5" customHeight="1">
      <c r="A4" s="1702" t="s">
        <v>3078</v>
      </c>
      <c r="B4" s="1698"/>
      <c r="C4" s="1698"/>
      <c r="D4" s="1698"/>
      <c r="F4" s="1699"/>
      <c r="J4" s="5751"/>
      <c r="K4" s="5751"/>
      <c r="L4" s="5751"/>
      <c r="M4" s="5751"/>
      <c r="N4" s="5751"/>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10502</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 t="shared" ref="H20" si="1">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 t="shared" ref="H24" si="2">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 t="shared" ref="H26" si="3">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 t="shared" ref="H28" si="4">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 t="shared" ref="H33" si="5">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 t="shared" ref="H44:H48" si="6">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 t="shared" si="6"/>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 t="shared" si="6"/>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 t="shared" si="6"/>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 t="shared" si="6"/>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 t="shared" ref="H58:H61" si="7">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 t="shared" si="7"/>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 t="shared" si="7"/>
        <v>0</v>
      </c>
      <c r="I60" s="230" t="s">
        <v>142</v>
      </c>
      <c r="J60" s="211"/>
      <c r="K60" s="212"/>
      <c r="L60" s="212"/>
      <c r="M60" s="211"/>
      <c r="N60" s="213"/>
      <c r="O60" s="421"/>
    </row>
    <row r="61" spans="1:256" s="187" customFormat="1" ht="27" customHeight="1">
      <c r="A61" s="1995" t="s">
        <v>11577</v>
      </c>
      <c r="B61" s="151"/>
      <c r="C61" s="227">
        <v>162351123</v>
      </c>
      <c r="D61" s="135" t="s">
        <v>1320</v>
      </c>
      <c r="E61" s="135" t="s">
        <v>221</v>
      </c>
      <c r="F61" s="136">
        <f>F55</f>
        <v>75.350699999999989</v>
      </c>
      <c r="G61" s="229"/>
      <c r="H61" s="4153">
        <f t="shared" si="7"/>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 t="shared" ref="H63" si="8">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9">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9"/>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6953</v>
      </c>
      <c r="B70" s="1132"/>
      <c r="C70" s="1140">
        <v>162751113</v>
      </c>
      <c r="D70" s="455" t="s">
        <v>905</v>
      </c>
      <c r="E70" s="1140" t="s">
        <v>221</v>
      </c>
      <c r="F70" s="1330">
        <f>F64</f>
        <v>8.968</v>
      </c>
      <c r="G70" s="464"/>
      <c r="H70" s="3832">
        <f t="shared" si="9"/>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7110</v>
      </c>
      <c r="B71" s="1132"/>
      <c r="C71" s="1140">
        <v>162751133</v>
      </c>
      <c r="D71" s="455" t="s">
        <v>907</v>
      </c>
      <c r="E71" s="1140" t="s">
        <v>221</v>
      </c>
      <c r="F71" s="1330">
        <f>F66</f>
        <v>1.534</v>
      </c>
      <c r="G71" s="464"/>
      <c r="H71" s="3832">
        <f t="shared" si="9"/>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7111</v>
      </c>
      <c r="B72" s="1221"/>
      <c r="C72" s="227">
        <v>171251101</v>
      </c>
      <c r="D72" s="240" t="s">
        <v>299</v>
      </c>
      <c r="E72" s="2010" t="s">
        <v>221</v>
      </c>
      <c r="F72" s="1227">
        <f>F63</f>
        <v>10.502000000000001</v>
      </c>
      <c r="G72" s="553"/>
      <c r="H72" s="3832">
        <f t="shared" si="9"/>
        <v>0</v>
      </c>
      <c r="I72" s="230" t="s">
        <v>142</v>
      </c>
      <c r="J72" s="2003"/>
      <c r="K72" s="271"/>
      <c r="L72" s="120"/>
      <c r="M72" s="120"/>
      <c r="N72" s="120"/>
      <c r="O72" s="120"/>
      <c r="P72" s="120"/>
      <c r="Q72" s="120"/>
      <c r="R72" s="120"/>
      <c r="S72" s="232"/>
      <c r="U72" s="272"/>
      <c r="V72" s="120"/>
      <c r="W72" s="369"/>
    </row>
    <row r="73" spans="1:256" s="460" customFormat="1" ht="13.5" customHeight="1">
      <c r="A73" s="2011" t="s">
        <v>7112</v>
      </c>
      <c r="B73" s="2012"/>
      <c r="C73" s="2013">
        <v>171201221</v>
      </c>
      <c r="D73" s="281" t="s">
        <v>720</v>
      </c>
      <c r="E73" s="2013" t="s">
        <v>302</v>
      </c>
      <c r="F73" s="2014">
        <f>F63*2</f>
        <v>21.004000000000001</v>
      </c>
      <c r="G73" s="1297"/>
      <c r="H73" s="3832">
        <f t="shared" si="9"/>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 t="shared" ref="H77" si="10">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 t="shared" ref="H81" si="11">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 t="shared" ref="H86" si="12">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 t="shared" ref="H91" si="13">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 t="shared" ref="H94" si="14">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 t="shared" ref="H100" si="15">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 t="shared" ref="H106" si="16">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 t="shared" ref="H113:H114" si="17">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 t="shared" si="17"/>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747" t="s">
        <v>99</v>
      </c>
      <c r="B118" s="5748"/>
      <c r="C118" s="5749"/>
      <c r="D118" s="1930" t="s">
        <v>10523</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744" t="s">
        <v>308</v>
      </c>
      <c r="B121" s="5744"/>
      <c r="C121" s="5744"/>
      <c r="D121" s="5744"/>
      <c r="E121" s="5744"/>
      <c r="F121" s="5744"/>
      <c r="G121" s="5744"/>
      <c r="H121" s="639"/>
      <c r="I121" s="1707"/>
    </row>
    <row r="122" spans="1:23" ht="93.75" customHeight="1">
      <c r="A122" s="5744" t="s">
        <v>26</v>
      </c>
      <c r="B122" s="5744"/>
      <c r="C122" s="5744"/>
      <c r="D122" s="5744"/>
      <c r="E122" s="5744"/>
      <c r="F122" s="5744"/>
      <c r="G122" s="5744"/>
      <c r="H122" s="639"/>
      <c r="I122" s="639"/>
    </row>
    <row r="123" spans="1:23" ht="13.5" customHeight="1">
      <c r="A123" s="5744" t="s">
        <v>27</v>
      </c>
      <c r="B123" s="5744"/>
      <c r="C123" s="5744"/>
      <c r="D123" s="5744"/>
      <c r="E123" s="5744"/>
      <c r="F123" s="5744"/>
      <c r="G123" s="5744"/>
      <c r="H123" s="640"/>
      <c r="I123" s="640"/>
    </row>
    <row r="124" spans="1:23" ht="13.5" customHeight="1">
      <c r="A124" s="5744" t="s">
        <v>28</v>
      </c>
      <c r="B124" s="5744"/>
      <c r="C124" s="5744"/>
      <c r="D124" s="5744"/>
      <c r="E124" s="5744"/>
      <c r="F124" s="5744"/>
      <c r="G124" s="5744"/>
      <c r="H124" s="640"/>
      <c r="I124" s="640"/>
    </row>
    <row r="125" spans="1:23" s="1943" customFormat="1" ht="40.5" customHeight="1">
      <c r="A125" s="5652" t="s">
        <v>61</v>
      </c>
      <c r="B125" s="5652"/>
      <c r="C125" s="5652"/>
      <c r="D125" s="5652"/>
      <c r="E125" s="5652"/>
      <c r="F125" s="5652"/>
      <c r="G125" s="5652"/>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718" t="s">
        <v>112</v>
      </c>
      <c r="B2" s="5730"/>
      <c r="C2" s="5730"/>
      <c r="D2" s="5730"/>
      <c r="E2" s="5730"/>
      <c r="F2" s="5730"/>
      <c r="G2" s="5730"/>
      <c r="H2" s="5730"/>
      <c r="I2" s="5730"/>
    </row>
    <row r="3" spans="1:256" s="907" customFormat="1" ht="12.75" customHeight="1">
      <c r="A3" s="5734" t="s">
        <v>2436</v>
      </c>
      <c r="B3" s="5734"/>
      <c r="C3" s="5734"/>
      <c r="D3" s="573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10502</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753" t="s">
        <v>2577</v>
      </c>
      <c r="H165" s="5754"/>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753" t="s">
        <v>2577</v>
      </c>
      <c r="H176" s="5754"/>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753" t="s">
        <v>2577</v>
      </c>
      <c r="H185" s="5754"/>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753" t="s">
        <v>2577</v>
      </c>
      <c r="H194" s="5754"/>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753" t="s">
        <v>2577</v>
      </c>
      <c r="H203" s="5754"/>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753" t="s">
        <v>2577</v>
      </c>
      <c r="H231" s="5754"/>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755" t="s">
        <v>99</v>
      </c>
      <c r="B428" s="5756"/>
      <c r="C428" s="5757"/>
      <c r="D428" s="1670" t="s">
        <v>10524</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650" t="s">
        <v>308</v>
      </c>
      <c r="B431" s="5758"/>
      <c r="C431" s="5758"/>
      <c r="D431" s="5758"/>
      <c r="E431" s="5758"/>
      <c r="F431" s="5758"/>
      <c r="G431" s="5758"/>
      <c r="H431" s="48"/>
    </row>
    <row r="432" spans="1:21" s="48" customFormat="1" ht="102.75" customHeight="1">
      <c r="A432" s="5650" t="s">
        <v>26</v>
      </c>
      <c r="B432" s="5759"/>
      <c r="C432" s="5759"/>
      <c r="D432" s="5759"/>
      <c r="E432" s="5759"/>
      <c r="F432" s="5759"/>
      <c r="G432" s="5759"/>
    </row>
    <row r="433" spans="1:9" s="459" customFormat="1" ht="13.5" customHeight="1">
      <c r="A433" s="5650" t="s">
        <v>27</v>
      </c>
      <c r="B433" s="5752"/>
      <c r="C433" s="5752"/>
      <c r="D433" s="5752"/>
      <c r="E433" s="5752"/>
      <c r="F433" s="5752"/>
      <c r="G433" s="5752"/>
      <c r="H433" s="318"/>
      <c r="I433" s="318"/>
    </row>
    <row r="434" spans="1:9" s="459" customFormat="1" ht="13.5" customHeight="1">
      <c r="A434" s="5650" t="s">
        <v>28</v>
      </c>
      <c r="B434" s="5752"/>
      <c r="C434" s="5752"/>
      <c r="D434" s="5752"/>
      <c r="E434" s="5752"/>
      <c r="F434" s="5752"/>
      <c r="G434" s="5752"/>
      <c r="H434" s="318"/>
      <c r="I434" s="318"/>
    </row>
    <row r="435" spans="1:9" s="1301" customFormat="1" ht="27" customHeight="1">
      <c r="A435" s="5652" t="s">
        <v>2836</v>
      </c>
      <c r="B435" s="5652"/>
      <c r="C435" s="5652"/>
      <c r="D435" s="5652"/>
      <c r="E435" s="5652"/>
      <c r="F435" s="5652"/>
      <c r="G435" s="5652"/>
      <c r="I435" s="1682"/>
    </row>
    <row r="436" spans="1:9" s="1301" customFormat="1" ht="40.5" customHeight="1">
      <c r="A436" s="5652" t="s">
        <v>61</v>
      </c>
      <c r="B436" s="5652"/>
      <c r="C436" s="5652"/>
      <c r="D436" s="5652"/>
      <c r="E436" s="5652"/>
      <c r="F436" s="5652"/>
      <c r="G436" s="5652"/>
      <c r="I436" s="1682"/>
    </row>
  </sheetData>
  <mergeCells count="15">
    <mergeCell ref="G194:H194"/>
    <mergeCell ref="A2:I2"/>
    <mergeCell ref="A3:D3"/>
    <mergeCell ref="G165:H165"/>
    <mergeCell ref="G176:H176"/>
    <mergeCell ref="G185:H185"/>
    <mergeCell ref="A434:G434"/>
    <mergeCell ref="A435:G435"/>
    <mergeCell ref="A436:G436"/>
    <mergeCell ref="G203:H203"/>
    <mergeCell ref="G231:H231"/>
    <mergeCell ref="A428:C428"/>
    <mergeCell ref="A431:G431"/>
    <mergeCell ref="A432:G432"/>
    <mergeCell ref="A433:G43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718" t="s">
        <v>7081</v>
      </c>
      <c r="B2" s="5718" t="s">
        <v>7082</v>
      </c>
      <c r="C2" s="5718"/>
      <c r="D2" s="1688"/>
      <c r="E2" s="1306"/>
      <c r="F2" s="1298"/>
      <c r="G2" s="1298"/>
      <c r="H2" s="460"/>
      <c r="I2" s="460"/>
    </row>
    <row r="3" spans="1:9" s="1362" customFormat="1" ht="13.5" customHeight="1">
      <c r="A3" s="2424" t="s">
        <v>7083</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10502</v>
      </c>
    </row>
    <row r="6" spans="1:9" ht="12.6" customHeight="1">
      <c r="A6" s="3063">
        <v>1</v>
      </c>
      <c r="B6" s="3064">
        <v>2</v>
      </c>
      <c r="C6" s="4183">
        <v>3</v>
      </c>
    </row>
    <row r="7" spans="1:9" ht="21" customHeight="1">
      <c r="A7" s="651"/>
      <c r="B7" s="652"/>
      <c r="C7" s="4126"/>
    </row>
    <row r="8" spans="1:9" ht="13.5" customHeight="1">
      <c r="A8" s="3065">
        <v>1</v>
      </c>
      <c r="B8" s="3066" t="s">
        <v>7084</v>
      </c>
      <c r="C8" s="4184">
        <f>'D.1.4.10.3. DROBNÁ ARCH. - SKL.'!H159</f>
        <v>0</v>
      </c>
      <c r="E8" s="2310"/>
    </row>
    <row r="9" spans="1:9" ht="13.5" customHeight="1">
      <c r="A9" s="3065">
        <v>2</v>
      </c>
      <c r="B9" s="3066" t="s">
        <v>7085</v>
      </c>
      <c r="C9" s="4184">
        <f>'D.1.4.10.3. DROBNÁ ARCH. - ZÁZ.'!H306</f>
        <v>0</v>
      </c>
      <c r="E9" s="2310"/>
    </row>
    <row r="10" spans="1:9" ht="13.5" customHeight="1">
      <c r="A10" s="3065">
        <v>3</v>
      </c>
      <c r="B10" s="3066" t="s">
        <v>7086</v>
      </c>
      <c r="C10" s="4184">
        <f>'D.1.4.10.3. DROBNÁ ARCH. - KOL.'!H208</f>
        <v>0</v>
      </c>
      <c r="E10" s="2310"/>
    </row>
    <row r="11" spans="1:9" ht="21" customHeight="1">
      <c r="A11" s="3067"/>
      <c r="B11" s="3068" t="s">
        <v>10526</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98" zoomScaleNormal="100" workbookViewId="0">
      <selection activeCell="D117" sqref="D117"/>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18" t="s">
        <v>112</v>
      </c>
      <c r="B2" s="5760"/>
      <c r="C2" s="5760"/>
      <c r="D2" s="5760"/>
      <c r="E2" s="5760"/>
      <c r="F2" s="5760"/>
      <c r="G2" s="5760"/>
      <c r="H2" s="5760"/>
      <c r="I2" s="5760"/>
    </row>
    <row r="3" spans="1:256" s="907" customFormat="1" ht="12.75" customHeight="1">
      <c r="A3" s="5734" t="s">
        <v>7083</v>
      </c>
      <c r="B3" s="5734"/>
      <c r="C3" s="5734"/>
      <c r="D3" s="573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7087</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7088</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10502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7089</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7090</v>
      </c>
      <c r="E18" s="3092"/>
      <c r="F18" s="3094"/>
      <c r="G18" s="3095"/>
      <c r="H18" s="4031"/>
      <c r="I18" s="3096"/>
      <c r="J18" s="2432"/>
      <c r="T18" s="1292"/>
      <c r="V18" s="1292"/>
    </row>
    <row r="19" spans="1:23" s="1291" customFormat="1" ht="13.5" customHeight="1">
      <c r="A19" s="3090"/>
      <c r="B19" s="3091"/>
      <c r="C19" s="3092"/>
      <c r="D19" s="3093" t="s">
        <v>7091</v>
      </c>
      <c r="E19" s="3092"/>
      <c r="F19" s="3094">
        <f>((3.3*7.3)*0.24)*0.9</f>
        <v>5.2034400000000005</v>
      </c>
      <c r="G19" s="3095"/>
      <c r="H19" s="4031"/>
      <c r="I19" s="3096"/>
      <c r="J19" s="2433"/>
      <c r="T19" s="1292"/>
      <c r="V19" s="1292"/>
    </row>
    <row r="20" spans="1:23" s="1291" customFormat="1" ht="13.5" customHeight="1">
      <c r="A20" s="3090"/>
      <c r="B20" s="3091"/>
      <c r="C20" s="3092"/>
      <c r="D20" s="3093" t="s">
        <v>7092</v>
      </c>
      <c r="E20" s="3092"/>
      <c r="F20" s="3094">
        <f>((4.6*2+7.6*2)*(0.65*0.8))*0.9</f>
        <v>11.4192</v>
      </c>
      <c r="G20" s="3095"/>
      <c r="H20" s="4031"/>
      <c r="I20" s="3096"/>
      <c r="J20" s="2433"/>
      <c r="T20" s="1292"/>
      <c r="V20" s="1292"/>
    </row>
    <row r="21" spans="1:23" s="1291" customFormat="1" ht="13.5" customHeight="1">
      <c r="A21" s="3090"/>
      <c r="B21" s="3091"/>
      <c r="C21" s="3092"/>
      <c r="D21" s="3093" t="s">
        <v>7093</v>
      </c>
      <c r="E21" s="3092"/>
      <c r="F21" s="3094">
        <f>((4.6*2+10.2*2)*((0.8*0.8)/2))*0.9</f>
        <v>8.5248000000000008</v>
      </c>
      <c r="G21" s="3095"/>
      <c r="H21" s="4031"/>
      <c r="I21" s="3096"/>
      <c r="J21" s="2433"/>
      <c r="T21" s="1292"/>
      <c r="V21" s="1292"/>
    </row>
    <row r="22" spans="1:23" s="1291" customFormat="1" ht="27" customHeight="1">
      <c r="A22" s="3090"/>
      <c r="B22" s="3091"/>
      <c r="C22" s="3092"/>
      <c r="D22" s="3092" t="s">
        <v>7094</v>
      </c>
      <c r="E22" s="3092"/>
      <c r="F22" s="3094"/>
      <c r="G22" s="3095"/>
      <c r="H22" s="4031"/>
      <c r="I22" s="3096"/>
      <c r="J22" s="1290"/>
      <c r="U22" s="1292"/>
      <c r="W22" s="1292"/>
    </row>
    <row r="23" spans="1:23" s="595" customFormat="1" ht="13.5" customHeight="1">
      <c r="A23" s="3086">
        <v>8</v>
      </c>
      <c r="B23" s="3087" t="s">
        <v>850</v>
      </c>
      <c r="C23" s="3087">
        <v>131351100</v>
      </c>
      <c r="D23" s="3087" t="s">
        <v>7095</v>
      </c>
      <c r="E23" s="3087" t="s">
        <v>221</v>
      </c>
      <c r="F23" s="3279">
        <f>ROUND(SUM(F25:F27),3)</f>
        <v>2.794</v>
      </c>
      <c r="G23" s="3088"/>
      <c r="H23" s="3942">
        <f>ROUND(F23*G23,2)</f>
        <v>0</v>
      </c>
      <c r="I23" s="3089" t="s">
        <v>142</v>
      </c>
      <c r="J23" s="2434"/>
    </row>
    <row r="24" spans="1:23" s="1291" customFormat="1" ht="13.5" customHeight="1">
      <c r="A24" s="3090"/>
      <c r="B24" s="3091"/>
      <c r="C24" s="3092"/>
      <c r="D24" s="3093" t="s">
        <v>7096</v>
      </c>
      <c r="E24" s="3092"/>
      <c r="F24" s="3094"/>
      <c r="G24" s="3095"/>
      <c r="H24" s="4031"/>
      <c r="I24" s="3096"/>
      <c r="J24" s="2432"/>
      <c r="T24" s="1292"/>
      <c r="V24" s="1292"/>
    </row>
    <row r="25" spans="1:23" s="1291" customFormat="1" ht="13.5" customHeight="1">
      <c r="A25" s="3090"/>
      <c r="B25" s="3091"/>
      <c r="C25" s="3092"/>
      <c r="D25" s="3093" t="s">
        <v>7097</v>
      </c>
      <c r="E25" s="3092"/>
      <c r="F25" s="3094">
        <f>((3.3*7.3)*0.24)*0.1</f>
        <v>0.57816000000000001</v>
      </c>
      <c r="G25" s="3095"/>
      <c r="H25" s="4031"/>
      <c r="I25" s="3096"/>
      <c r="J25" s="2432"/>
      <c r="T25" s="1292"/>
      <c r="V25" s="1292"/>
    </row>
    <row r="26" spans="1:23" s="1291" customFormat="1" ht="13.5" customHeight="1">
      <c r="A26" s="3090"/>
      <c r="B26" s="3091"/>
      <c r="C26" s="3092"/>
      <c r="D26" s="3093" t="s">
        <v>7098</v>
      </c>
      <c r="E26" s="3092"/>
      <c r="F26" s="3094">
        <f>((4.6*2+7.6*2)*(0.65*0.8))*0.1</f>
        <v>1.2687999999999999</v>
      </c>
      <c r="G26" s="3095"/>
      <c r="H26" s="4031"/>
      <c r="I26" s="3096"/>
      <c r="J26" s="2432"/>
      <c r="T26" s="1292"/>
      <c r="V26" s="1292"/>
    </row>
    <row r="27" spans="1:23" s="1291" customFormat="1" ht="13.5" customHeight="1">
      <c r="A27" s="3090"/>
      <c r="B27" s="3091"/>
      <c r="C27" s="3092"/>
      <c r="D27" s="3093" t="s">
        <v>7099</v>
      </c>
      <c r="E27" s="3092"/>
      <c r="F27" s="3094">
        <f>((4.6*2+10.2*2)*((0.8*0.8)/2))*0.1</f>
        <v>0.94720000000000015</v>
      </c>
      <c r="G27" s="3095"/>
      <c r="H27" s="4031"/>
      <c r="I27" s="3096"/>
      <c r="J27" s="2432"/>
      <c r="T27" s="1292"/>
      <c r="V27" s="1292"/>
    </row>
    <row r="28" spans="1:23" s="1291" customFormat="1" ht="27" customHeight="1">
      <c r="A28" s="3090"/>
      <c r="B28" s="3091"/>
      <c r="C28" s="3092"/>
      <c r="D28" s="3092" t="s">
        <v>7094</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7100</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7101</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7102</v>
      </c>
      <c r="E34" s="3114"/>
      <c r="F34" s="3117"/>
      <c r="G34" s="3115"/>
      <c r="H34" s="4201"/>
      <c r="I34" s="3118"/>
      <c r="J34" s="2436"/>
    </row>
    <row r="35" spans="1:256" s="2317" customFormat="1" ht="13.5" customHeight="1">
      <c r="A35" s="3112"/>
      <c r="B35" s="3114"/>
      <c r="C35" s="3114"/>
      <c r="D35" s="3116" t="s">
        <v>7103</v>
      </c>
      <c r="E35" s="3114"/>
      <c r="F35" s="3119">
        <f>(12.69+9.47)</f>
        <v>22.16</v>
      </c>
      <c r="G35" s="3115"/>
      <c r="H35" s="4201"/>
      <c r="I35" s="3118"/>
    </row>
    <row r="36" spans="1:256" s="2317" customFormat="1" ht="27" customHeight="1">
      <c r="A36" s="3112"/>
      <c r="B36" s="3114"/>
      <c r="C36" s="3114"/>
      <c r="D36" s="3116" t="s">
        <v>7104</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7105</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7106</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 t="shared" ref="H43:H45" si="1">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 t="shared" si="1"/>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 t="shared" si="1"/>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7107</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 t="shared" ref="H52:H53" si="2">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 t="shared" si="2"/>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7108</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7109</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3">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3"/>
        <v>0</v>
      </c>
      <c r="I63" s="3130" t="s">
        <v>142</v>
      </c>
      <c r="J63" s="231"/>
      <c r="K63" s="231"/>
      <c r="L63" s="120"/>
      <c r="M63" s="120"/>
      <c r="N63" s="120"/>
      <c r="O63" s="120"/>
      <c r="P63" s="120"/>
      <c r="Q63" s="120"/>
      <c r="R63" s="120"/>
      <c r="S63" s="232"/>
      <c r="V63" s="120"/>
    </row>
    <row r="64" spans="1:256" s="245" customFormat="1" ht="27" customHeight="1">
      <c r="A64" s="3155" t="s">
        <v>6953</v>
      </c>
      <c r="B64" s="3139"/>
      <c r="C64" s="3129">
        <v>162751113</v>
      </c>
      <c r="D64" s="3141" t="s">
        <v>905</v>
      </c>
      <c r="E64" s="3156" t="s">
        <v>221</v>
      </c>
      <c r="F64" s="3157">
        <f>F58</f>
        <v>5.602999999999998</v>
      </c>
      <c r="G64" s="3158"/>
      <c r="H64" s="4186">
        <f t="shared" si="3"/>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7110</v>
      </c>
      <c r="B65" s="3139"/>
      <c r="C65" s="3129">
        <v>162751133</v>
      </c>
      <c r="D65" s="3141" t="s">
        <v>907</v>
      </c>
      <c r="E65" s="3156" t="s">
        <v>221</v>
      </c>
      <c r="F65" s="3157">
        <f>F60</f>
        <v>2.794</v>
      </c>
      <c r="G65" s="3158"/>
      <c r="H65" s="4186">
        <f t="shared" si="3"/>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7111</v>
      </c>
      <c r="B66" s="3078"/>
      <c r="C66" s="3129">
        <v>171251101</v>
      </c>
      <c r="D66" s="3159" t="s">
        <v>299</v>
      </c>
      <c r="E66" s="3133" t="s">
        <v>221</v>
      </c>
      <c r="F66" s="3134">
        <f>F56</f>
        <v>8.3970000000000002</v>
      </c>
      <c r="G66" s="3154"/>
      <c r="H66" s="4186">
        <f t="shared" si="3"/>
        <v>0</v>
      </c>
      <c r="I66" s="3130" t="s">
        <v>142</v>
      </c>
      <c r="J66" s="231"/>
      <c r="K66" s="231"/>
      <c r="L66" s="120"/>
      <c r="M66" s="120"/>
      <c r="N66" s="120"/>
      <c r="O66" s="120"/>
      <c r="P66" s="120"/>
      <c r="Q66" s="120"/>
      <c r="R66" s="120"/>
      <c r="S66" s="232"/>
      <c r="V66" s="120"/>
    </row>
    <row r="67" spans="1:256" s="532" customFormat="1" ht="13.5" customHeight="1">
      <c r="A67" s="3132" t="s">
        <v>7112</v>
      </c>
      <c r="B67" s="3078"/>
      <c r="C67" s="3129">
        <v>171201221</v>
      </c>
      <c r="D67" s="3131" t="s">
        <v>720</v>
      </c>
      <c r="E67" s="3133" t="s">
        <v>302</v>
      </c>
      <c r="F67" s="3134">
        <f>F56*2</f>
        <v>16.794</v>
      </c>
      <c r="G67" s="3154"/>
      <c r="H67" s="4186">
        <f t="shared" si="3"/>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7113</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7114</v>
      </c>
      <c r="E72" s="3282"/>
      <c r="F72" s="3279"/>
      <c r="G72" s="3409"/>
      <c r="H72" s="4208"/>
      <c r="I72" s="3089"/>
      <c r="M72" s="4681"/>
      <c r="O72" s="3305"/>
      <c r="P72" s="3305"/>
    </row>
    <row r="73" spans="1:256" s="3473" customFormat="1" ht="13.5" customHeight="1">
      <c r="A73" s="3446"/>
      <c r="B73" s="3287"/>
      <c r="C73" s="3287"/>
      <c r="D73" s="3287" t="s">
        <v>7115</v>
      </c>
      <c r="E73" s="3287"/>
      <c r="F73" s="3291">
        <f>((7.6+7.6+3.3+3.3)*1)*1.05</f>
        <v>22.89</v>
      </c>
      <c r="G73" s="3447"/>
      <c r="H73" s="4209"/>
      <c r="I73" s="3515"/>
      <c r="J73" s="4679"/>
      <c r="O73" s="4680"/>
      <c r="P73" s="4680"/>
    </row>
    <row r="74" spans="1:256" s="3473" customFormat="1" ht="13.5" customHeight="1">
      <c r="A74" s="3446"/>
      <c r="B74" s="3287"/>
      <c r="C74" s="3287"/>
      <c r="D74" s="3287" t="s">
        <v>7116</v>
      </c>
      <c r="E74" s="3287"/>
      <c r="F74" s="3291"/>
      <c r="G74" s="3447"/>
      <c r="H74" s="4209"/>
      <c r="I74" s="3515"/>
      <c r="J74" s="4679"/>
      <c r="O74" s="4680"/>
      <c r="P74" s="4680"/>
    </row>
    <row r="75" spans="1:256" s="3473" customFormat="1" ht="13.5" customHeight="1">
      <c r="A75" s="3408">
        <v>17</v>
      </c>
      <c r="B75" s="3281" t="s">
        <v>911</v>
      </c>
      <c r="C75" s="3282">
        <v>279361821</v>
      </c>
      <c r="D75" s="3282" t="s">
        <v>7117</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7118</v>
      </c>
      <c r="E76" s="3282"/>
      <c r="F76" s="3279"/>
      <c r="G76" s="3409"/>
      <c r="H76" s="4208"/>
      <c r="I76" s="3089"/>
      <c r="M76" s="4681"/>
      <c r="O76" s="3305"/>
      <c r="P76" s="3305"/>
    </row>
    <row r="77" spans="1:256" s="3473" customFormat="1" ht="27" customHeight="1">
      <c r="A77" s="3446"/>
      <c r="B77" s="3287"/>
      <c r="C77" s="3287"/>
      <c r="D77" s="3287" t="s">
        <v>7119</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4159</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7120</v>
      </c>
      <c r="E80" s="3183"/>
      <c r="F80" s="3186"/>
      <c r="G80" s="3184"/>
      <c r="H80" s="4192"/>
      <c r="I80" s="3187"/>
      <c r="J80" s="2444"/>
      <c r="L80" s="2445"/>
    </row>
    <row r="81" spans="1:25" s="2447" customFormat="1" ht="13.5" customHeight="1">
      <c r="A81" s="3181"/>
      <c r="B81" s="3182"/>
      <c r="C81" s="3183"/>
      <c r="D81" s="3185" t="s">
        <v>7121</v>
      </c>
      <c r="E81" s="3183"/>
      <c r="F81" s="3188"/>
      <c r="G81" s="3184"/>
      <c r="H81" s="4192"/>
      <c r="I81" s="3180"/>
      <c r="J81" s="2446"/>
      <c r="L81" s="2445"/>
      <c r="M81" s="933"/>
    </row>
    <row r="82" spans="1:25" s="2447" customFormat="1" ht="13.5" customHeight="1">
      <c r="A82" s="3181"/>
      <c r="B82" s="3182"/>
      <c r="C82" s="3183"/>
      <c r="D82" s="3185" t="s">
        <v>7122</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7123</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7124</v>
      </c>
      <c r="E86" s="3129" t="s">
        <v>611</v>
      </c>
      <c r="F86" s="3202">
        <f>F84</f>
        <v>24.09</v>
      </c>
      <c r="G86" s="3203"/>
      <c r="H86" s="4186">
        <f t="shared" ref="H86:H87" si="4">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7125</v>
      </c>
      <c r="E87" s="3207" t="s">
        <v>611</v>
      </c>
      <c r="F87" s="3208">
        <f>(24.09)*1.1</f>
        <v>26.499000000000002</v>
      </c>
      <c r="G87" s="3209"/>
      <c r="H87" s="4211">
        <f t="shared" si="4"/>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761" t="s">
        <v>2577</v>
      </c>
      <c r="H88" s="5762"/>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7126</v>
      </c>
      <c r="E89" s="3213" t="s">
        <v>611</v>
      </c>
      <c r="F89" s="3214">
        <f>(24.09)*1.1</f>
        <v>26.499000000000002</v>
      </c>
      <c r="G89" s="3215"/>
      <c r="H89" s="4186">
        <f t="shared" ref="H89" si="5">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7127</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7128</v>
      </c>
      <c r="E92" s="3220"/>
      <c r="F92" s="3103"/>
      <c r="G92" s="3071"/>
      <c r="H92" s="4188"/>
      <c r="I92" s="3076"/>
      <c r="J92" s="1324"/>
      <c r="K92" s="1325"/>
    </row>
    <row r="93" spans="1:25" s="460" customFormat="1" ht="27" customHeight="1">
      <c r="A93" s="3097"/>
      <c r="B93" s="3121"/>
      <c r="C93" s="3098"/>
      <c r="D93" s="3102" t="s">
        <v>7129</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7130</v>
      </c>
      <c r="C95" s="3225">
        <v>998014211</v>
      </c>
      <c r="D95" s="3225" t="s">
        <v>7131</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7132</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7133</v>
      </c>
      <c r="E98" s="3228"/>
      <c r="F98" s="3119">
        <f>(9.143+2.149+3.472)</f>
        <v>14.764000000000001</v>
      </c>
      <c r="G98" s="3099"/>
      <c r="H98" s="4189"/>
      <c r="I98" s="3229"/>
      <c r="J98" s="1145"/>
      <c r="K98" s="1146"/>
      <c r="L98" s="461"/>
    </row>
    <row r="99" spans="1:21" s="2452" customFormat="1" ht="13.5" customHeight="1">
      <c r="A99" s="3230">
        <v>22</v>
      </c>
      <c r="B99" s="3182" t="s">
        <v>188</v>
      </c>
      <c r="C99" s="3183" t="s">
        <v>7134</v>
      </c>
      <c r="D99" s="3183" t="s">
        <v>7135</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SUM(H102,H144)</f>
        <v>0</v>
      </c>
      <c r="I101" s="3236"/>
      <c r="L101" s="2454"/>
    </row>
    <row r="102" spans="1:21" s="3286" customFormat="1" ht="13.5" customHeight="1">
      <c r="A102" s="3458"/>
      <c r="B102" s="3459"/>
      <c r="C102" s="3459">
        <v>741</v>
      </c>
      <c r="D102" s="3459" t="s">
        <v>7136</v>
      </c>
      <c r="E102" s="3459"/>
      <c r="F102" s="3460"/>
      <c r="G102" s="3461"/>
      <c r="H102" s="4194">
        <f>SUM(H103:H143)</f>
        <v>0</v>
      </c>
      <c r="I102" s="3462"/>
    </row>
    <row r="103" spans="1:21" s="3286" customFormat="1" ht="13.5" customHeight="1">
      <c r="A103" s="3237">
        <v>23</v>
      </c>
      <c r="B103" s="3463">
        <v>741</v>
      </c>
      <c r="C103" s="3463" t="s">
        <v>7137</v>
      </c>
      <c r="D103" s="3463" t="s">
        <v>7138</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7139</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7140</v>
      </c>
      <c r="E105" s="3464"/>
      <c r="F105" s="3467">
        <v>4</v>
      </c>
      <c r="G105" s="3468"/>
      <c r="H105" s="4119"/>
      <c r="I105" s="3465"/>
      <c r="J105" s="3296"/>
      <c r="M105" s="3470"/>
      <c r="Q105" s="3471"/>
      <c r="S105" s="3471"/>
    </row>
    <row r="106" spans="1:21" s="3286" customFormat="1" ht="13.5" customHeight="1">
      <c r="A106" s="3237"/>
      <c r="B106" s="3463"/>
      <c r="C106" s="3463"/>
      <c r="D106" s="3466" t="s">
        <v>7141</v>
      </c>
      <c r="E106" s="3464"/>
      <c r="F106" s="3467"/>
      <c r="G106" s="3468"/>
      <c r="H106" s="4119"/>
      <c r="I106" s="3516"/>
      <c r="J106" s="4677"/>
      <c r="K106" s="4677"/>
      <c r="M106" s="3470"/>
      <c r="Q106" s="3471"/>
    </row>
    <row r="107" spans="1:21" s="3473" customFormat="1" ht="13.5" customHeight="1">
      <c r="A107" s="3484">
        <v>25</v>
      </c>
      <c r="B107" s="3463">
        <v>741</v>
      </c>
      <c r="C107" s="3463" t="s">
        <v>7143</v>
      </c>
      <c r="D107" s="3463" t="s">
        <v>7144</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7145</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7146</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7147</v>
      </c>
      <c r="D110" s="3463" t="s">
        <v>7148</v>
      </c>
      <c r="E110" s="3463" t="s">
        <v>23</v>
      </c>
      <c r="F110" s="3080">
        <f>ROUND(SUM(F112),3)</f>
        <v>1</v>
      </c>
      <c r="G110" s="3468"/>
      <c r="H110" s="3942">
        <f>ROUND(F110*G110,2)</f>
        <v>0</v>
      </c>
      <c r="I110" s="3465" t="s">
        <v>60</v>
      </c>
      <c r="M110" s="3482"/>
    </row>
    <row r="111" spans="1:21" s="3473" customFormat="1" ht="13.5" customHeight="1">
      <c r="A111" s="3237"/>
      <c r="B111" s="3463"/>
      <c r="C111" s="3463"/>
      <c r="D111" s="3466" t="s">
        <v>7149</v>
      </c>
      <c r="E111" s="3463"/>
      <c r="F111" s="3481"/>
      <c r="G111" s="3468"/>
      <c r="H111" s="4119"/>
      <c r="I111" s="3465"/>
      <c r="M111" s="3482"/>
    </row>
    <row r="112" spans="1:21" s="3473" customFormat="1" ht="13.5" customHeight="1">
      <c r="A112" s="3237"/>
      <c r="B112" s="3463"/>
      <c r="C112" s="3463"/>
      <c r="D112" s="3287" t="s">
        <v>7140</v>
      </c>
      <c r="E112" s="3464"/>
      <c r="F112" s="3467">
        <v>1</v>
      </c>
      <c r="G112" s="3468"/>
      <c r="H112" s="4119"/>
      <c r="I112" s="3465"/>
      <c r="M112" s="3482"/>
    </row>
    <row r="113" spans="1:97" s="3473" customFormat="1" ht="27" customHeight="1">
      <c r="A113" s="3237"/>
      <c r="B113" s="3463"/>
      <c r="C113" s="3463"/>
      <c r="D113" s="3494" t="s">
        <v>7150</v>
      </c>
      <c r="E113" s="3463"/>
      <c r="F113" s="3467"/>
      <c r="G113" s="3468"/>
      <c r="H113" s="4119"/>
      <c r="I113" s="3465"/>
      <c r="M113" s="3482"/>
    </row>
    <row r="114" spans="1:97" s="3473" customFormat="1" ht="13.5" customHeight="1">
      <c r="A114" s="3484">
        <v>27</v>
      </c>
      <c r="B114" s="3463">
        <v>741</v>
      </c>
      <c r="C114" s="3240" t="s">
        <v>7151</v>
      </c>
      <c r="D114" s="3463" t="s">
        <v>7152</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7153</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10121</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7154</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5579">
        <v>28</v>
      </c>
      <c r="B118" s="3463">
        <v>741</v>
      </c>
      <c r="C118" s="3240" t="s">
        <v>7155</v>
      </c>
      <c r="D118" s="3463" t="s">
        <v>11704</v>
      </c>
      <c r="E118" s="3463" t="s">
        <v>141</v>
      </c>
      <c r="F118" s="3481">
        <f>SUM(F119)</f>
        <v>2.2000000000000002</v>
      </c>
      <c r="G118" s="5763" t="s">
        <v>11578</v>
      </c>
      <c r="H118" s="5764"/>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7392</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7154</v>
      </c>
      <c r="E120" s="3463"/>
      <c r="F120" s="3481"/>
      <c r="G120" s="3468"/>
      <c r="H120" s="4119"/>
      <c r="I120" s="3239"/>
      <c r="J120" s="3495"/>
      <c r="K120" s="3490"/>
      <c r="L120" s="3490"/>
      <c r="M120" s="3490"/>
      <c r="N120" s="3490"/>
      <c r="O120" s="3490"/>
      <c r="P120" s="3490"/>
    </row>
    <row r="121" spans="1:97" s="3473" customFormat="1" ht="13.5" customHeight="1">
      <c r="A121" s="5579" t="s">
        <v>641</v>
      </c>
      <c r="B121" s="5600">
        <v>741</v>
      </c>
      <c r="C121" s="5601" t="s">
        <v>11703</v>
      </c>
      <c r="D121" s="5600" t="s">
        <v>11702</v>
      </c>
      <c r="E121" s="5600" t="s">
        <v>141</v>
      </c>
      <c r="F121" s="5602">
        <f>SUM(F122)</f>
        <v>2.2000000000000002</v>
      </c>
      <c r="G121" s="5603"/>
      <c r="H121" s="5604">
        <f>ROUND(F121*G121,2)</f>
        <v>0</v>
      </c>
      <c r="I121" s="5605" t="s">
        <v>60</v>
      </c>
      <c r="J121" s="2460"/>
      <c r="K121" s="2461"/>
      <c r="L121" s="2462"/>
      <c r="M121" s="2462"/>
      <c r="N121" s="2462"/>
      <c r="O121" s="2462"/>
      <c r="P121" s="2462"/>
      <c r="Q121" s="2462"/>
      <c r="R121" s="2462"/>
      <c r="S121" s="2462"/>
      <c r="T121" s="2462"/>
      <c r="U121" s="2462"/>
      <c r="V121" s="2462"/>
      <c r="W121" s="2463"/>
    </row>
    <row r="122" spans="1:97" s="3473" customFormat="1" ht="13.5" customHeight="1">
      <c r="A122" s="5579"/>
      <c r="B122" s="5600"/>
      <c r="C122" s="5600"/>
      <c r="D122" s="5600" t="s">
        <v>7392</v>
      </c>
      <c r="E122" s="5600"/>
      <c r="F122" s="5606">
        <f>(2)*1.1</f>
        <v>2.2000000000000002</v>
      </c>
      <c r="G122" s="5603"/>
      <c r="H122" s="5607"/>
      <c r="I122" s="5605"/>
      <c r="J122" s="2464"/>
      <c r="K122" s="2465"/>
      <c r="L122" s="2466"/>
      <c r="M122" s="2466"/>
      <c r="O122" s="2467"/>
      <c r="P122" s="2466"/>
      <c r="Q122" s="2466"/>
      <c r="R122" s="2466"/>
      <c r="S122" s="2466"/>
      <c r="T122" s="2466"/>
      <c r="U122" s="2466"/>
      <c r="V122" s="2466"/>
      <c r="W122" s="2468"/>
    </row>
    <row r="123" spans="1:97" s="3473" customFormat="1" ht="13.5" customHeight="1">
      <c r="A123" s="5579"/>
      <c r="B123" s="5600"/>
      <c r="C123" s="5600"/>
      <c r="D123" s="5600" t="s">
        <v>7154</v>
      </c>
      <c r="E123" s="5600"/>
      <c r="F123" s="5602"/>
      <c r="G123" s="5603"/>
      <c r="H123" s="5607"/>
      <c r="I123" s="5605"/>
      <c r="J123" s="3495"/>
      <c r="K123" s="3490"/>
      <c r="L123" s="3490"/>
      <c r="M123" s="3490"/>
      <c r="N123" s="3490"/>
      <c r="O123" s="3490"/>
      <c r="P123" s="3490"/>
    </row>
    <row r="124" spans="1:97" s="3473" customFormat="1" ht="13.5" customHeight="1">
      <c r="A124" s="3484">
        <v>29</v>
      </c>
      <c r="B124" s="3463">
        <v>741</v>
      </c>
      <c r="C124" s="3240" t="s">
        <v>7157</v>
      </c>
      <c r="D124" s="3241" t="s">
        <v>7158</v>
      </c>
      <c r="E124" s="3463" t="s">
        <v>155</v>
      </c>
      <c r="F124" s="3481">
        <f>SUM(F125)</f>
        <v>13</v>
      </c>
      <c r="G124" s="3468"/>
      <c r="H124" s="3942">
        <f>ROUND(F124*G124,2)</f>
        <v>0</v>
      </c>
      <c r="I124" s="3239" t="s">
        <v>60</v>
      </c>
      <c r="W124" s="2468"/>
    </row>
    <row r="125" spans="1:97" s="3473" customFormat="1" ht="13.5" customHeight="1">
      <c r="A125" s="3484"/>
      <c r="B125" s="3463"/>
      <c r="C125" s="3240"/>
      <c r="D125" s="3474" t="s">
        <v>7159</v>
      </c>
      <c r="E125" s="3463"/>
      <c r="F125" s="3475">
        <v>13</v>
      </c>
      <c r="G125" s="3468"/>
      <c r="H125" s="4119"/>
      <c r="I125" s="3239"/>
      <c r="J125" s="2460"/>
      <c r="K125" s="2461"/>
      <c r="L125" s="2462"/>
      <c r="M125" s="2462"/>
      <c r="N125" s="2462"/>
      <c r="O125" s="2462"/>
      <c r="P125" s="2462"/>
      <c r="Q125" s="2462"/>
      <c r="R125" s="2462"/>
      <c r="S125" s="2462"/>
      <c r="T125" s="2462"/>
      <c r="U125" s="2462"/>
      <c r="V125" s="2462"/>
      <c r="W125" s="2463"/>
    </row>
    <row r="126" spans="1:97" s="3498" customFormat="1" ht="13.5" customHeight="1">
      <c r="A126" s="3484"/>
      <c r="B126" s="3463"/>
      <c r="C126" s="3463"/>
      <c r="D126" s="3474" t="s">
        <v>7154</v>
      </c>
      <c r="E126" s="3463"/>
      <c r="F126" s="3496"/>
      <c r="G126" s="3468"/>
      <c r="H126" s="4119"/>
      <c r="I126" s="3239"/>
      <c r="J126" s="2464"/>
      <c r="K126" s="2465"/>
      <c r="L126" s="2466"/>
      <c r="M126" s="2466"/>
      <c r="N126" s="2466"/>
      <c r="O126" s="2467"/>
      <c r="P126" s="2466"/>
      <c r="Q126" s="2466"/>
      <c r="R126" s="2467"/>
      <c r="S126" s="2466"/>
      <c r="T126" s="2466"/>
      <c r="U126" s="2466"/>
      <c r="V126" s="2466"/>
      <c r="W126" s="2468"/>
      <c r="X126" s="3473"/>
      <c r="Y126" s="3473"/>
      <c r="Z126" s="3473"/>
      <c r="AA126" s="3473"/>
      <c r="AB126" s="3473"/>
      <c r="AC126" s="3410"/>
      <c r="AD126" s="3410"/>
      <c r="AE126" s="3410"/>
      <c r="AF126" s="3410"/>
      <c r="AG126" s="3410"/>
      <c r="AH126" s="3410"/>
      <c r="AI126" s="3410"/>
      <c r="AJ126" s="3410"/>
      <c r="AK126" s="3410"/>
      <c r="AL126" s="3410"/>
      <c r="AM126" s="3410"/>
      <c r="AN126" s="3410"/>
      <c r="AO126" s="3410"/>
      <c r="AP126" s="3410"/>
      <c r="AQ126" s="3410"/>
      <c r="AR126" s="3410"/>
      <c r="AS126" s="3410"/>
      <c r="AT126" s="3410"/>
      <c r="AU126" s="3410"/>
      <c r="AV126" s="3410"/>
      <c r="AW126" s="3410"/>
      <c r="AX126" s="3410"/>
      <c r="AY126" s="3410"/>
      <c r="AZ126" s="3410"/>
      <c r="BA126" s="3410"/>
      <c r="BB126" s="3410"/>
      <c r="BC126" s="3410"/>
      <c r="BD126" s="3410"/>
      <c r="BE126" s="3410"/>
      <c r="BF126" s="3410"/>
      <c r="BG126" s="3410"/>
      <c r="BH126" s="3410"/>
      <c r="BI126" s="3410"/>
      <c r="BJ126" s="3410"/>
      <c r="BK126" s="3410"/>
      <c r="BL126" s="3410"/>
      <c r="BM126" s="3410"/>
      <c r="BN126" s="3410"/>
      <c r="BO126" s="3410"/>
      <c r="BP126" s="3410"/>
      <c r="BQ126" s="3410"/>
      <c r="BR126" s="3410"/>
      <c r="BS126" s="3410"/>
      <c r="BT126" s="3410"/>
      <c r="BU126" s="3410"/>
      <c r="BV126" s="3410"/>
      <c r="BW126" s="3410"/>
      <c r="BX126" s="3410"/>
      <c r="BY126" s="3410"/>
      <c r="BZ126" s="3410"/>
      <c r="CA126" s="3410"/>
      <c r="CB126" s="3410"/>
      <c r="CC126" s="3410"/>
      <c r="CD126" s="3410"/>
      <c r="CE126" s="3410"/>
      <c r="CF126" s="3410"/>
      <c r="CG126" s="3410"/>
      <c r="CH126" s="3410"/>
      <c r="CI126" s="3410"/>
      <c r="CJ126" s="3410"/>
      <c r="CK126" s="3410"/>
      <c r="CL126" s="3410"/>
      <c r="CM126" s="3410"/>
      <c r="CN126" s="3410"/>
      <c r="CO126" s="3410"/>
      <c r="CP126" s="3410"/>
      <c r="CQ126" s="3410"/>
      <c r="CR126" s="3410"/>
      <c r="CS126" s="3410"/>
    </row>
    <row r="127" spans="1:97" s="2473" customFormat="1" ht="13.5" customHeight="1">
      <c r="A127" s="3242">
        <v>30</v>
      </c>
      <c r="B127" s="3240">
        <v>741</v>
      </c>
      <c r="C127" s="3240" t="s">
        <v>7160</v>
      </c>
      <c r="D127" s="3243" t="s">
        <v>7161</v>
      </c>
      <c r="E127" s="3240" t="s">
        <v>23</v>
      </c>
      <c r="F127" s="3481">
        <f>SUM(F128)</f>
        <v>1</v>
      </c>
      <c r="G127" s="3476"/>
      <c r="H127" s="3942">
        <f>ROUND(F127*G127,2)</f>
        <v>0</v>
      </c>
      <c r="I127" s="3239" t="s">
        <v>60</v>
      </c>
      <c r="J127" s="2472"/>
      <c r="S127" s="2474"/>
    </row>
    <row r="128" spans="1:97" s="2473" customFormat="1" ht="13.5" customHeight="1">
      <c r="A128" s="3242"/>
      <c r="B128" s="3240"/>
      <c r="C128" s="3240"/>
      <c r="D128" s="3244" t="s">
        <v>10122</v>
      </c>
      <c r="E128" s="3240"/>
      <c r="F128" s="3245">
        <v>1</v>
      </c>
      <c r="G128" s="3476"/>
      <c r="H128" s="4195"/>
      <c r="I128" s="3239"/>
      <c r="J128" s="2472"/>
      <c r="S128" s="2474"/>
    </row>
    <row r="129" spans="1:97" s="2473" customFormat="1" ht="13.5" customHeight="1">
      <c r="A129" s="3242">
        <v>31</v>
      </c>
      <c r="B129" s="3240">
        <v>741</v>
      </c>
      <c r="C129" s="3240" t="s">
        <v>7162</v>
      </c>
      <c r="D129" s="3243" t="s">
        <v>7163</v>
      </c>
      <c r="E129" s="3240" t="s">
        <v>23</v>
      </c>
      <c r="F129" s="3481">
        <f>SUM(F130)</f>
        <v>1</v>
      </c>
      <c r="G129" s="3476"/>
      <c r="H129" s="3942">
        <f>ROUND(F129*G129,2)</f>
        <v>0</v>
      </c>
      <c r="I129" s="3239" t="s">
        <v>60</v>
      </c>
      <c r="J129" s="2472"/>
      <c r="S129" s="2474"/>
    </row>
    <row r="130" spans="1:97" s="2466" customFormat="1" ht="13.5" customHeight="1">
      <c r="A130" s="3246"/>
      <c r="B130" s="3247"/>
      <c r="C130" s="3247"/>
      <c r="D130" s="3244" t="s">
        <v>10123</v>
      </c>
      <c r="E130" s="3247"/>
      <c r="F130" s="3245">
        <v>1</v>
      </c>
      <c r="G130" s="3248"/>
      <c r="H130" s="4196"/>
      <c r="I130" s="3248"/>
      <c r="J130" s="2472"/>
      <c r="K130" s="2475"/>
      <c r="L130" s="2475"/>
    </row>
    <row r="131" spans="1:97" s="2473" customFormat="1" ht="13.5" customHeight="1">
      <c r="A131" s="3242">
        <v>32</v>
      </c>
      <c r="B131" s="3240">
        <v>741</v>
      </c>
      <c r="C131" s="3240" t="s">
        <v>7165</v>
      </c>
      <c r="D131" s="3243" t="s">
        <v>7166</v>
      </c>
      <c r="E131" s="3240" t="s">
        <v>23</v>
      </c>
      <c r="F131" s="3249">
        <v>3</v>
      </c>
      <c r="G131" s="3476"/>
      <c r="H131" s="3942">
        <f>ROUND(F131*G131,2)</f>
        <v>0</v>
      </c>
      <c r="I131" s="3239" t="s">
        <v>60</v>
      </c>
      <c r="J131" s="2472"/>
      <c r="S131" s="2474"/>
    </row>
    <row r="132" spans="1:97" s="1494" customFormat="1" ht="13.5" customHeight="1">
      <c r="A132" s="3237">
        <v>33</v>
      </c>
      <c r="B132" s="3250">
        <v>741</v>
      </c>
      <c r="C132" s="3463" t="s">
        <v>7314</v>
      </c>
      <c r="D132" s="3251" t="s">
        <v>7167</v>
      </c>
      <c r="E132" s="3251" t="s">
        <v>23</v>
      </c>
      <c r="F132" s="3080">
        <f>ROUND(SUM(F134),3)</f>
        <v>1</v>
      </c>
      <c r="G132" s="3082"/>
      <c r="H132" s="3942">
        <f>ROUND(F132*G132,2)</f>
        <v>0</v>
      </c>
      <c r="I132" s="3465" t="s">
        <v>60</v>
      </c>
      <c r="J132" s="2460"/>
      <c r="K132" s="2461"/>
      <c r="L132" s="3473"/>
      <c r="M132" s="3473"/>
      <c r="N132" s="3473"/>
      <c r="O132" s="3473"/>
      <c r="P132" s="3473"/>
      <c r="Q132" s="2463"/>
      <c r="R132" s="3473"/>
      <c r="S132" s="3473"/>
      <c r="T132" s="3473"/>
      <c r="U132" s="3499"/>
      <c r="V132" s="3473"/>
      <c r="W132" s="3473"/>
      <c r="X132" s="3473"/>
      <c r="Y132" s="3473"/>
      <c r="Z132" s="3473"/>
      <c r="AA132" s="3473"/>
      <c r="AB132" s="3473"/>
      <c r="AC132" s="3473"/>
      <c r="AD132" s="3473"/>
      <c r="AE132" s="3473"/>
      <c r="AF132" s="3473"/>
      <c r="AG132" s="3473"/>
    </row>
    <row r="133" spans="1:97" s="1494" customFormat="1" ht="27" customHeight="1">
      <c r="A133" s="3237"/>
      <c r="B133" s="3250"/>
      <c r="C133" s="3251"/>
      <c r="D133" s="3474" t="s">
        <v>7168</v>
      </c>
      <c r="E133" s="3464"/>
      <c r="F133" s="3475"/>
      <c r="G133" s="3500"/>
      <c r="H133" s="4119"/>
      <c r="I133" s="3465"/>
      <c r="J133" s="2460"/>
      <c r="K133" s="2461"/>
      <c r="Q133" s="2463"/>
    </row>
    <row r="134" spans="1:97" s="1487" customFormat="1" ht="13.5" customHeight="1">
      <c r="A134" s="3237"/>
      <c r="B134" s="3251"/>
      <c r="C134" s="3251"/>
      <c r="D134" s="3474" t="s">
        <v>7140</v>
      </c>
      <c r="E134" s="3501"/>
      <c r="F134" s="3475">
        <v>1</v>
      </c>
      <c r="G134" s="3500"/>
      <c r="H134" s="4119"/>
      <c r="I134" s="3465"/>
      <c r="J134" s="2460"/>
      <c r="K134" s="2461"/>
      <c r="L134" s="1494"/>
      <c r="M134" s="1494"/>
      <c r="N134" s="1494"/>
      <c r="O134" s="1494"/>
      <c r="P134" s="1494"/>
      <c r="Q134" s="2463"/>
    </row>
    <row r="135" spans="1:97" s="1487" customFormat="1" ht="13.5" customHeight="1">
      <c r="A135" s="3237"/>
      <c r="B135" s="3251"/>
      <c r="C135" s="3251"/>
      <c r="D135" s="3474" t="s">
        <v>7169</v>
      </c>
      <c r="E135" s="3491"/>
      <c r="F135" s="3478"/>
      <c r="G135" s="3500"/>
      <c r="H135" s="4119"/>
      <c r="I135" s="3502"/>
      <c r="J135" s="2522"/>
    </row>
    <row r="136" spans="1:97" s="2560" customFormat="1" ht="81" customHeight="1">
      <c r="A136" s="3242"/>
      <c r="B136" s="3240"/>
      <c r="C136" s="3240"/>
      <c r="D136" s="3252" t="s">
        <v>10124</v>
      </c>
      <c r="E136" s="3240"/>
      <c r="F136" s="3253"/>
      <c r="G136" s="3238"/>
      <c r="H136" s="4098"/>
      <c r="I136" s="3502"/>
      <c r="J136" s="2522"/>
      <c r="K136" s="2563"/>
    </row>
    <row r="137" spans="1:97" s="3473" customFormat="1" ht="13.7" customHeight="1">
      <c r="A137" s="3237">
        <v>34</v>
      </c>
      <c r="B137" s="3250">
        <v>741</v>
      </c>
      <c r="C137" s="3463" t="s">
        <v>7319</v>
      </c>
      <c r="D137" s="3464" t="s">
        <v>7170</v>
      </c>
      <c r="E137" s="3464" t="s">
        <v>23</v>
      </c>
      <c r="F137" s="3080">
        <f>ROUND(SUM(F138),3)</f>
        <v>1</v>
      </c>
      <c r="G137" s="3283"/>
      <c r="H137" s="3942">
        <f>ROUND(F137*G137,2)</f>
        <v>0</v>
      </c>
      <c r="I137" s="3465" t="s">
        <v>60</v>
      </c>
    </row>
    <row r="138" spans="1:97" s="3473" customFormat="1" ht="13.7" customHeight="1">
      <c r="A138" s="3237"/>
      <c r="B138" s="3250"/>
      <c r="C138" s="3251"/>
      <c r="D138" s="3474" t="s">
        <v>7140</v>
      </c>
      <c r="E138" s="3501"/>
      <c r="F138" s="3475">
        <v>1</v>
      </c>
      <c r="G138" s="3500"/>
      <c r="H138" s="4119"/>
      <c r="I138" s="3462"/>
    </row>
    <row r="139" spans="1:97" s="3473" customFormat="1" ht="27" customHeight="1">
      <c r="A139" s="3237"/>
      <c r="B139" s="3250"/>
      <c r="C139" s="3251"/>
      <c r="D139" s="3503" t="s">
        <v>7171</v>
      </c>
      <c r="E139" s="3491"/>
      <c r="F139" s="3475"/>
      <c r="G139" s="3500"/>
      <c r="H139" s="4119"/>
      <c r="I139" s="3502"/>
      <c r="J139" s="3504"/>
    </row>
    <row r="140" spans="1:97" s="3508" customFormat="1" ht="13.5" customHeight="1">
      <c r="A140" s="3484">
        <v>35</v>
      </c>
      <c r="B140" s="3463">
        <v>741</v>
      </c>
      <c r="C140" s="3463">
        <v>998741201</v>
      </c>
      <c r="D140" s="3463" t="s">
        <v>7172</v>
      </c>
      <c r="E140" s="3463" t="s">
        <v>8</v>
      </c>
      <c r="F140" s="3505">
        <v>0.7</v>
      </c>
      <c r="G140" s="3468"/>
      <c r="H140" s="3942">
        <f>ROUND(F140*G140,2)</f>
        <v>0</v>
      </c>
      <c r="I140" s="3465" t="s">
        <v>863</v>
      </c>
      <c r="J140" s="3506"/>
      <c r="K140" s="3507"/>
      <c r="L140" s="3286"/>
      <c r="M140" s="3470"/>
      <c r="N140" s="3286"/>
      <c r="O140" s="3286"/>
      <c r="P140" s="3286"/>
      <c r="Q140" s="3286"/>
      <c r="R140" s="3286"/>
      <c r="S140" s="3286"/>
      <c r="T140" s="3286"/>
      <c r="U140" s="3286"/>
      <c r="V140" s="3286"/>
      <c r="W140" s="3286"/>
      <c r="X140" s="3286"/>
      <c r="Y140" s="3286"/>
      <c r="Z140" s="3286"/>
      <c r="AA140" s="3286"/>
      <c r="AB140" s="3286"/>
      <c r="AC140" s="3286"/>
      <c r="AD140" s="3286"/>
      <c r="AE140" s="3286"/>
      <c r="AF140" s="3286"/>
      <c r="AG140" s="3286"/>
      <c r="AH140" s="3286"/>
      <c r="AI140" s="3286"/>
      <c r="AJ140" s="3286"/>
      <c r="AK140" s="3286"/>
      <c r="AL140" s="3286"/>
      <c r="AM140" s="3286"/>
      <c r="AN140" s="3286"/>
      <c r="AO140" s="3286"/>
      <c r="AP140" s="3286"/>
      <c r="AQ140" s="3286"/>
      <c r="AR140" s="3286"/>
      <c r="AS140" s="3286"/>
      <c r="AT140" s="3286"/>
      <c r="AU140" s="3286"/>
      <c r="AV140" s="3286"/>
      <c r="AW140" s="3286"/>
      <c r="AX140" s="3286"/>
      <c r="AY140" s="3286"/>
      <c r="AZ140" s="3286"/>
      <c r="BA140" s="3286"/>
      <c r="BB140" s="3286"/>
      <c r="BC140" s="3286"/>
      <c r="BD140" s="3286"/>
      <c r="BE140" s="3286"/>
      <c r="BF140" s="3286"/>
      <c r="BG140" s="3286"/>
      <c r="BH140" s="3286"/>
      <c r="BI140" s="3286"/>
      <c r="BJ140" s="3286"/>
      <c r="BK140" s="3286"/>
      <c r="BL140" s="3286"/>
      <c r="BM140" s="3286"/>
      <c r="BN140" s="3286"/>
      <c r="BO140" s="3286"/>
      <c r="BP140" s="3286"/>
      <c r="BQ140" s="3286"/>
      <c r="BR140" s="3286"/>
      <c r="BS140" s="3286"/>
      <c r="BT140" s="3286"/>
      <c r="BU140" s="3286"/>
      <c r="BV140" s="3286"/>
      <c r="BW140" s="3286"/>
      <c r="BX140" s="3286"/>
      <c r="BY140" s="3286"/>
      <c r="BZ140" s="3286"/>
      <c r="CA140" s="3286"/>
      <c r="CB140" s="3286"/>
      <c r="CC140" s="3286"/>
      <c r="CD140" s="3286"/>
      <c r="CE140" s="3286"/>
      <c r="CF140" s="3286"/>
      <c r="CG140" s="3286"/>
      <c r="CH140" s="3286"/>
      <c r="CI140" s="3286"/>
      <c r="CJ140" s="3286"/>
      <c r="CK140" s="3286"/>
      <c r="CL140" s="3286"/>
      <c r="CM140" s="3286"/>
      <c r="CN140" s="3286"/>
      <c r="CO140" s="3286"/>
      <c r="CP140" s="3286"/>
      <c r="CQ140" s="3286"/>
      <c r="CR140" s="3286"/>
      <c r="CS140" s="3286"/>
    </row>
    <row r="141" spans="1:97" s="3498" customFormat="1" ht="13.5" customHeight="1">
      <c r="A141" s="3484">
        <v>36</v>
      </c>
      <c r="B141" s="3463" t="s">
        <v>188</v>
      </c>
      <c r="C141" s="3463" t="s">
        <v>189</v>
      </c>
      <c r="D141" s="3463" t="s">
        <v>190</v>
      </c>
      <c r="E141" s="3463" t="s">
        <v>191</v>
      </c>
      <c r="F141" s="3080">
        <f>ROUND(SUM(F142),3)</f>
        <v>5</v>
      </c>
      <c r="G141" s="3468"/>
      <c r="H141" s="3942">
        <f>ROUND(F141*G141,2)</f>
        <v>0</v>
      </c>
      <c r="I141" s="3465" t="s">
        <v>863</v>
      </c>
      <c r="J141" s="3495"/>
      <c r="K141" s="3410"/>
      <c r="L141" s="3410"/>
      <c r="M141" s="3509"/>
      <c r="N141" s="3410"/>
      <c r="O141" s="3410"/>
      <c r="P141" s="3410"/>
      <c r="Q141" s="3410"/>
      <c r="R141" s="3410"/>
      <c r="S141" s="3410"/>
      <c r="T141" s="3410"/>
      <c r="U141" s="3410"/>
      <c r="V141" s="3410"/>
      <c r="W141" s="3410"/>
      <c r="X141" s="3410"/>
      <c r="Y141" s="3410"/>
      <c r="Z141" s="3410"/>
      <c r="AA141" s="3410"/>
      <c r="AB141" s="3410"/>
      <c r="AC141" s="3410"/>
      <c r="AD141" s="3410"/>
      <c r="AE141" s="3410"/>
      <c r="AF141" s="3410"/>
      <c r="AG141" s="3410"/>
      <c r="AH141" s="3410"/>
      <c r="AI141" s="3410"/>
      <c r="AJ141" s="3410"/>
      <c r="AK141" s="3410"/>
      <c r="AL141" s="3410"/>
      <c r="AM141" s="3410"/>
      <c r="AN141" s="3410"/>
      <c r="AO141" s="3410"/>
      <c r="AP141" s="3410"/>
      <c r="AQ141" s="3410"/>
      <c r="AR141" s="3410"/>
      <c r="AS141" s="3410"/>
      <c r="AT141" s="3410"/>
      <c r="AU141" s="3410"/>
      <c r="AV141" s="3410"/>
      <c r="AW141" s="3410"/>
      <c r="AX141" s="3410"/>
      <c r="AY141" s="3410"/>
      <c r="AZ141" s="3410"/>
      <c r="BA141" s="3410"/>
      <c r="BB141" s="3410"/>
      <c r="BC141" s="3410"/>
      <c r="BD141" s="3410"/>
      <c r="BE141" s="3410"/>
      <c r="BF141" s="3410"/>
      <c r="BG141" s="3410"/>
      <c r="BH141" s="3410"/>
      <c r="BI141" s="3410"/>
      <c r="BJ141" s="3410"/>
      <c r="BK141" s="3410"/>
      <c r="BL141" s="3410"/>
      <c r="BM141" s="3410"/>
      <c r="BN141" s="3410"/>
      <c r="BO141" s="3410"/>
      <c r="BP141" s="3410"/>
      <c r="BQ141" s="3410"/>
      <c r="BR141" s="3410"/>
      <c r="BS141" s="3410"/>
      <c r="BT141" s="3410"/>
      <c r="BU141" s="3410"/>
      <c r="BV141" s="3410"/>
      <c r="BW141" s="3410"/>
      <c r="BX141" s="3410"/>
      <c r="BY141" s="3410"/>
      <c r="BZ141" s="3410"/>
      <c r="CA141" s="3410"/>
      <c r="CB141" s="3410"/>
      <c r="CC141" s="3410"/>
      <c r="CD141" s="3410"/>
      <c r="CE141" s="3410"/>
      <c r="CF141" s="3410"/>
      <c r="CG141" s="3410"/>
      <c r="CH141" s="3410"/>
      <c r="CI141" s="3410"/>
      <c r="CJ141" s="3410"/>
      <c r="CK141" s="3410"/>
      <c r="CL141" s="3410"/>
      <c r="CM141" s="3410"/>
      <c r="CN141" s="3410"/>
      <c r="CO141" s="3410"/>
      <c r="CP141" s="3410"/>
      <c r="CQ141" s="3410"/>
      <c r="CR141" s="3410"/>
      <c r="CS141" s="3410"/>
    </row>
    <row r="142" spans="1:97" s="3498" customFormat="1" ht="13.5" customHeight="1">
      <c r="A142" s="3484"/>
      <c r="B142" s="3463"/>
      <c r="C142" s="3463"/>
      <c r="D142" s="3474" t="s">
        <v>7173</v>
      </c>
      <c r="E142" s="3463"/>
      <c r="F142" s="3475">
        <v>5</v>
      </c>
      <c r="G142" s="3468"/>
      <c r="H142" s="4119"/>
      <c r="I142" s="3465"/>
      <c r="J142" s="3410"/>
      <c r="K142" s="3410"/>
      <c r="L142" s="3410"/>
      <c r="M142" s="3509"/>
      <c r="N142" s="3410"/>
      <c r="O142" s="3410"/>
      <c r="P142" s="3410"/>
      <c r="Q142" s="3410"/>
      <c r="R142" s="3410"/>
      <c r="S142" s="3410"/>
      <c r="T142" s="3410"/>
      <c r="U142" s="3410"/>
      <c r="V142" s="3410"/>
      <c r="W142" s="3410"/>
      <c r="X142" s="3410"/>
      <c r="Y142" s="3410"/>
      <c r="Z142" s="3410"/>
      <c r="AA142" s="3410"/>
      <c r="AB142" s="3410"/>
      <c r="AC142" s="3410"/>
      <c r="AD142" s="3410"/>
      <c r="AE142" s="3410"/>
      <c r="AF142" s="3410"/>
      <c r="AG142" s="3410"/>
      <c r="AH142" s="3410"/>
      <c r="AI142" s="3410"/>
      <c r="AJ142" s="3410"/>
      <c r="AK142" s="3410"/>
      <c r="AL142" s="3410"/>
      <c r="AM142" s="3410"/>
      <c r="AN142" s="3410"/>
      <c r="AO142" s="3410"/>
      <c r="AP142" s="3410"/>
      <c r="AQ142" s="3410"/>
      <c r="AR142" s="3410"/>
      <c r="AS142" s="3410"/>
      <c r="AT142" s="3410"/>
      <c r="AU142" s="3410"/>
      <c r="AV142" s="3410"/>
      <c r="AW142" s="3410"/>
      <c r="AX142" s="3410"/>
      <c r="AY142" s="3410"/>
      <c r="AZ142" s="3410"/>
      <c r="BA142" s="3410"/>
      <c r="BB142" s="3410"/>
      <c r="BC142" s="3410"/>
      <c r="BD142" s="3410"/>
      <c r="BE142" s="3410"/>
      <c r="BF142" s="3410"/>
      <c r="BG142" s="3410"/>
      <c r="BH142" s="3410"/>
      <c r="BI142" s="3410"/>
      <c r="BJ142" s="3410"/>
      <c r="BK142" s="3410"/>
      <c r="BL142" s="3410"/>
      <c r="BM142" s="3410"/>
      <c r="BN142" s="3410"/>
      <c r="BO142" s="3410"/>
      <c r="BP142" s="3410"/>
      <c r="BQ142" s="3410"/>
      <c r="BR142" s="3410"/>
      <c r="BS142" s="3410"/>
      <c r="BT142" s="3410"/>
      <c r="BU142" s="3410"/>
      <c r="BV142" s="3410"/>
      <c r="BW142" s="3410"/>
      <c r="BX142" s="3410"/>
      <c r="BY142" s="3410"/>
      <c r="BZ142" s="3410"/>
      <c r="CA142" s="3410"/>
      <c r="CB142" s="3410"/>
      <c r="CC142" s="3410"/>
      <c r="CD142" s="3410"/>
      <c r="CE142" s="3410"/>
      <c r="CF142" s="3410"/>
      <c r="CG142" s="3410"/>
      <c r="CH142" s="3410"/>
      <c r="CI142" s="3410"/>
      <c r="CJ142" s="3410"/>
      <c r="CK142" s="3410"/>
      <c r="CL142" s="3410"/>
      <c r="CM142" s="3410"/>
      <c r="CN142" s="3410"/>
      <c r="CO142" s="3410"/>
      <c r="CP142" s="3410"/>
      <c r="CQ142" s="3410"/>
      <c r="CR142" s="3410"/>
      <c r="CS142" s="3410"/>
    </row>
    <row r="143" spans="1:97" s="3498" customFormat="1" ht="27" customHeight="1">
      <c r="A143" s="3484"/>
      <c r="B143" s="3463"/>
      <c r="C143" s="3463"/>
      <c r="D143" s="3474" t="s">
        <v>7174</v>
      </c>
      <c r="E143" s="3463"/>
      <c r="F143" s="3505"/>
      <c r="G143" s="3468"/>
      <c r="H143" s="4119"/>
      <c r="I143" s="3465"/>
      <c r="J143" s="3410"/>
      <c r="K143" s="3410"/>
      <c r="L143" s="3410"/>
      <c r="M143" s="3509"/>
      <c r="N143" s="3509"/>
      <c r="O143" s="3410"/>
      <c r="P143" s="3410"/>
      <c r="Q143" s="3410"/>
      <c r="R143" s="3410"/>
      <c r="S143" s="3410"/>
      <c r="T143" s="3410"/>
      <c r="U143" s="3410"/>
      <c r="V143" s="3410"/>
      <c r="W143" s="3410"/>
      <c r="X143" s="3410"/>
      <c r="Y143" s="3410"/>
      <c r="Z143" s="3410"/>
      <c r="AA143" s="3410"/>
      <c r="AB143" s="3410"/>
      <c r="AC143" s="3410"/>
      <c r="AD143" s="3410"/>
      <c r="AE143" s="3410"/>
      <c r="AF143" s="3410"/>
      <c r="AG143" s="3410"/>
      <c r="AH143" s="3410"/>
      <c r="AI143" s="3410"/>
      <c r="AJ143" s="3410"/>
      <c r="AK143" s="3410"/>
      <c r="AL143" s="3410"/>
      <c r="AM143" s="3410"/>
      <c r="AN143" s="3410"/>
      <c r="AO143" s="3410"/>
      <c r="AP143" s="3410"/>
      <c r="AQ143" s="3410"/>
      <c r="AR143" s="3410"/>
      <c r="AS143" s="3410"/>
      <c r="AT143" s="3410"/>
      <c r="AU143" s="3410"/>
      <c r="AV143" s="3410"/>
      <c r="AW143" s="3410"/>
      <c r="AX143" s="3410"/>
      <c r="AY143" s="3410"/>
      <c r="AZ143" s="3410"/>
      <c r="BA143" s="3410"/>
      <c r="BB143" s="3410"/>
      <c r="BC143" s="3410"/>
      <c r="BD143" s="3410"/>
      <c r="BE143" s="3410"/>
      <c r="BF143" s="3410"/>
      <c r="BG143" s="3410"/>
      <c r="BH143" s="3410"/>
      <c r="BI143" s="3410"/>
      <c r="BJ143" s="3410"/>
      <c r="BK143" s="3410"/>
      <c r="BL143" s="3410"/>
      <c r="BM143" s="3410"/>
      <c r="BN143" s="3410"/>
      <c r="BO143" s="3410"/>
      <c r="BP143" s="3410"/>
      <c r="BQ143" s="3410"/>
      <c r="BR143" s="3410"/>
      <c r="BS143" s="3410"/>
      <c r="BT143" s="3410"/>
      <c r="BU143" s="3410"/>
      <c r="BV143" s="3410"/>
      <c r="BW143" s="3410"/>
      <c r="BX143" s="3410"/>
      <c r="BY143" s="3410"/>
      <c r="BZ143" s="3410"/>
      <c r="CA143" s="3410"/>
      <c r="CB143" s="3410"/>
      <c r="CC143" s="3410"/>
      <c r="CD143" s="3410"/>
      <c r="CE143" s="3410"/>
      <c r="CF143" s="3410"/>
      <c r="CG143" s="3410"/>
      <c r="CH143" s="3410"/>
      <c r="CI143" s="3410"/>
      <c r="CJ143" s="3410"/>
      <c r="CK143" s="3410"/>
      <c r="CL143" s="3410"/>
      <c r="CM143" s="3410"/>
      <c r="CN143" s="3410"/>
      <c r="CO143" s="3410"/>
      <c r="CP143" s="3410"/>
      <c r="CQ143" s="3410"/>
      <c r="CR143" s="3410"/>
      <c r="CS143" s="3410"/>
    </row>
    <row r="144" spans="1:97" ht="13.5" customHeight="1">
      <c r="A144" s="3254"/>
      <c r="B144" s="3233"/>
      <c r="C144" s="3233">
        <v>790</v>
      </c>
      <c r="D144" s="3233" t="s">
        <v>7175</v>
      </c>
      <c r="E144" s="3233"/>
      <c r="F144" s="3234"/>
      <c r="G144" s="3255"/>
      <c r="H144" s="4197">
        <f>SUM(H145:H156)</f>
        <v>0</v>
      </c>
      <c r="I144" s="3256"/>
      <c r="J144" s="2476"/>
      <c r="K144" s="2477"/>
      <c r="L144" s="2477"/>
      <c r="M144" s="595"/>
    </row>
    <row r="145" spans="1:256" s="2479" customFormat="1" ht="13.5" customHeight="1">
      <c r="A145" s="3257">
        <v>37</v>
      </c>
      <c r="B145" s="3258">
        <v>790</v>
      </c>
      <c r="C145" s="3259" t="s">
        <v>7176</v>
      </c>
      <c r="D145" s="3258" t="s">
        <v>7177</v>
      </c>
      <c r="E145" s="3258" t="s">
        <v>155</v>
      </c>
      <c r="F145" s="3080">
        <f>ROUND(SUM(F146),3)</f>
        <v>6</v>
      </c>
      <c r="G145" s="3260"/>
      <c r="H145" s="3942">
        <f>ROUND(F145*G145,2)</f>
        <v>0</v>
      </c>
      <c r="I145" s="3256" t="s">
        <v>60</v>
      </c>
      <c r="J145" s="2478"/>
    </row>
    <row r="146" spans="1:256" s="595" customFormat="1" ht="13.5" customHeight="1">
      <c r="A146" s="3261"/>
      <c r="B146" s="3262"/>
      <c r="C146" s="3262"/>
      <c r="D146" s="3093" t="s">
        <v>7178</v>
      </c>
      <c r="E146" s="3262"/>
      <c r="F146" s="3226">
        <v>6</v>
      </c>
      <c r="G146" s="3263"/>
      <c r="H146" s="4198"/>
      <c r="I146" s="3236"/>
      <c r="J146" s="337"/>
      <c r="O146" s="2480"/>
    </row>
    <row r="147" spans="1:256" s="595" customFormat="1" ht="13.5" customHeight="1">
      <c r="A147" s="3261"/>
      <c r="B147" s="3262"/>
      <c r="C147" s="3262"/>
      <c r="D147" s="3093" t="s">
        <v>7179</v>
      </c>
      <c r="E147" s="3262"/>
      <c r="F147" s="3226"/>
      <c r="G147" s="3263"/>
      <c r="H147" s="4198"/>
      <c r="I147" s="3236"/>
    </row>
    <row r="148" spans="1:256" s="2479" customFormat="1" ht="13.5" customHeight="1">
      <c r="A148" s="3257">
        <v>38</v>
      </c>
      <c r="B148" s="3258">
        <v>790</v>
      </c>
      <c r="C148" s="3259" t="s">
        <v>7180</v>
      </c>
      <c r="D148" s="3258" t="s">
        <v>7181</v>
      </c>
      <c r="E148" s="3258" t="s">
        <v>23</v>
      </c>
      <c r="F148" s="3080">
        <f>ROUND(SUM(F150),3)</f>
        <v>1</v>
      </c>
      <c r="G148" s="3260"/>
      <c r="H148" s="3942">
        <f>ROUND(F148*G148,2)</f>
        <v>0</v>
      </c>
      <c r="I148" s="3256" t="s">
        <v>60</v>
      </c>
      <c r="J148" s="2478"/>
      <c r="M148" s="2481"/>
    </row>
    <row r="149" spans="1:256" s="595" customFormat="1" ht="13.5" customHeight="1">
      <c r="A149" s="3261"/>
      <c r="B149" s="3262"/>
      <c r="C149" s="3262"/>
      <c r="D149" s="3093" t="s">
        <v>7182</v>
      </c>
      <c r="E149" s="3262"/>
      <c r="F149" s="3264"/>
      <c r="G149" s="3263"/>
      <c r="H149" s="4198"/>
      <c r="I149" s="3265"/>
      <c r="J149" s="337"/>
      <c r="M149" s="2482"/>
      <c r="O149" s="2480"/>
    </row>
    <row r="150" spans="1:256" s="595" customFormat="1" ht="13.5" customHeight="1">
      <c r="A150" s="3261"/>
      <c r="B150" s="3262"/>
      <c r="C150" s="3262"/>
      <c r="D150" s="3093" t="s">
        <v>7183</v>
      </c>
      <c r="E150" s="3262"/>
      <c r="F150" s="3226">
        <v>1</v>
      </c>
      <c r="G150" s="3263"/>
      <c r="H150" s="4198"/>
      <c r="I150" s="3265"/>
      <c r="J150" s="1224"/>
      <c r="O150" s="2480"/>
    </row>
    <row r="151" spans="1:256" s="2438" customFormat="1" ht="67.5" customHeight="1">
      <c r="A151" s="3168"/>
      <c r="B151" s="3169"/>
      <c r="C151" s="3170"/>
      <c r="D151" s="3171" t="s">
        <v>7184</v>
      </c>
      <c r="E151" s="3159"/>
      <c r="F151" s="3172"/>
      <c r="G151" s="3173"/>
      <c r="H151" s="4199"/>
      <c r="I151" s="3174"/>
      <c r="L151" s="2439"/>
      <c r="M151" s="2439"/>
      <c r="N151" s="2439"/>
      <c r="O151" s="2439"/>
      <c r="P151" s="2439"/>
      <c r="Q151" s="2439"/>
      <c r="R151" s="2439"/>
      <c r="S151" s="2439"/>
      <c r="T151" s="2439"/>
      <c r="U151" s="2439"/>
      <c r="V151" s="2439"/>
      <c r="W151" s="2439"/>
      <c r="X151" s="2439"/>
      <c r="Y151" s="2439"/>
      <c r="Z151" s="2439"/>
      <c r="AA151" s="2439"/>
      <c r="AB151" s="2439"/>
      <c r="AC151" s="2439"/>
      <c r="AD151" s="2439"/>
      <c r="AE151" s="2439"/>
      <c r="AF151" s="2439"/>
      <c r="AG151" s="2439"/>
      <c r="AH151" s="2439"/>
      <c r="AI151" s="2439"/>
      <c r="AJ151" s="2439"/>
      <c r="AK151" s="2439"/>
      <c r="AL151" s="2439"/>
      <c r="AM151" s="2439"/>
      <c r="AN151" s="2439"/>
      <c r="AO151" s="2439"/>
      <c r="AP151" s="2439"/>
      <c r="AQ151" s="2439"/>
      <c r="AR151" s="2439"/>
      <c r="AS151" s="2439"/>
      <c r="AT151" s="2439"/>
      <c r="AU151" s="2439"/>
      <c r="AV151" s="2439"/>
      <c r="AW151" s="2439"/>
      <c r="AX151" s="2439"/>
      <c r="AY151" s="2439"/>
      <c r="AZ151" s="2439"/>
      <c r="BA151" s="2439"/>
      <c r="BB151" s="2439"/>
      <c r="BC151" s="2439"/>
      <c r="BD151" s="2439"/>
      <c r="BE151" s="2439"/>
      <c r="BF151" s="2439"/>
      <c r="BG151" s="2439"/>
      <c r="BH151" s="2439"/>
      <c r="BI151" s="2439"/>
      <c r="BJ151" s="2439"/>
      <c r="BK151" s="2439"/>
      <c r="BL151" s="2439"/>
      <c r="BM151" s="2439"/>
      <c r="BN151" s="2439"/>
      <c r="BO151" s="2439"/>
      <c r="BP151" s="2439"/>
      <c r="BQ151" s="2439"/>
      <c r="BR151" s="2439"/>
      <c r="BS151" s="2439"/>
      <c r="BT151" s="2439"/>
      <c r="BU151" s="2439"/>
      <c r="BV151" s="2439"/>
      <c r="BW151" s="2439"/>
      <c r="BX151" s="2439"/>
      <c r="BY151" s="2439"/>
      <c r="BZ151" s="2439"/>
      <c r="CA151" s="2439"/>
      <c r="CB151" s="2439"/>
      <c r="CC151" s="2439"/>
      <c r="CD151" s="2439"/>
      <c r="CE151" s="2439"/>
      <c r="CF151" s="2439"/>
      <c r="CG151" s="2439"/>
      <c r="CH151" s="2439"/>
      <c r="CI151" s="2439"/>
      <c r="CJ151" s="2439"/>
      <c r="CK151" s="2439"/>
      <c r="CL151" s="2439"/>
      <c r="CM151" s="2439"/>
      <c r="CN151" s="2439"/>
      <c r="CO151" s="2439"/>
      <c r="CP151" s="2439"/>
      <c r="CQ151" s="2439"/>
      <c r="CR151" s="2439"/>
      <c r="CS151" s="2439"/>
      <c r="CT151" s="2439"/>
      <c r="CU151" s="2439"/>
      <c r="CV151" s="2439"/>
      <c r="CW151" s="2439"/>
      <c r="CX151" s="2439"/>
      <c r="CY151" s="2439"/>
      <c r="CZ151" s="2439"/>
      <c r="DA151" s="2439"/>
      <c r="DB151" s="2439"/>
      <c r="DC151" s="2439"/>
      <c r="DD151" s="2439"/>
      <c r="DE151" s="2439"/>
      <c r="DF151" s="2439"/>
      <c r="DG151" s="2439"/>
      <c r="DH151" s="2439"/>
      <c r="DI151" s="2439"/>
      <c r="DJ151" s="2439"/>
      <c r="DK151" s="2439"/>
      <c r="DL151" s="2439"/>
      <c r="DM151" s="2439"/>
      <c r="DN151" s="2439"/>
      <c r="DO151" s="2439"/>
      <c r="DP151" s="2439"/>
      <c r="DQ151" s="2439"/>
      <c r="DR151" s="2439"/>
      <c r="DS151" s="2439"/>
      <c r="DT151" s="2439"/>
      <c r="DU151" s="2439"/>
      <c r="DV151" s="2439"/>
      <c r="DW151" s="2439"/>
      <c r="DX151" s="2439"/>
      <c r="DY151" s="2439"/>
      <c r="DZ151" s="2439"/>
      <c r="EA151" s="2439"/>
      <c r="EB151" s="2439"/>
      <c r="EC151" s="2439"/>
      <c r="ED151" s="2439"/>
      <c r="EE151" s="2439"/>
      <c r="EF151" s="2439"/>
      <c r="EG151" s="2439"/>
      <c r="EH151" s="2439"/>
      <c r="EI151" s="2439"/>
      <c r="EJ151" s="2439"/>
      <c r="EK151" s="2439"/>
      <c r="EL151" s="2439"/>
      <c r="EM151" s="2439"/>
      <c r="EN151" s="2439"/>
      <c r="EO151" s="2439"/>
      <c r="EP151" s="2439"/>
      <c r="EQ151" s="2439"/>
      <c r="ER151" s="2439"/>
      <c r="ES151" s="2439"/>
      <c r="ET151" s="2439"/>
      <c r="EU151" s="2439"/>
      <c r="EV151" s="2439"/>
      <c r="EW151" s="2439"/>
      <c r="EX151" s="2439"/>
      <c r="EY151" s="2439"/>
      <c r="EZ151" s="2439"/>
      <c r="FA151" s="2439"/>
      <c r="FB151" s="2439"/>
      <c r="FC151" s="2439"/>
      <c r="FD151" s="2439"/>
      <c r="FE151" s="2439"/>
      <c r="FF151" s="2439"/>
      <c r="FG151" s="2439"/>
      <c r="FH151" s="2439"/>
      <c r="FI151" s="2439"/>
      <c r="FJ151" s="2439"/>
      <c r="FK151" s="2439"/>
      <c r="FL151" s="2439"/>
      <c r="FM151" s="2439"/>
      <c r="FN151" s="2439"/>
      <c r="FO151" s="2439"/>
      <c r="FP151" s="2439"/>
      <c r="FQ151" s="2439"/>
      <c r="FR151" s="2439"/>
      <c r="FS151" s="2439"/>
      <c r="FT151" s="2439"/>
      <c r="FU151" s="2439"/>
      <c r="FV151" s="2439"/>
      <c r="FW151" s="2439"/>
      <c r="FX151" s="2439"/>
      <c r="FY151" s="2439"/>
      <c r="FZ151" s="2439"/>
      <c r="GA151" s="2439"/>
      <c r="GB151" s="2439"/>
      <c r="GC151" s="2439"/>
      <c r="GD151" s="2439"/>
      <c r="GE151" s="2439"/>
      <c r="GF151" s="2439"/>
      <c r="GG151" s="2439"/>
      <c r="GH151" s="2439"/>
      <c r="GI151" s="2439"/>
      <c r="GJ151" s="2439"/>
      <c r="GK151" s="2439"/>
      <c r="GL151" s="2439"/>
      <c r="GM151" s="2439"/>
      <c r="GN151" s="2439"/>
      <c r="GO151" s="2439"/>
      <c r="GP151" s="2439"/>
      <c r="GQ151" s="2439"/>
      <c r="GR151" s="2439"/>
      <c r="GS151" s="2439"/>
      <c r="GT151" s="2439"/>
      <c r="GU151" s="2439"/>
      <c r="GV151" s="2439"/>
      <c r="GW151" s="2439"/>
      <c r="GX151" s="2439"/>
      <c r="GY151" s="2439"/>
      <c r="GZ151" s="2439"/>
      <c r="HA151" s="2439"/>
      <c r="HB151" s="2439"/>
      <c r="HC151" s="2439"/>
      <c r="HD151" s="2439"/>
      <c r="HE151" s="2439"/>
      <c r="HF151" s="2439"/>
      <c r="HG151" s="2439"/>
      <c r="HH151" s="2439"/>
      <c r="HI151" s="2439"/>
      <c r="HJ151" s="2439"/>
      <c r="HK151" s="2439"/>
      <c r="HL151" s="2439"/>
      <c r="HM151" s="2439"/>
      <c r="HN151" s="2439"/>
      <c r="HO151" s="2439"/>
      <c r="HP151" s="2439"/>
      <c r="HQ151" s="2439"/>
      <c r="HR151" s="2439"/>
      <c r="HS151" s="2439"/>
      <c r="HT151" s="2439"/>
      <c r="HU151" s="2439"/>
      <c r="HV151" s="2439"/>
      <c r="HW151" s="2439"/>
      <c r="HX151" s="2439"/>
      <c r="HY151" s="2439"/>
      <c r="HZ151" s="2439"/>
      <c r="IA151" s="2439"/>
      <c r="IB151" s="2439"/>
      <c r="IC151" s="2439"/>
      <c r="ID151" s="2439"/>
      <c r="IE151" s="2439"/>
      <c r="IF151" s="2439"/>
      <c r="IG151" s="2439"/>
      <c r="IH151" s="2439"/>
      <c r="II151" s="2439"/>
      <c r="IJ151" s="2439"/>
      <c r="IK151" s="2439"/>
      <c r="IL151" s="2439"/>
      <c r="IM151" s="2439"/>
      <c r="IN151" s="2439"/>
      <c r="IO151" s="2439"/>
      <c r="IP151" s="2439"/>
      <c r="IQ151" s="2439"/>
      <c r="IR151" s="2439"/>
      <c r="IS151" s="2439"/>
      <c r="IT151" s="2439"/>
      <c r="IU151" s="2439"/>
      <c r="IV151" s="2439"/>
    </row>
    <row r="152" spans="1:256" s="595" customFormat="1" ht="27" customHeight="1">
      <c r="A152" s="3261"/>
      <c r="B152" s="3262"/>
      <c r="C152" s="3262"/>
      <c r="D152" s="3093" t="s">
        <v>7185</v>
      </c>
      <c r="E152" s="3262"/>
      <c r="F152" s="3226"/>
      <c r="G152" s="3263"/>
      <c r="H152" s="4198"/>
      <c r="I152" s="3265"/>
      <c r="J152" s="1224"/>
      <c r="L152" s="1224"/>
    </row>
    <row r="153" spans="1:256" s="3268" customFormat="1" ht="13.5" customHeight="1">
      <c r="A153" s="3257">
        <v>39</v>
      </c>
      <c r="B153" s="3259" t="s">
        <v>3028</v>
      </c>
      <c r="C153" s="3259" t="s">
        <v>7186</v>
      </c>
      <c r="D153" s="3259" t="s">
        <v>7187</v>
      </c>
      <c r="E153" s="3259" t="s">
        <v>8</v>
      </c>
      <c r="F153" s="3266">
        <v>1.05</v>
      </c>
      <c r="G153" s="3260"/>
      <c r="H153" s="3942">
        <f>ROUND(F153*G153,2)</f>
        <v>0</v>
      </c>
      <c r="I153" s="3256" t="s">
        <v>60</v>
      </c>
      <c r="J153" s="4695"/>
      <c r="K153" s="2483"/>
      <c r="L153" s="2484"/>
      <c r="M153" s="3267"/>
      <c r="N153" s="3267"/>
      <c r="O153" s="3267"/>
      <c r="P153" s="3267"/>
      <c r="Q153" s="3267"/>
      <c r="R153" s="3267"/>
      <c r="S153" s="3267"/>
      <c r="T153" s="3267"/>
      <c r="U153" s="3267"/>
    </row>
    <row r="154" spans="1:256" s="3268" customFormat="1" ht="13.5" customHeight="1">
      <c r="A154" s="3257">
        <v>40</v>
      </c>
      <c r="B154" s="3259" t="s">
        <v>188</v>
      </c>
      <c r="C154" s="3259" t="s">
        <v>3076</v>
      </c>
      <c r="D154" s="3259" t="s">
        <v>3077</v>
      </c>
      <c r="E154" s="3259" t="s">
        <v>191</v>
      </c>
      <c r="F154" s="3080">
        <f>ROUND(SUM(F155),3)</f>
        <v>15</v>
      </c>
      <c r="G154" s="3260"/>
      <c r="H154" s="3942">
        <f>ROUND(F154*G154,2)</f>
        <v>0</v>
      </c>
      <c r="I154" s="3256" t="s">
        <v>863</v>
      </c>
      <c r="J154" s="1224"/>
      <c r="K154" s="2485"/>
      <c r="L154" s="2485"/>
    </row>
    <row r="155" spans="1:256" s="595" customFormat="1" ht="13.5" customHeight="1">
      <c r="A155" s="3269"/>
      <c r="B155" s="3270"/>
      <c r="C155" s="3270"/>
      <c r="D155" s="3271" t="s">
        <v>7188</v>
      </c>
      <c r="E155" s="3270"/>
      <c r="F155" s="3272">
        <v>15</v>
      </c>
      <c r="G155" s="3088"/>
      <c r="H155" s="4200"/>
      <c r="I155" s="3273"/>
      <c r="J155" s="2486"/>
      <c r="K155" s="2485"/>
      <c r="L155" s="2485"/>
    </row>
    <row r="156" spans="1:256" s="595" customFormat="1" ht="13.5" customHeight="1">
      <c r="A156" s="3269"/>
      <c r="B156" s="3270"/>
      <c r="C156" s="3270"/>
      <c r="D156" s="3271" t="s">
        <v>2821</v>
      </c>
      <c r="E156" s="3270"/>
      <c r="F156" s="3274"/>
      <c r="G156" s="3088"/>
      <c r="H156" s="4200"/>
      <c r="I156" s="3273"/>
      <c r="J156" s="2487"/>
      <c r="K156" s="2485"/>
      <c r="L156" s="2485"/>
    </row>
    <row r="157" spans="1:256" s="460" customFormat="1" ht="21" customHeight="1">
      <c r="A157" s="1661"/>
      <c r="B157" s="1662"/>
      <c r="C157" s="1662"/>
      <c r="D157" s="1662" t="s">
        <v>0</v>
      </c>
      <c r="E157" s="1662"/>
      <c r="F157" s="1663"/>
      <c r="G157" s="1664"/>
      <c r="H157" s="1664">
        <f>H101+H9</f>
        <v>0</v>
      </c>
      <c r="J157" s="1674"/>
    </row>
    <row r="158" spans="1:256" s="3275" customFormat="1" ht="12" customHeight="1">
      <c r="A158" s="1665"/>
      <c r="B158" s="1666"/>
      <c r="C158" s="1666"/>
      <c r="D158" s="1666"/>
      <c r="E158" s="1666"/>
      <c r="F158" s="1667"/>
      <c r="G158" s="1668"/>
      <c r="H158" s="1668"/>
    </row>
    <row r="159" spans="1:256" s="460" customFormat="1" ht="13.5" customHeight="1">
      <c r="A159" s="5755" t="s">
        <v>99</v>
      </c>
      <c r="B159" s="5756"/>
      <c r="C159" s="5757"/>
      <c r="D159" s="1670" t="s">
        <v>10527</v>
      </c>
      <c r="E159" s="1671"/>
      <c r="F159" s="1672"/>
      <c r="G159" s="1673"/>
      <c r="H159" s="4158">
        <f>H157</f>
        <v>0</v>
      </c>
      <c r="K159" s="1674"/>
    </row>
    <row r="160" spans="1:256" s="460" customFormat="1" ht="13.5" customHeight="1">
      <c r="A160" s="1675"/>
      <c r="B160" s="1676"/>
      <c r="C160" s="1676"/>
      <c r="D160" s="1677"/>
      <c r="E160" s="1678"/>
      <c r="F160" s="1679"/>
      <c r="G160" s="1680"/>
      <c r="H160" s="1681"/>
    </row>
    <row r="161" spans="1:9" s="459" customFormat="1" ht="13.5" customHeight="1">
      <c r="A161" s="5650" t="s">
        <v>1</v>
      </c>
      <c r="B161" s="5752"/>
      <c r="C161" s="5752"/>
      <c r="D161" s="5752"/>
      <c r="E161" s="5752"/>
      <c r="F161" s="5752"/>
      <c r="G161" s="5752"/>
      <c r="H161" s="318"/>
      <c r="I161" s="318"/>
    </row>
    <row r="162" spans="1:9" s="460" customFormat="1" ht="27" customHeight="1">
      <c r="A162" s="5650" t="s">
        <v>308</v>
      </c>
      <c r="B162" s="5758"/>
      <c r="C162" s="5758"/>
      <c r="D162" s="5758"/>
      <c r="E162" s="5758"/>
      <c r="F162" s="5758"/>
      <c r="G162" s="5758"/>
      <c r="H162" s="48"/>
    </row>
    <row r="163" spans="1:9" s="48" customFormat="1" ht="102.75" customHeight="1">
      <c r="A163" s="5650" t="s">
        <v>26</v>
      </c>
      <c r="B163" s="5759"/>
      <c r="C163" s="5759"/>
      <c r="D163" s="5759"/>
      <c r="E163" s="5759"/>
      <c r="F163" s="5759"/>
      <c r="G163" s="5759"/>
    </row>
    <row r="164" spans="1:9" s="459" customFormat="1" ht="13.5" customHeight="1">
      <c r="A164" s="5650" t="s">
        <v>27</v>
      </c>
      <c r="B164" s="5752"/>
      <c r="C164" s="5752"/>
      <c r="D164" s="5752"/>
      <c r="E164" s="5752"/>
      <c r="F164" s="5752"/>
      <c r="G164" s="5752"/>
      <c r="H164" s="318"/>
      <c r="I164" s="318"/>
    </row>
    <row r="165" spans="1:9" s="459" customFormat="1" ht="13.5" customHeight="1">
      <c r="A165" s="5650" t="s">
        <v>28</v>
      </c>
      <c r="B165" s="5752"/>
      <c r="C165" s="5752"/>
      <c r="D165" s="5752"/>
      <c r="E165" s="5752"/>
      <c r="F165" s="5752"/>
      <c r="G165" s="5752"/>
      <c r="H165" s="318"/>
      <c r="I165" s="318"/>
    </row>
    <row r="166" spans="1:9" s="3276" customFormat="1" ht="40.5" customHeight="1">
      <c r="A166" s="5652" t="s">
        <v>61</v>
      </c>
      <c r="B166" s="5652"/>
      <c r="C166" s="5652"/>
      <c r="D166" s="5652"/>
      <c r="E166" s="5652"/>
      <c r="F166" s="5652"/>
      <c r="G166" s="5652"/>
      <c r="I166" s="3510"/>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245"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18" t="s">
        <v>112</v>
      </c>
      <c r="B2" s="5760"/>
      <c r="C2" s="5760"/>
      <c r="D2" s="5760"/>
      <c r="E2" s="5760"/>
      <c r="F2" s="5760"/>
      <c r="G2" s="5760"/>
      <c r="H2" s="5760"/>
      <c r="I2" s="5760"/>
    </row>
    <row r="3" spans="1:256" s="907" customFormat="1" ht="12.75" customHeight="1">
      <c r="A3" s="5734" t="s">
        <v>7083</v>
      </c>
      <c r="B3" s="5734"/>
      <c r="C3" s="5734"/>
      <c r="D3" s="573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7189</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7088</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10502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7190</v>
      </c>
      <c r="E18" s="3092"/>
      <c r="F18" s="3094"/>
      <c r="G18" s="3095"/>
      <c r="H18" s="4031"/>
      <c r="I18" s="3096"/>
      <c r="J18" s="2432"/>
      <c r="T18" s="1292"/>
      <c r="V18" s="1292"/>
    </row>
    <row r="19" spans="1:23" s="1291" customFormat="1" ht="13.5" customHeight="1">
      <c r="A19" s="3090"/>
      <c r="B19" s="3091"/>
      <c r="C19" s="3092"/>
      <c r="D19" s="3093" t="s">
        <v>7191</v>
      </c>
      <c r="E19" s="3092"/>
      <c r="F19" s="3094">
        <f>((9*7.5)*1)*0.9</f>
        <v>60.75</v>
      </c>
      <c r="G19" s="3095"/>
      <c r="H19" s="4031"/>
      <c r="I19" s="3096"/>
      <c r="J19" s="2433"/>
      <c r="T19" s="1292"/>
      <c r="V19" s="1292"/>
    </row>
    <row r="20" spans="1:23" s="1291" customFormat="1" ht="13.5" customHeight="1">
      <c r="A20" s="3090"/>
      <c r="B20" s="3091"/>
      <c r="C20" s="3092"/>
      <c r="D20" s="3093" t="s">
        <v>7192</v>
      </c>
      <c r="E20" s="3092"/>
      <c r="F20" s="3094">
        <f>((11*2+7.5*2)*0.5)*0.9</f>
        <v>16.650000000000002</v>
      </c>
      <c r="G20" s="3095"/>
      <c r="H20" s="4031"/>
      <c r="I20" s="3096"/>
      <c r="J20" s="2433"/>
      <c r="T20" s="1292"/>
      <c r="V20" s="1292"/>
    </row>
    <row r="21" spans="1:23" s="1291" customFormat="1" ht="27" customHeight="1">
      <c r="A21" s="3090"/>
      <c r="B21" s="3091"/>
      <c r="C21" s="3092"/>
      <c r="D21" s="3092" t="s">
        <v>7094</v>
      </c>
      <c r="E21" s="3092"/>
      <c r="F21" s="3094"/>
      <c r="G21" s="3095"/>
      <c r="H21" s="4031"/>
      <c r="I21" s="3096"/>
      <c r="J21" s="1290"/>
      <c r="U21" s="1292"/>
      <c r="W21" s="1292"/>
    </row>
    <row r="22" spans="1:23" s="595" customFormat="1" ht="13.5" customHeight="1">
      <c r="A22" s="3086">
        <v>8</v>
      </c>
      <c r="B22" s="3087" t="s">
        <v>850</v>
      </c>
      <c r="C22" s="3087">
        <v>131351100</v>
      </c>
      <c r="D22" s="3087" t="s">
        <v>7095</v>
      </c>
      <c r="E22" s="3087" t="s">
        <v>221</v>
      </c>
      <c r="F22" s="3279">
        <f>ROUND(SUM(F24:F25),3)</f>
        <v>8.6</v>
      </c>
      <c r="G22" s="3088"/>
      <c r="H22" s="3942">
        <f t="shared" ref="H22" si="1">ROUND(F22*G22,2)</f>
        <v>0</v>
      </c>
      <c r="I22" s="3089" t="s">
        <v>142</v>
      </c>
      <c r="J22" s="2434"/>
    </row>
    <row r="23" spans="1:23" s="1291" customFormat="1" ht="13.5" customHeight="1">
      <c r="A23" s="3090"/>
      <c r="B23" s="3091"/>
      <c r="C23" s="3092"/>
      <c r="D23" s="3093" t="s">
        <v>7193</v>
      </c>
      <c r="E23" s="3092"/>
      <c r="F23" s="3094"/>
      <c r="G23" s="3095"/>
      <c r="H23" s="4031"/>
      <c r="I23" s="3096"/>
      <c r="J23" s="2432"/>
      <c r="T23" s="1292"/>
      <c r="V23" s="1292"/>
    </row>
    <row r="24" spans="1:23" s="1291" customFormat="1" ht="13.5" customHeight="1">
      <c r="A24" s="3090"/>
      <c r="B24" s="3091"/>
      <c r="C24" s="3092"/>
      <c r="D24" s="3093" t="s">
        <v>7194</v>
      </c>
      <c r="E24" s="3092"/>
      <c r="F24" s="3094">
        <f>((9*7.5)*1)*0.1</f>
        <v>6.75</v>
      </c>
      <c r="G24" s="3095"/>
      <c r="H24" s="4031"/>
      <c r="I24" s="3096"/>
      <c r="J24" s="2432"/>
      <c r="T24" s="1292"/>
      <c r="V24" s="1292"/>
    </row>
    <row r="25" spans="1:23" s="1291" customFormat="1" ht="13.5" customHeight="1">
      <c r="A25" s="3090"/>
      <c r="B25" s="3091"/>
      <c r="C25" s="3092"/>
      <c r="D25" s="3093" t="s">
        <v>7195</v>
      </c>
      <c r="E25" s="3092"/>
      <c r="F25" s="3094">
        <f>((11*2+7.5*2)*0.5)*0.1</f>
        <v>1.85</v>
      </c>
      <c r="G25" s="3095"/>
      <c r="H25" s="4031"/>
      <c r="I25" s="3096"/>
      <c r="J25" s="2432"/>
      <c r="T25" s="1292"/>
      <c r="V25" s="1292"/>
    </row>
    <row r="26" spans="1:23" s="1291" customFormat="1" ht="27" customHeight="1">
      <c r="A26" s="3090"/>
      <c r="B26" s="3091"/>
      <c r="C26" s="3092"/>
      <c r="D26" s="3092" t="s">
        <v>7094</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7196</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7197</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7102</v>
      </c>
      <c r="E32" s="3114"/>
      <c r="F32" s="3117"/>
      <c r="G32" s="3115"/>
      <c r="H32" s="4201"/>
      <c r="I32" s="3118"/>
      <c r="J32" s="2436"/>
    </row>
    <row r="33" spans="1:256" s="2317" customFormat="1" ht="13.5" customHeight="1">
      <c r="A33" s="3112"/>
      <c r="B33" s="3114"/>
      <c r="C33" s="3114"/>
      <c r="D33" s="3116" t="s">
        <v>7198</v>
      </c>
      <c r="E33" s="3114"/>
      <c r="F33" s="3119">
        <f>(77.4+8.6)</f>
        <v>86</v>
      </c>
      <c r="G33" s="3115"/>
      <c r="H33" s="4201"/>
      <c r="I33" s="3118"/>
    </row>
    <row r="34" spans="1:256" s="2317" customFormat="1" ht="27" customHeight="1">
      <c r="A34" s="3112"/>
      <c r="B34" s="3114"/>
      <c r="C34" s="3114"/>
      <c r="D34" s="3116" t="s">
        <v>7199</v>
      </c>
      <c r="E34" s="3114"/>
      <c r="F34" s="3119">
        <f>-((7.6*0.8*0.4)+(28.2*0.8*0.4)+(8*6.5*0.15))</f>
        <v>-19.256</v>
      </c>
      <c r="G34" s="3115"/>
      <c r="H34" s="4201"/>
      <c r="I34" s="3118"/>
    </row>
    <row r="35" spans="1:256" s="2317" customFormat="1" ht="27" customHeight="1">
      <c r="A35" s="3112"/>
      <c r="B35" s="3114"/>
      <c r="C35" s="3114"/>
      <c r="D35" s="3116" t="s">
        <v>7200</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7201</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 t="shared" ref="H40:H42" si="2">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 t="shared" si="2"/>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 t="shared" si="2"/>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7202</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 t="shared" ref="H49:H50" si="3">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 t="shared" si="3"/>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10548</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10549</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4">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4"/>
        <v>0</v>
      </c>
      <c r="I60" s="3130" t="s">
        <v>142</v>
      </c>
      <c r="J60" s="231"/>
      <c r="K60" s="231"/>
      <c r="L60" s="120"/>
      <c r="M60" s="120"/>
      <c r="N60" s="120"/>
      <c r="O60" s="120"/>
      <c r="P60" s="120"/>
      <c r="Q60" s="120"/>
      <c r="R60" s="120"/>
      <c r="S60" s="232"/>
      <c r="V60" s="120"/>
    </row>
    <row r="61" spans="1:256" s="245" customFormat="1" ht="27" customHeight="1">
      <c r="A61" s="3155" t="s">
        <v>6953</v>
      </c>
      <c r="B61" s="3139"/>
      <c r="C61" s="3129">
        <v>162751113</v>
      </c>
      <c r="D61" s="3141" t="s">
        <v>905</v>
      </c>
      <c r="E61" s="3156" t="s">
        <v>221</v>
      </c>
      <c r="F61" s="3157">
        <f>F55</f>
        <v>14.472000000000008</v>
      </c>
      <c r="G61" s="3158"/>
      <c r="H61" s="4186">
        <f t="shared" si="4"/>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7110</v>
      </c>
      <c r="B62" s="3139"/>
      <c r="C62" s="3129">
        <v>162751133</v>
      </c>
      <c r="D62" s="3141" t="s">
        <v>907</v>
      </c>
      <c r="E62" s="3156" t="s">
        <v>221</v>
      </c>
      <c r="F62" s="3157">
        <f>F57</f>
        <v>8.6</v>
      </c>
      <c r="G62" s="3158"/>
      <c r="H62" s="4186">
        <f t="shared" si="4"/>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7111</v>
      </c>
      <c r="B63" s="3078"/>
      <c r="C63" s="3129">
        <v>171251101</v>
      </c>
      <c r="D63" s="3159" t="s">
        <v>299</v>
      </c>
      <c r="E63" s="3133" t="s">
        <v>221</v>
      </c>
      <c r="F63" s="3134">
        <f>F53</f>
        <v>23.071999999999999</v>
      </c>
      <c r="G63" s="3154"/>
      <c r="H63" s="4186">
        <f t="shared" si="4"/>
        <v>0</v>
      </c>
      <c r="I63" s="3130" t="s">
        <v>142</v>
      </c>
      <c r="J63" s="231"/>
      <c r="K63" s="231"/>
      <c r="L63" s="120"/>
      <c r="M63" s="120"/>
      <c r="N63" s="120"/>
      <c r="O63" s="120"/>
      <c r="P63" s="120"/>
      <c r="Q63" s="120"/>
      <c r="R63" s="120"/>
      <c r="S63" s="232"/>
      <c r="V63" s="120"/>
    </row>
    <row r="64" spans="1:256" s="532" customFormat="1" ht="13.5" customHeight="1">
      <c r="A64" s="3132" t="s">
        <v>7112</v>
      </c>
      <c r="B64" s="3078"/>
      <c r="C64" s="3129">
        <v>171201221</v>
      </c>
      <c r="D64" s="3131" t="s">
        <v>720</v>
      </c>
      <c r="E64" s="3133" t="s">
        <v>302</v>
      </c>
      <c r="F64" s="3134">
        <f>F53*2</f>
        <v>46.143999999999998</v>
      </c>
      <c r="G64" s="3154"/>
      <c r="H64" s="4186">
        <f t="shared" si="4"/>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7203</v>
      </c>
      <c r="D68" s="3183" t="s">
        <v>7204</v>
      </c>
      <c r="E68" s="3183" t="s">
        <v>221</v>
      </c>
      <c r="F68" s="3080">
        <f>ROUND(SUM(F69),3)</f>
        <v>3.8159999999999998</v>
      </c>
      <c r="G68" s="3184"/>
      <c r="H68" s="3942">
        <f>ROUND(F68*G68,2)</f>
        <v>0</v>
      </c>
      <c r="I68" s="3187" t="s">
        <v>60</v>
      </c>
      <c r="J68" s="2444"/>
    </row>
    <row r="69" spans="1:256" s="933" customFormat="1" ht="13.5" customHeight="1">
      <c r="A69" s="3181"/>
      <c r="B69" s="3182"/>
      <c r="C69" s="3183"/>
      <c r="D69" s="3185" t="s">
        <v>7205</v>
      </c>
      <c r="E69" s="3183"/>
      <c r="F69" s="3306">
        <f>((2.8+2.5)*7.2)*0.1</f>
        <v>3.8159999999999998</v>
      </c>
      <c r="G69" s="3184"/>
      <c r="H69" s="4192"/>
      <c r="I69" s="3187"/>
      <c r="J69" s="2444"/>
    </row>
    <row r="70" spans="1:256" s="2452" customFormat="1" ht="13.5" customHeight="1">
      <c r="A70" s="3181">
        <v>17</v>
      </c>
      <c r="B70" s="3182" t="s">
        <v>911</v>
      </c>
      <c r="C70" s="3183">
        <v>273321411</v>
      </c>
      <c r="D70" s="3183" t="s">
        <v>7206</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7207</v>
      </c>
      <c r="E71" s="3309"/>
      <c r="F71" s="3306"/>
      <c r="G71" s="3310"/>
      <c r="H71" s="4212"/>
      <c r="I71" s="3311"/>
      <c r="J71" s="2489"/>
      <c r="M71" s="2491"/>
    </row>
    <row r="72" spans="1:256" s="2452" customFormat="1" ht="13.5" customHeight="1">
      <c r="A72" s="3181"/>
      <c r="B72" s="3182"/>
      <c r="C72" s="3183"/>
      <c r="D72" s="3309" t="s">
        <v>7208</v>
      </c>
      <c r="E72" s="3183"/>
      <c r="F72" s="3306">
        <f>((8*6.5)*0.15)*1.05</f>
        <v>8.19</v>
      </c>
      <c r="G72" s="3184"/>
      <c r="H72" s="4192"/>
      <c r="I72" s="3187"/>
      <c r="J72" s="2444"/>
      <c r="M72" s="2488"/>
    </row>
    <row r="73" spans="1:256" s="933" customFormat="1" ht="27" customHeight="1">
      <c r="A73" s="3312"/>
      <c r="B73" s="3313"/>
      <c r="C73" s="3314"/>
      <c r="D73" s="3185" t="s">
        <v>7209</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7210</v>
      </c>
      <c r="E75" s="3183"/>
      <c r="F75" s="3317"/>
      <c r="G75" s="3184"/>
      <c r="H75" s="4192"/>
      <c r="I75" s="3187"/>
      <c r="J75" s="2444"/>
    </row>
    <row r="76" spans="1:256" s="2491" customFormat="1" ht="13.5" customHeight="1">
      <c r="A76" s="3307"/>
      <c r="B76" s="3308"/>
      <c r="C76" s="3309"/>
      <c r="D76" s="3309" t="s">
        <v>7211</v>
      </c>
      <c r="E76" s="3309"/>
      <c r="F76" s="3318">
        <f>(8*2+6.5*2)*0.15</f>
        <v>4.3499999999999996</v>
      </c>
      <c r="G76" s="3310"/>
      <c r="H76" s="4212"/>
      <c r="I76" s="3311"/>
      <c r="J76" s="2489"/>
    </row>
    <row r="77" spans="1:256" s="933" customFormat="1" ht="13.5" customHeight="1">
      <c r="A77" s="3181">
        <v>19</v>
      </c>
      <c r="B77" s="3182" t="s">
        <v>911</v>
      </c>
      <c r="C77" s="3183">
        <v>273351122</v>
      </c>
      <c r="D77" s="3183" t="s">
        <v>3470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7212</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7213</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7214</v>
      </c>
      <c r="E80" s="3183" t="s">
        <v>221</v>
      </c>
      <c r="F80" s="3080">
        <f>ROUND(SUM(F82:F83),3)</f>
        <v>12.029</v>
      </c>
      <c r="G80" s="3184"/>
      <c r="H80" s="3942">
        <f>ROUND(F80*G80,2)</f>
        <v>0</v>
      </c>
      <c r="I80" s="3187" t="s">
        <v>142</v>
      </c>
      <c r="J80" s="2444"/>
    </row>
    <row r="81" spans="1:23" s="2452" customFormat="1" ht="13.5" customHeight="1">
      <c r="A81" s="3181"/>
      <c r="B81" s="3182"/>
      <c r="C81" s="3183"/>
      <c r="D81" s="3324" t="s">
        <v>7215</v>
      </c>
      <c r="E81" s="3309"/>
      <c r="F81" s="3306"/>
      <c r="G81" s="3310"/>
      <c r="H81" s="4212"/>
      <c r="I81" s="3311"/>
      <c r="J81" s="2444"/>
      <c r="M81" s="2488"/>
    </row>
    <row r="82" spans="1:23" s="933" customFormat="1" ht="13.5" customHeight="1">
      <c r="A82" s="3181"/>
      <c r="B82" s="3182"/>
      <c r="C82" s="3183"/>
      <c r="D82" s="3185" t="s">
        <v>7216</v>
      </c>
      <c r="E82" s="3183"/>
      <c r="F82" s="3188">
        <f>((8*2+6.1*2)*0.4*0.8)*1.05</f>
        <v>9.475200000000001</v>
      </c>
      <c r="G82" s="3184"/>
      <c r="H82" s="4192"/>
      <c r="I82" s="3231"/>
      <c r="J82" s="2444"/>
    </row>
    <row r="83" spans="1:23" s="933" customFormat="1" ht="13.5" customHeight="1">
      <c r="A83" s="3181"/>
      <c r="B83" s="3182"/>
      <c r="C83" s="3183"/>
      <c r="D83" s="3185" t="s">
        <v>7217</v>
      </c>
      <c r="E83" s="3183"/>
      <c r="F83" s="3188">
        <f>((7.6)*0.4*0.8)*1.05</f>
        <v>2.5536000000000003</v>
      </c>
      <c r="G83" s="3184"/>
      <c r="H83" s="4192"/>
      <c r="I83" s="3231"/>
      <c r="J83" s="2444"/>
    </row>
    <row r="84" spans="1:23" s="933" customFormat="1" ht="27" customHeight="1">
      <c r="A84" s="3312"/>
      <c r="B84" s="3313"/>
      <c r="C84" s="3314"/>
      <c r="D84" s="3185" t="s">
        <v>7209</v>
      </c>
      <c r="E84" s="3314"/>
      <c r="F84" s="3315"/>
      <c r="G84" s="3316"/>
      <c r="H84" s="4192"/>
      <c r="I84" s="3231"/>
      <c r="J84" s="2444"/>
    </row>
    <row r="85" spans="1:23" s="933" customFormat="1" ht="13.5" customHeight="1">
      <c r="A85" s="3181">
        <v>22</v>
      </c>
      <c r="B85" s="3182" t="s">
        <v>911</v>
      </c>
      <c r="C85" s="3183">
        <v>274351121</v>
      </c>
      <c r="D85" s="3183" t="s">
        <v>3474</v>
      </c>
      <c r="E85" s="3183" t="s">
        <v>611</v>
      </c>
      <c r="F85" s="3080">
        <f>ROUND(SUM(F86:F87),3)</f>
        <v>56.16</v>
      </c>
      <c r="G85" s="3184"/>
      <c r="H85" s="3942">
        <f>ROUND(F85*G85,2)</f>
        <v>0</v>
      </c>
      <c r="I85" s="3187" t="s">
        <v>142</v>
      </c>
      <c r="J85" s="2444"/>
    </row>
    <row r="86" spans="1:23" s="1230" customFormat="1" ht="13.5" customHeight="1">
      <c r="A86" s="3325"/>
      <c r="B86" s="3093"/>
      <c r="C86" s="3093"/>
      <c r="D86" s="3093" t="s">
        <v>7218</v>
      </c>
      <c r="E86" s="3093"/>
      <c r="F86" s="3226">
        <f>((6.5*2+8*2)*0.8)*2</f>
        <v>46.400000000000006</v>
      </c>
      <c r="G86" s="3326"/>
      <c r="H86" s="4214"/>
      <c r="I86" s="3327"/>
      <c r="K86" s="1224"/>
      <c r="O86" s="595"/>
    </row>
    <row r="87" spans="1:23" s="1230" customFormat="1" ht="13.5" customHeight="1">
      <c r="A87" s="3325"/>
      <c r="B87" s="3093"/>
      <c r="C87" s="3093"/>
      <c r="D87" s="3093" t="s">
        <v>7219</v>
      </c>
      <c r="E87" s="3093"/>
      <c r="F87" s="3226">
        <f>(6.1*2)*0.8</f>
        <v>9.76</v>
      </c>
      <c r="G87" s="3326"/>
      <c r="H87" s="4214"/>
      <c r="I87" s="3327"/>
      <c r="J87" s="4638"/>
    </row>
    <row r="88" spans="1:23" s="933" customFormat="1" ht="13.5" customHeight="1">
      <c r="A88" s="3181">
        <v>23</v>
      </c>
      <c r="B88" s="3182" t="s">
        <v>911</v>
      </c>
      <c r="C88" s="3183">
        <v>274351122</v>
      </c>
      <c r="D88" s="3183" t="s">
        <v>5994</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4159</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7120</v>
      </c>
      <c r="E91" s="3183"/>
      <c r="F91" s="3186"/>
      <c r="G91" s="3184"/>
      <c r="H91" s="4192"/>
      <c r="I91" s="3187"/>
      <c r="J91" s="2444"/>
      <c r="L91" s="2445"/>
    </row>
    <row r="92" spans="1:23" s="2447" customFormat="1" ht="13.5" customHeight="1">
      <c r="A92" s="3181"/>
      <c r="B92" s="3182"/>
      <c r="C92" s="3183"/>
      <c r="D92" s="3185" t="s">
        <v>7220</v>
      </c>
      <c r="E92" s="3183"/>
      <c r="F92" s="3188">
        <f>((6.5*2+8*2)*0.5)*1.05</f>
        <v>15.225000000000001</v>
      </c>
      <c r="G92" s="3184"/>
      <c r="H92" s="4192"/>
      <c r="I92" s="3180"/>
      <c r="J92" s="2446"/>
      <c r="L92" s="2445"/>
      <c r="M92" s="933"/>
    </row>
    <row r="93" spans="1:23" s="2447" customFormat="1" ht="13.5" customHeight="1">
      <c r="A93" s="3181"/>
      <c r="B93" s="3182"/>
      <c r="C93" s="3183"/>
      <c r="D93" s="3185" t="s">
        <v>7221</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7222</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7223</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7224</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7225</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7226</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7227</v>
      </c>
      <c r="E102" s="3343"/>
      <c r="F102" s="782"/>
      <c r="G102" s="3344"/>
      <c r="H102" s="4217"/>
      <c r="I102" s="3345"/>
      <c r="J102" s="171"/>
      <c r="U102" s="159"/>
      <c r="W102" s="159"/>
    </row>
    <row r="103" spans="1:23" s="158" customFormat="1" ht="13.5" customHeight="1">
      <c r="A103" s="3339"/>
      <c r="B103" s="3340"/>
      <c r="C103" s="3341"/>
      <c r="D103" s="3342" t="s">
        <v>7228</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7229</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7230</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7231</v>
      </c>
      <c r="E106" s="3330" t="s">
        <v>155</v>
      </c>
      <c r="F106" s="3080">
        <f>ROUND(SUM(F108),3)</f>
        <v>1</v>
      </c>
      <c r="G106" s="3331"/>
      <c r="H106" s="3942">
        <f>ROUND(F106*G106,2)</f>
        <v>0</v>
      </c>
      <c r="I106" s="3332" t="s">
        <v>60</v>
      </c>
      <c r="J106" s="1284"/>
    </row>
    <row r="107" spans="1:23" s="120" customFormat="1" ht="13.5" customHeight="1">
      <c r="A107" s="3329"/>
      <c r="B107" s="3330"/>
      <c r="C107" s="3330"/>
      <c r="D107" s="3342" t="s">
        <v>7232</v>
      </c>
      <c r="E107" s="3330"/>
      <c r="F107" s="3346"/>
      <c r="G107" s="3331"/>
      <c r="H107" s="4218"/>
      <c r="I107" s="3332"/>
      <c r="J107" s="1284"/>
    </row>
    <row r="108" spans="1:23" s="1291" customFormat="1" ht="13.5" customHeight="1">
      <c r="A108" s="3090"/>
      <c r="B108" s="3091"/>
      <c r="C108" s="3092"/>
      <c r="D108" s="3342" t="s">
        <v>7233</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7234</v>
      </c>
      <c r="D110" s="3330" t="s">
        <v>7235</v>
      </c>
      <c r="E110" s="3330" t="s">
        <v>155</v>
      </c>
      <c r="F110" s="3080">
        <f>ROUND(SUM(F112),3)</f>
        <v>1</v>
      </c>
      <c r="G110" s="3331"/>
      <c r="H110" s="3942">
        <f>ROUND(F110*G110,2)</f>
        <v>0</v>
      </c>
      <c r="I110" s="3332" t="s">
        <v>60</v>
      </c>
      <c r="J110" s="1284"/>
    </row>
    <row r="111" spans="1:23" s="120" customFormat="1" ht="13.5" customHeight="1">
      <c r="A111" s="3329"/>
      <c r="B111" s="3330"/>
      <c r="C111" s="3330"/>
      <c r="D111" s="3342" t="s">
        <v>7236</v>
      </c>
      <c r="E111" s="3330"/>
      <c r="F111" s="3346"/>
      <c r="G111" s="3331"/>
      <c r="H111" s="4218"/>
      <c r="I111" s="3332"/>
      <c r="J111" s="1284"/>
    </row>
    <row r="112" spans="1:23" s="1291" customFormat="1" ht="13.5" customHeight="1">
      <c r="A112" s="3090"/>
      <c r="B112" s="3091"/>
      <c r="C112" s="3092"/>
      <c r="D112" s="3342" t="s">
        <v>7233</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7237</v>
      </c>
      <c r="E115" s="3330"/>
      <c r="F115" s="3346"/>
      <c r="G115" s="3331"/>
      <c r="H115" s="4218"/>
      <c r="I115" s="3332"/>
      <c r="J115" s="1284"/>
    </row>
    <row r="116" spans="1:23" s="1291" customFormat="1" ht="13.5" customHeight="1">
      <c r="A116" s="3090"/>
      <c r="B116" s="3091"/>
      <c r="C116" s="3092"/>
      <c r="D116" s="3342" t="s">
        <v>7238</v>
      </c>
      <c r="E116" s="3343"/>
      <c r="F116" s="3188">
        <f>(3.4+1.5)*1.1</f>
        <v>5.3900000000000006</v>
      </c>
      <c r="G116" s="3095"/>
      <c r="H116" s="4031"/>
      <c r="I116" s="3332"/>
      <c r="J116" s="1290"/>
      <c r="U116" s="1292"/>
      <c r="W116" s="1292"/>
    </row>
    <row r="117" spans="1:23" s="1291" customFormat="1" ht="27" customHeight="1">
      <c r="A117" s="3090"/>
      <c r="B117" s="3091"/>
      <c r="C117" s="3092"/>
      <c r="D117" s="3342" t="s">
        <v>7239</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7130</v>
      </c>
      <c r="C119" s="3225" t="s">
        <v>7240</v>
      </c>
      <c r="D119" s="3225" t="s">
        <v>7241</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7242</v>
      </c>
      <c r="E120" s="3225"/>
      <c r="F120" s="3226">
        <f>(61.59)</f>
        <v>61.59</v>
      </c>
      <c r="G120" s="3184"/>
      <c r="H120" s="4191"/>
      <c r="I120" s="3187"/>
      <c r="J120" s="2451"/>
      <c r="K120" s="2450"/>
      <c r="L120" s="2450"/>
      <c r="M120" s="2448"/>
    </row>
    <row r="121" spans="1:23" s="906" customFormat="1" ht="13.5" customHeight="1">
      <c r="A121" s="3223"/>
      <c r="B121" s="3224"/>
      <c r="C121" s="3225"/>
      <c r="D121" s="3093" t="s">
        <v>7243</v>
      </c>
      <c r="E121" s="3225"/>
      <c r="F121" s="3226">
        <f>(0.002)</f>
        <v>2E-3</v>
      </c>
      <c r="G121" s="3184"/>
      <c r="H121" s="4191"/>
      <c r="I121" s="3187"/>
      <c r="J121" s="2451"/>
      <c r="K121" s="2450"/>
      <c r="L121" s="2450"/>
      <c r="M121" s="2448"/>
    </row>
    <row r="122" spans="1:23" s="2452" customFormat="1" ht="13.5" customHeight="1">
      <c r="A122" s="3230">
        <v>32</v>
      </c>
      <c r="B122" s="3182" t="s">
        <v>188</v>
      </c>
      <c r="C122" s="3183" t="s">
        <v>7134</v>
      </c>
      <c r="D122" s="3183" t="s">
        <v>7135</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H125+H150+H171+H202+H217+H295</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7244</v>
      </c>
      <c r="E127" s="3183"/>
      <c r="F127" s="3186"/>
      <c r="G127" s="3349"/>
      <c r="H127" s="4192"/>
      <c r="I127" s="3231"/>
      <c r="J127" s="2496"/>
    </row>
    <row r="128" spans="1:23" s="939" customFormat="1" ht="40.5" customHeight="1">
      <c r="A128" s="3350"/>
      <c r="B128" s="3182"/>
      <c r="C128" s="3183"/>
      <c r="D128" s="3351" t="s">
        <v>7245</v>
      </c>
      <c r="E128" s="3185"/>
      <c r="F128" s="3188"/>
      <c r="G128" s="3322"/>
      <c r="H128" s="4213"/>
      <c r="I128" s="3231"/>
      <c r="J128" s="2495"/>
    </row>
    <row r="129" spans="1:17" s="933" customFormat="1" ht="13.5" customHeight="1">
      <c r="A129" s="3352" t="s">
        <v>7246</v>
      </c>
      <c r="B129" s="3353"/>
      <c r="C129" s="3354" t="s">
        <v>1879</v>
      </c>
      <c r="D129" s="3309" t="s">
        <v>7247</v>
      </c>
      <c r="E129" s="3355" t="s">
        <v>611</v>
      </c>
      <c r="F129" s="3356">
        <f>F126</f>
        <v>52</v>
      </c>
      <c r="G129" s="3357"/>
      <c r="H129" s="4186">
        <f t="shared" ref="H129:H130" si="5">ROUND(F129*G129,2)</f>
        <v>0</v>
      </c>
      <c r="I129" s="3358" t="s">
        <v>60</v>
      </c>
      <c r="J129" s="2444"/>
      <c r="K129" s="2442"/>
    </row>
    <row r="130" spans="1:17" s="933" customFormat="1" ht="13.5" customHeight="1">
      <c r="A130" s="3359" t="s">
        <v>7248</v>
      </c>
      <c r="B130" s="3360"/>
      <c r="C130" s="3361" t="s">
        <v>7249</v>
      </c>
      <c r="D130" s="3362" t="s">
        <v>7250</v>
      </c>
      <c r="E130" s="3363" t="s">
        <v>611</v>
      </c>
      <c r="F130" s="3364">
        <f>(52)*1.15</f>
        <v>59.8</v>
      </c>
      <c r="G130" s="3365"/>
      <c r="H130" s="4211">
        <f t="shared" si="5"/>
        <v>0</v>
      </c>
      <c r="I130" s="3366" t="s">
        <v>60</v>
      </c>
      <c r="J130" s="2444"/>
      <c r="K130" s="2442"/>
      <c r="Q130" s="2497"/>
    </row>
    <row r="131" spans="1:17" s="933" customFormat="1" ht="27" customHeight="1">
      <c r="A131" s="3350"/>
      <c r="B131" s="3182"/>
      <c r="C131" s="3183"/>
      <c r="D131" s="3185" t="s">
        <v>7251</v>
      </c>
      <c r="E131" s="3185"/>
      <c r="F131" s="3188"/>
      <c r="G131" s="3322"/>
      <c r="H131" s="4213"/>
      <c r="I131" s="3231"/>
    </row>
    <row r="132" spans="1:17" s="933" customFormat="1" ht="13.5" customHeight="1">
      <c r="A132" s="3352" t="s">
        <v>7252</v>
      </c>
      <c r="B132" s="3353"/>
      <c r="C132" s="3354" t="s">
        <v>1884</v>
      </c>
      <c r="D132" s="3309" t="s">
        <v>7253</v>
      </c>
      <c r="E132" s="3355" t="s">
        <v>611</v>
      </c>
      <c r="F132" s="3356">
        <f>F126</f>
        <v>52</v>
      </c>
      <c r="G132" s="3357"/>
      <c r="H132" s="4186">
        <f t="shared" ref="H132:H133" si="6">ROUND(F132*G132,2)</f>
        <v>0</v>
      </c>
      <c r="I132" s="3358" t="s">
        <v>60</v>
      </c>
      <c r="J132" s="2444"/>
      <c r="K132" s="2442"/>
    </row>
    <row r="133" spans="1:17" s="933" customFormat="1" ht="13.5" customHeight="1">
      <c r="A133" s="3359" t="s">
        <v>7254</v>
      </c>
      <c r="B133" s="3360"/>
      <c r="C133" s="3361">
        <v>11163150</v>
      </c>
      <c r="D133" s="3362" t="s">
        <v>7255</v>
      </c>
      <c r="E133" s="3363" t="s">
        <v>302</v>
      </c>
      <c r="F133" s="3367">
        <f>((52*0.4)/1000)*1.1</f>
        <v>2.2880000000000001E-2</v>
      </c>
      <c r="G133" s="3365"/>
      <c r="H133" s="4211">
        <f t="shared" si="6"/>
        <v>0</v>
      </c>
      <c r="I133" s="3366" t="s">
        <v>142</v>
      </c>
      <c r="J133" s="2444"/>
      <c r="K133" s="2442"/>
      <c r="Q133" s="2497"/>
    </row>
    <row r="134" spans="1:17" s="933" customFormat="1" ht="13.5" customHeight="1">
      <c r="A134" s="3368"/>
      <c r="B134" s="3314"/>
      <c r="C134" s="3314"/>
      <c r="D134" s="3185" t="s">
        <v>7256</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7257</v>
      </c>
      <c r="E137" s="3183"/>
      <c r="F137" s="3186"/>
      <c r="G137" s="3349"/>
      <c r="H137" s="4192"/>
      <c r="I137" s="3231"/>
      <c r="J137" s="2496"/>
      <c r="K137" s="956"/>
    </row>
    <row r="138" spans="1:17" s="939" customFormat="1" ht="40.5" customHeight="1">
      <c r="A138" s="3350"/>
      <c r="B138" s="3182"/>
      <c r="C138" s="3183"/>
      <c r="D138" s="3351" t="s">
        <v>7258</v>
      </c>
      <c r="E138" s="3185"/>
      <c r="F138" s="3188"/>
      <c r="G138" s="3322"/>
      <c r="H138" s="4213"/>
      <c r="I138" s="3231"/>
      <c r="J138" s="2495"/>
    </row>
    <row r="139" spans="1:17" s="933" customFormat="1" ht="13.5" customHeight="1">
      <c r="A139" s="3352" t="s">
        <v>267</v>
      </c>
      <c r="B139" s="3353"/>
      <c r="C139" s="3354" t="s">
        <v>1893</v>
      </c>
      <c r="D139" s="3309" t="s">
        <v>7259</v>
      </c>
      <c r="E139" s="3355" t="s">
        <v>611</v>
      </c>
      <c r="F139" s="3356">
        <f>F136</f>
        <v>4.3499999999999996</v>
      </c>
      <c r="G139" s="3357"/>
      <c r="H139" s="4186">
        <f t="shared" ref="H139:H140" si="7">ROUND(F139*G139,2)</f>
        <v>0</v>
      </c>
      <c r="I139" s="3358" t="s">
        <v>60</v>
      </c>
      <c r="J139" s="2444"/>
      <c r="K139" s="2442"/>
    </row>
    <row r="140" spans="1:17" s="933" customFormat="1" ht="13.5" customHeight="1">
      <c r="A140" s="3359" t="s">
        <v>269</v>
      </c>
      <c r="B140" s="3360"/>
      <c r="C140" s="3361" t="s">
        <v>7249</v>
      </c>
      <c r="D140" s="3362" t="s">
        <v>7260</v>
      </c>
      <c r="E140" s="3363" t="s">
        <v>611</v>
      </c>
      <c r="F140" s="3364">
        <f>(4.35)*1.2</f>
        <v>5.22</v>
      </c>
      <c r="G140" s="3365"/>
      <c r="H140" s="4211">
        <f t="shared" si="7"/>
        <v>0</v>
      </c>
      <c r="I140" s="3366" t="s">
        <v>60</v>
      </c>
      <c r="J140" s="2444"/>
      <c r="K140" s="2442"/>
      <c r="Q140" s="2497"/>
    </row>
    <row r="141" spans="1:17" s="933" customFormat="1" ht="27" customHeight="1">
      <c r="A141" s="3350"/>
      <c r="B141" s="3182"/>
      <c r="C141" s="3183"/>
      <c r="D141" s="3185" t="s">
        <v>7261</v>
      </c>
      <c r="E141" s="3185"/>
      <c r="F141" s="3188"/>
      <c r="G141" s="3322"/>
      <c r="H141" s="4213"/>
      <c r="I141" s="3231"/>
    </row>
    <row r="142" spans="1:17" s="933" customFormat="1" ht="13.5" customHeight="1">
      <c r="A142" s="3352" t="s">
        <v>271</v>
      </c>
      <c r="B142" s="3353"/>
      <c r="C142" s="3354" t="s">
        <v>7262</v>
      </c>
      <c r="D142" s="3309" t="s">
        <v>7263</v>
      </c>
      <c r="E142" s="3355" t="s">
        <v>611</v>
      </c>
      <c r="F142" s="3356">
        <f>F136</f>
        <v>4.3499999999999996</v>
      </c>
      <c r="G142" s="3357"/>
      <c r="H142" s="4186">
        <f t="shared" ref="H142:H143" si="8">ROUND(F142*G142,2)</f>
        <v>0</v>
      </c>
      <c r="I142" s="3358" t="s">
        <v>60</v>
      </c>
      <c r="J142" s="2444"/>
      <c r="K142" s="2442"/>
    </row>
    <row r="143" spans="1:17" s="933" customFormat="1" ht="13.5" customHeight="1">
      <c r="A143" s="3359" t="s">
        <v>273</v>
      </c>
      <c r="B143" s="3360"/>
      <c r="C143" s="3361">
        <v>11163150</v>
      </c>
      <c r="D143" s="3362" t="s">
        <v>7264</v>
      </c>
      <c r="E143" s="3363" t="s">
        <v>302</v>
      </c>
      <c r="F143" s="3367">
        <f>((4.35*0.4)/1000)*1.15</f>
        <v>2.0009999999999997E-3</v>
      </c>
      <c r="G143" s="3365"/>
      <c r="H143" s="4211">
        <f t="shared" si="8"/>
        <v>0</v>
      </c>
      <c r="I143" s="3366" t="s">
        <v>142</v>
      </c>
      <c r="J143" s="2444"/>
      <c r="K143" s="2442"/>
      <c r="Q143" s="2497"/>
    </row>
    <row r="144" spans="1:17" s="933" customFormat="1" ht="13.5" customHeight="1">
      <c r="A144" s="3368"/>
      <c r="B144" s="3314"/>
      <c r="C144" s="3314"/>
      <c r="D144" s="3185" t="s">
        <v>7265</v>
      </c>
      <c r="E144" s="3314"/>
      <c r="F144" s="3369">
        <f>(8*2+6.5*2)*0.15</f>
        <v>4.3499999999999996</v>
      </c>
      <c r="G144" s="3316"/>
      <c r="H144" s="4192"/>
      <c r="I144" s="3347"/>
      <c r="J144" s="5765"/>
      <c r="K144" s="5766"/>
      <c r="L144" s="5766"/>
      <c r="M144" s="5766"/>
      <c r="N144" s="5766"/>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6248</v>
      </c>
      <c r="E150" s="3190"/>
      <c r="F150" s="3191"/>
      <c r="G150" s="3328"/>
      <c r="H150" s="4215">
        <f>SUM(H151:H170)</f>
        <v>0</v>
      </c>
      <c r="I150" s="3374"/>
    </row>
    <row r="151" spans="1:121" s="1346" customFormat="1" ht="13.5" customHeight="1">
      <c r="A151" s="3375">
        <v>37</v>
      </c>
      <c r="B151" s="3108">
        <v>721</v>
      </c>
      <c r="C151" s="3108">
        <v>721173401</v>
      </c>
      <c r="D151" s="3108" t="s">
        <v>6249</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6250</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7266</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10492</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6267</v>
      </c>
      <c r="E156" s="3110"/>
      <c r="F156" s="4593"/>
      <c r="G156" s="4594"/>
      <c r="H156" s="4220"/>
      <c r="I156" s="4412"/>
      <c r="O156" s="4645"/>
      <c r="R156" s="4646"/>
    </row>
    <row r="157" spans="1:121" s="1346" customFormat="1" ht="13.5" customHeight="1">
      <c r="A157" s="3216"/>
      <c r="B157" s="3108"/>
      <c r="C157" s="3110"/>
      <c r="D157" s="3110" t="s">
        <v>10496</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6269</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6267</v>
      </c>
      <c r="E160" s="3110"/>
      <c r="F160" s="4593"/>
      <c r="G160" s="4594"/>
      <c r="H160" s="4220"/>
      <c r="I160" s="4412"/>
      <c r="O160" s="4645"/>
      <c r="R160" s="4646"/>
    </row>
    <row r="161" spans="1:121" s="1346" customFormat="1" ht="13.5" customHeight="1">
      <c r="A161" s="3216"/>
      <c r="B161" s="3108"/>
      <c r="C161" s="3110"/>
      <c r="D161" s="3110" t="s">
        <v>10493</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6392</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10495</v>
      </c>
      <c r="E164" s="3212"/>
      <c r="F164" s="3214">
        <f>(0.5)</f>
        <v>0.5</v>
      </c>
      <c r="G164" s="3109"/>
      <c r="H164" s="4187"/>
      <c r="I164" s="3083"/>
      <c r="J164" s="2507"/>
      <c r="K164" s="2507"/>
      <c r="R164" s="4646"/>
    </row>
    <row r="165" spans="1:121" s="1346" customFormat="1" ht="13.5" customHeight="1">
      <c r="A165" s="3216"/>
      <c r="B165" s="3108"/>
      <c r="C165" s="3108"/>
      <c r="D165" s="3110" t="s">
        <v>10494</v>
      </c>
      <c r="E165" s="3212"/>
      <c r="F165" s="3214">
        <f>(1.5)</f>
        <v>1.5</v>
      </c>
      <c r="G165" s="3109"/>
      <c r="H165" s="4187"/>
      <c r="I165" s="3083"/>
      <c r="J165" s="2507"/>
      <c r="K165" s="2507"/>
      <c r="R165" s="4646"/>
    </row>
    <row r="166" spans="1:121" s="1346" customFormat="1" ht="13.5" customHeight="1">
      <c r="A166" s="3216"/>
      <c r="B166" s="3108"/>
      <c r="C166" s="3108"/>
      <c r="D166" s="3110" t="s">
        <v>7267</v>
      </c>
      <c r="E166" s="3212"/>
      <c r="F166" s="3214">
        <f>(4)</f>
        <v>4</v>
      </c>
      <c r="G166" s="3109"/>
      <c r="H166" s="4187"/>
      <c r="I166" s="3083"/>
      <c r="J166" s="2508"/>
      <c r="K166" s="2508"/>
      <c r="R166" s="4646"/>
    </row>
    <row r="167" spans="1:121" s="2509" customFormat="1" ht="13.5" customHeight="1">
      <c r="A167" s="3375">
        <v>41</v>
      </c>
      <c r="B167" s="3108">
        <v>721</v>
      </c>
      <c r="C167" s="3108">
        <v>998721201</v>
      </c>
      <c r="D167" s="3108" t="s">
        <v>7268</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6551</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6552</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6553</v>
      </c>
      <c r="E171" s="3388"/>
      <c r="F171" s="3389"/>
      <c r="G171" s="3390"/>
      <c r="H171" s="4221">
        <f>SUM(H172:H173,H176:H179,H182:H201)</f>
        <v>0</v>
      </c>
      <c r="I171" s="3391"/>
      <c r="J171" s="4649"/>
    </row>
    <row r="172" spans="1:121" s="245" customFormat="1" ht="27" customHeight="1">
      <c r="A172" s="3393">
        <v>43</v>
      </c>
      <c r="B172" s="3394">
        <v>721</v>
      </c>
      <c r="C172" s="3394" t="s">
        <v>7269</v>
      </c>
      <c r="D172" s="3394" t="s">
        <v>7270</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7271</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7269</v>
      </c>
      <c r="D174" s="3397" t="s">
        <v>7272</v>
      </c>
      <c r="E174" s="3403" t="s">
        <v>141</v>
      </c>
      <c r="F174" s="3398">
        <f>(1)*1.1</f>
        <v>1.1000000000000001</v>
      </c>
      <c r="G174" s="3404"/>
      <c r="H174" s="4186">
        <f t="shared" ref="H174:H175" si="9">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7273</v>
      </c>
      <c r="E175" s="3403" t="s">
        <v>141</v>
      </c>
      <c r="F175" s="3398">
        <f>(1)*1.1</f>
        <v>1.1000000000000001</v>
      </c>
      <c r="G175" s="3404"/>
      <c r="H175" s="4186">
        <f t="shared" si="9"/>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7274</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7275</v>
      </c>
      <c r="D178" s="3394" t="s">
        <v>7276</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7271</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7275</v>
      </c>
      <c r="D180" s="3397" t="s">
        <v>7277</v>
      </c>
      <c r="E180" s="3403" t="s">
        <v>141</v>
      </c>
      <c r="F180" s="3398">
        <f>(1)*1.1</f>
        <v>1.1000000000000001</v>
      </c>
      <c r="G180" s="3404"/>
      <c r="H180" s="4186">
        <f t="shared" ref="H180:H181" si="10">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7278</v>
      </c>
      <c r="E181" s="3403" t="s">
        <v>141</v>
      </c>
      <c r="F181" s="3398">
        <f>(1)*1.1</f>
        <v>1.1000000000000001</v>
      </c>
      <c r="G181" s="3404"/>
      <c r="H181" s="4186">
        <f t="shared" si="10"/>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7274</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6773</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6774</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7279</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7280</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7281</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6789</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7282</v>
      </c>
      <c r="D190" s="3282" t="s">
        <v>6740</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7283</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7284</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6738</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7282</v>
      </c>
      <c r="D194" s="3282" t="s">
        <v>7285</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7286</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7284</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7287</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7288</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6797</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6552</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6798</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6799</v>
      </c>
      <c r="D203" s="3431" t="s">
        <v>7289</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6817</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7290</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6814</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6803</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6861</v>
      </c>
      <c r="D208" s="3282" t="s">
        <v>7291</v>
      </c>
      <c r="E208" s="3282" t="s">
        <v>155</v>
      </c>
      <c r="F208" s="3080">
        <f>ROUND(SUM(F209),3)</f>
        <v>1</v>
      </c>
      <c r="G208" s="5739" t="s">
        <v>11578</v>
      </c>
      <c r="H208" s="5740"/>
      <c r="I208" s="3433" t="s">
        <v>60</v>
      </c>
      <c r="J208" s="4669"/>
      <c r="K208" s="4670"/>
      <c r="P208" s="4671"/>
    </row>
    <row r="209" spans="1:123" s="3337" customFormat="1" ht="13.5" customHeight="1">
      <c r="A209" s="3408"/>
      <c r="B209" s="3282"/>
      <c r="C209" s="3282"/>
      <c r="D209" s="3287" t="s">
        <v>7292</v>
      </c>
      <c r="E209" s="3282"/>
      <c r="F209" s="3291">
        <v>1</v>
      </c>
      <c r="G209" s="3409"/>
      <c r="H209" s="4208"/>
      <c r="I209" s="3089"/>
      <c r="P209" s="4671"/>
    </row>
    <row r="210" spans="1:123" s="3337" customFormat="1" ht="13.5" customHeight="1">
      <c r="A210" s="3408"/>
      <c r="B210" s="3282"/>
      <c r="C210" s="3282"/>
      <c r="D210" s="3287" t="s">
        <v>7293</v>
      </c>
      <c r="E210" s="3282"/>
      <c r="F210" s="3291"/>
      <c r="G210" s="3409"/>
      <c r="H210" s="4208"/>
      <c r="I210" s="3089"/>
      <c r="J210" s="4672"/>
      <c r="W210" s="2510"/>
    </row>
    <row r="211" spans="1:123" s="3337" customFormat="1" ht="40.5" customHeight="1">
      <c r="A211" s="3446"/>
      <c r="B211" s="3446"/>
      <c r="C211" s="3287"/>
      <c r="D211" s="3287" t="s">
        <v>7294</v>
      </c>
      <c r="E211" s="3287"/>
      <c r="F211" s="3291"/>
      <c r="G211" s="3447"/>
      <c r="H211" s="4209"/>
      <c r="I211" s="3089"/>
      <c r="J211" s="2510"/>
      <c r="N211" s="2510"/>
    </row>
    <row r="212" spans="1:123" s="3337" customFormat="1" ht="27" customHeight="1">
      <c r="A212" s="3446"/>
      <c r="B212" s="3446"/>
      <c r="C212" s="3287"/>
      <c r="D212" s="3287" t="s">
        <v>7295</v>
      </c>
      <c r="E212" s="3287"/>
      <c r="F212" s="3291"/>
      <c r="G212" s="3447"/>
      <c r="H212" s="4209"/>
      <c r="I212" s="3448"/>
      <c r="J212" s="168"/>
      <c r="P212" s="4673"/>
    </row>
    <row r="213" spans="1:123" s="2514" customFormat="1" ht="13.5" customHeight="1">
      <c r="A213" s="3422">
        <v>52</v>
      </c>
      <c r="B213" s="3449" t="s">
        <v>1007</v>
      </c>
      <c r="C213" s="3424">
        <v>998725201</v>
      </c>
      <c r="D213" s="3424" t="s">
        <v>7296</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6928</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7136</v>
      </c>
      <c r="E217" s="3459"/>
      <c r="F217" s="3460"/>
      <c r="G217" s="3461"/>
      <c r="H217" s="4194">
        <f>SUM(H218:H294)</f>
        <v>0</v>
      </c>
      <c r="I217" s="3462"/>
    </row>
    <row r="218" spans="1:123" s="3286" customFormat="1" ht="13.5" customHeight="1">
      <c r="A218" s="3237">
        <v>54</v>
      </c>
      <c r="B218" s="3463">
        <v>741</v>
      </c>
      <c r="C218" s="3463" t="s">
        <v>7137</v>
      </c>
      <c r="D218" s="3463" t="s">
        <v>7138</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7139</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7290</v>
      </c>
      <c r="E220" s="3464"/>
      <c r="F220" s="3467">
        <v>6</v>
      </c>
      <c r="G220" s="3468"/>
      <c r="H220" s="4119"/>
      <c r="I220" s="3465"/>
      <c r="J220" s="3296"/>
      <c r="M220" s="3470"/>
      <c r="Q220" s="3471"/>
      <c r="S220" s="3471"/>
    </row>
    <row r="221" spans="1:123" s="3286" customFormat="1" ht="13.5" customHeight="1">
      <c r="A221" s="3237"/>
      <c r="B221" s="3463"/>
      <c r="C221" s="3463"/>
      <c r="D221" s="3466" t="s">
        <v>7141</v>
      </c>
      <c r="E221" s="3464"/>
      <c r="F221" s="3467"/>
      <c r="G221" s="3468"/>
      <c r="H221" s="4119"/>
      <c r="I221" s="3465"/>
      <c r="J221" s="4677"/>
      <c r="K221" s="4677"/>
      <c r="M221" s="3470"/>
      <c r="Q221" s="3471"/>
    </row>
    <row r="222" spans="1:123" s="3473" customFormat="1" ht="13.5" customHeight="1">
      <c r="A222" s="3472">
        <v>55</v>
      </c>
      <c r="B222" s="3463">
        <v>741</v>
      </c>
      <c r="C222" s="3463" t="s">
        <v>7297</v>
      </c>
      <c r="D222" s="3463" t="s">
        <v>7298</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7299</v>
      </c>
      <c r="E223" s="3464"/>
      <c r="F223" s="3475"/>
      <c r="G223" s="3468"/>
      <c r="H223" s="4229"/>
      <c r="I223" s="3465"/>
      <c r="J223" s="2460"/>
      <c r="K223" s="2461"/>
      <c r="L223" s="3286"/>
      <c r="W223" s="2463"/>
    </row>
    <row r="224" spans="1:123" s="3473" customFormat="1" ht="13.5" customHeight="1">
      <c r="A224" s="3477"/>
      <c r="B224" s="3463"/>
      <c r="C224" s="3463"/>
      <c r="D224" s="3287" t="s">
        <v>7290</v>
      </c>
      <c r="E224" s="3463"/>
      <c r="F224" s="3475">
        <v>3</v>
      </c>
      <c r="G224" s="3468"/>
      <c r="H224" s="4229"/>
      <c r="I224" s="3465"/>
      <c r="J224" s="3286"/>
      <c r="L224" s="3286"/>
      <c r="W224" s="2463"/>
    </row>
    <row r="225" spans="1:23" s="3473" customFormat="1" ht="13.5" customHeight="1">
      <c r="A225" s="3472"/>
      <c r="B225" s="3463"/>
      <c r="C225" s="3463"/>
      <c r="D225" s="3474" t="s">
        <v>7300</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7301</v>
      </c>
      <c r="D226" s="3463" t="s">
        <v>7302</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7303</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7290</v>
      </c>
      <c r="E228" s="3463"/>
      <c r="F228" s="3475">
        <v>19</v>
      </c>
      <c r="G228" s="3468"/>
      <c r="H228" s="4229"/>
      <c r="I228" s="3465"/>
      <c r="M228" s="3482"/>
    </row>
    <row r="229" spans="1:23" s="3473" customFormat="1" ht="13.5" customHeight="1">
      <c r="A229" s="3472"/>
      <c r="B229" s="3463"/>
      <c r="C229" s="3463"/>
      <c r="D229" s="3466" t="s">
        <v>7304</v>
      </c>
      <c r="E229" s="3464"/>
      <c r="F229" s="3475"/>
      <c r="G229" s="3468"/>
      <c r="H229" s="4229"/>
      <c r="I229" s="3465"/>
      <c r="J229" s="4677"/>
      <c r="K229" s="4677"/>
      <c r="M229" s="3482"/>
    </row>
    <row r="230" spans="1:23" s="3473" customFormat="1" ht="13.5" customHeight="1">
      <c r="A230" s="3237">
        <v>57</v>
      </c>
      <c r="B230" s="3463">
        <v>741</v>
      </c>
      <c r="C230" s="3463" t="s">
        <v>7305</v>
      </c>
      <c r="D230" s="3463" t="s">
        <v>7306</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7307</v>
      </c>
      <c r="E231" s="3464"/>
      <c r="F231" s="3481"/>
      <c r="G231" s="3468"/>
      <c r="H231" s="4229"/>
      <c r="I231" s="3465"/>
      <c r="J231" s="2528"/>
      <c r="W231" s="2460"/>
    </row>
    <row r="232" spans="1:23" s="3473" customFormat="1" ht="13.5" customHeight="1">
      <c r="A232" s="3472"/>
      <c r="B232" s="3463"/>
      <c r="C232" s="3463"/>
      <c r="D232" s="3287" t="s">
        <v>7290</v>
      </c>
      <c r="E232" s="3463"/>
      <c r="F232" s="3475">
        <v>2</v>
      </c>
      <c r="G232" s="3468"/>
      <c r="H232" s="4229"/>
      <c r="I232" s="3465"/>
      <c r="J232" s="337"/>
      <c r="M232" s="3482"/>
    </row>
    <row r="233" spans="1:23" s="3473" customFormat="1" ht="13.5" customHeight="1">
      <c r="A233" s="3472"/>
      <c r="B233" s="3463"/>
      <c r="C233" s="3463"/>
      <c r="D233" s="3466" t="s">
        <v>7304</v>
      </c>
      <c r="F233" s="3483"/>
      <c r="G233" s="3468"/>
      <c r="H233" s="4229"/>
      <c r="I233" s="3465"/>
      <c r="J233" s="4677"/>
      <c r="K233" s="4677"/>
      <c r="M233" s="3482"/>
    </row>
    <row r="234" spans="1:23" s="3473" customFormat="1" ht="13.5" customHeight="1">
      <c r="A234" s="3484">
        <v>58</v>
      </c>
      <c r="B234" s="3463">
        <v>741</v>
      </c>
      <c r="C234" s="3463" t="s">
        <v>7143</v>
      </c>
      <c r="D234" s="3463" t="s">
        <v>7144</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7145</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7146</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7308</v>
      </c>
      <c r="D237" s="3463" t="s">
        <v>7309</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7145</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7146</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7310</v>
      </c>
      <c r="D240" s="3463" t="s">
        <v>7311</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7145</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7146</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7147</v>
      </c>
      <c r="D243" s="3463" t="s">
        <v>7312</v>
      </c>
      <c r="E243" s="3463" t="s">
        <v>23</v>
      </c>
      <c r="F243" s="3080">
        <f>ROUND(SUM(F245),3)</f>
        <v>1</v>
      </c>
      <c r="G243" s="3468"/>
      <c r="H243" s="3942">
        <f>ROUND(F243*G243,2)</f>
        <v>0</v>
      </c>
      <c r="I243" s="3465" t="s">
        <v>60</v>
      </c>
      <c r="M243" s="3482"/>
    </row>
    <row r="244" spans="1:25" s="3473" customFormat="1" ht="13.5" customHeight="1">
      <c r="A244" s="3237"/>
      <c r="B244" s="3463"/>
      <c r="C244" s="3463"/>
      <c r="D244" s="3466" t="s">
        <v>7313</v>
      </c>
      <c r="E244" s="3463"/>
      <c r="F244" s="3481"/>
      <c r="G244" s="3468"/>
      <c r="H244" s="4119"/>
      <c r="I244" s="3465"/>
      <c r="M244" s="3482"/>
    </row>
    <row r="245" spans="1:25" s="3473" customFormat="1" ht="13.5" customHeight="1">
      <c r="A245" s="3237"/>
      <c r="B245" s="3463"/>
      <c r="C245" s="3463"/>
      <c r="D245" s="3287" t="s">
        <v>7290</v>
      </c>
      <c r="E245" s="3464"/>
      <c r="F245" s="3467">
        <v>1</v>
      </c>
      <c r="G245" s="3468"/>
      <c r="H245" s="4119"/>
      <c r="I245" s="3465"/>
      <c r="M245" s="3482"/>
    </row>
    <row r="246" spans="1:25" s="3473" customFormat="1" ht="27" customHeight="1">
      <c r="A246" s="3237"/>
      <c r="B246" s="3463"/>
      <c r="C246" s="3463"/>
      <c r="D246" s="3494" t="s">
        <v>7150</v>
      </c>
      <c r="E246" s="3463"/>
      <c r="F246" s="3467"/>
      <c r="G246" s="3468"/>
      <c r="H246" s="4119"/>
      <c r="I246" s="3465"/>
      <c r="M246" s="3482"/>
    </row>
    <row r="247" spans="1:25" s="2473" customFormat="1" ht="13.5" customHeight="1">
      <c r="A247" s="3242">
        <v>62</v>
      </c>
      <c r="B247" s="3240">
        <v>741</v>
      </c>
      <c r="C247" s="3240" t="s">
        <v>7151</v>
      </c>
      <c r="D247" s="3243" t="s">
        <v>7315</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7316</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7317</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10125</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7318</v>
      </c>
      <c r="E251" s="3247"/>
      <c r="F251" s="3245"/>
      <c r="G251" s="3248"/>
      <c r="H251" s="4196"/>
      <c r="I251" s="3248"/>
      <c r="J251" s="2472"/>
      <c r="K251" s="2475"/>
      <c r="L251" s="2475"/>
    </row>
    <row r="252" spans="1:25" s="2473" customFormat="1" ht="13.5" customHeight="1">
      <c r="A252" s="3242">
        <v>63</v>
      </c>
      <c r="B252" s="3240">
        <v>741</v>
      </c>
      <c r="C252" s="3240" t="s">
        <v>7155</v>
      </c>
      <c r="D252" s="3243" t="s">
        <v>7320</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7321</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7154</v>
      </c>
      <c r="E254" s="3247"/>
      <c r="F254" s="3245"/>
      <c r="G254" s="3248"/>
      <c r="H254" s="4196"/>
      <c r="I254" s="3239"/>
      <c r="J254" s="2472"/>
      <c r="K254" s="2475"/>
      <c r="L254" s="2475"/>
    </row>
    <row r="255" spans="1:25" s="2473" customFormat="1" ht="13.5" customHeight="1">
      <c r="A255" s="3242">
        <v>64</v>
      </c>
      <c r="B255" s="3240">
        <v>741</v>
      </c>
      <c r="C255" s="3240" t="s">
        <v>7157</v>
      </c>
      <c r="D255" s="3243" t="s">
        <v>7323</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7324</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7325</v>
      </c>
      <c r="E257" s="3247"/>
      <c r="F257" s="3245"/>
      <c r="G257" s="3248"/>
      <c r="H257" s="4196"/>
      <c r="I257" s="3239"/>
      <c r="S257" s="2468"/>
      <c r="W257" s="2468"/>
    </row>
    <row r="258" spans="1:97" s="2473" customFormat="1" ht="13.5" customHeight="1">
      <c r="A258" s="3242">
        <v>65</v>
      </c>
      <c r="B258" s="3240">
        <v>741</v>
      </c>
      <c r="C258" s="3240" t="s">
        <v>7160</v>
      </c>
      <c r="D258" s="3243" t="s">
        <v>7327</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7328</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7325</v>
      </c>
      <c r="E260" s="3247"/>
      <c r="F260" s="3245"/>
      <c r="G260" s="3248"/>
      <c r="H260" s="4196"/>
      <c r="I260" s="3239"/>
    </row>
    <row r="261" spans="1:97" s="2473" customFormat="1" ht="13.5" customHeight="1">
      <c r="A261" s="3242">
        <v>66</v>
      </c>
      <c r="B261" s="3240">
        <v>741</v>
      </c>
      <c r="C261" s="3240" t="s">
        <v>7162</v>
      </c>
      <c r="D261" s="3243" t="s">
        <v>7334</v>
      </c>
      <c r="E261" s="3240" t="s">
        <v>155</v>
      </c>
      <c r="F261" s="3481">
        <f>SUM(F262)</f>
        <v>1</v>
      </c>
      <c r="G261" s="3476"/>
      <c r="H261" s="3942">
        <f>ROUND(F261*G261,2)</f>
        <v>0</v>
      </c>
      <c r="I261" s="3239" t="s">
        <v>60</v>
      </c>
      <c r="W261" s="2463"/>
    </row>
    <row r="262" spans="1:97" s="2473" customFormat="1" ht="13.5" customHeight="1">
      <c r="A262" s="3242"/>
      <c r="B262" s="3240"/>
      <c r="C262" s="3240"/>
      <c r="D262" s="3474" t="s">
        <v>7335</v>
      </c>
      <c r="E262" s="3463"/>
      <c r="F262" s="3475">
        <v>1</v>
      </c>
      <c r="G262" s="3476"/>
      <c r="H262" s="4098"/>
      <c r="I262" s="3239"/>
      <c r="J262" s="2526"/>
      <c r="S262" s="2474"/>
      <c r="W262" s="2468"/>
    </row>
    <row r="263" spans="1:97" s="3473" customFormat="1" ht="13.5" customHeight="1">
      <c r="A263" s="3484"/>
      <c r="B263" s="3463"/>
      <c r="C263" s="3240"/>
      <c r="D263" s="3474" t="s">
        <v>7336</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7165</v>
      </c>
      <c r="D264" s="3243" t="s">
        <v>7166</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7314</v>
      </c>
      <c r="D265" s="3463" t="s">
        <v>7152</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7153</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10126</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7154</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5579">
        <v>69</v>
      </c>
      <c r="B269" s="3463">
        <v>741</v>
      </c>
      <c r="C269" s="3240" t="s">
        <v>7319</v>
      </c>
      <c r="D269" s="3463" t="s">
        <v>11704</v>
      </c>
      <c r="E269" s="3463" t="s">
        <v>141</v>
      </c>
      <c r="F269" s="3481">
        <f>SUM(F270)</f>
        <v>1.32</v>
      </c>
      <c r="G269" s="5763" t="s">
        <v>11578</v>
      </c>
      <c r="H269" s="5764"/>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7338</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7154</v>
      </c>
      <c r="E271" s="3463"/>
      <c r="F271" s="3481"/>
      <c r="G271" s="3468"/>
      <c r="H271" s="4119"/>
      <c r="I271" s="3239"/>
      <c r="J271" s="3495"/>
      <c r="K271" s="3490"/>
      <c r="L271" s="3490"/>
      <c r="M271" s="3490"/>
      <c r="N271" s="3490"/>
      <c r="O271" s="3490"/>
      <c r="P271" s="3490"/>
    </row>
    <row r="272" spans="1:97" s="3473" customFormat="1" ht="13.5" customHeight="1">
      <c r="A272" s="5579" t="s">
        <v>2807</v>
      </c>
      <c r="B272" s="5600">
        <v>741</v>
      </c>
      <c r="C272" s="5601" t="s">
        <v>11705</v>
      </c>
      <c r="D272" s="5600" t="s">
        <v>11702</v>
      </c>
      <c r="E272" s="5600" t="s">
        <v>141</v>
      </c>
      <c r="F272" s="5602">
        <f>SUM(F273)</f>
        <v>1.32</v>
      </c>
      <c r="G272" s="5603"/>
      <c r="H272" s="5604">
        <f>ROUND(F272*G272,2)</f>
        <v>0</v>
      </c>
      <c r="I272" s="5605" t="s">
        <v>60</v>
      </c>
      <c r="J272" s="2460"/>
      <c r="K272" s="2461"/>
      <c r="L272" s="2462"/>
      <c r="M272" s="2462"/>
      <c r="N272" s="2462"/>
      <c r="O272" s="2462"/>
      <c r="P272" s="2462"/>
      <c r="Q272" s="2462"/>
      <c r="R272" s="2462"/>
      <c r="S272" s="2462"/>
      <c r="T272" s="2462"/>
      <c r="U272" s="2462"/>
      <c r="V272" s="2462"/>
      <c r="W272" s="2463"/>
    </row>
    <row r="273" spans="1:97" s="3473" customFormat="1" ht="13.5" customHeight="1">
      <c r="A273" s="5579"/>
      <c r="B273" s="5600"/>
      <c r="C273" s="5600"/>
      <c r="D273" s="5600" t="s">
        <v>7338</v>
      </c>
      <c r="E273" s="5600"/>
      <c r="F273" s="5606">
        <f>(1.2)*1.1</f>
        <v>1.32</v>
      </c>
      <c r="G273" s="5603"/>
      <c r="H273" s="5607"/>
      <c r="I273" s="5605"/>
      <c r="J273" s="2464"/>
      <c r="K273" s="2465"/>
      <c r="L273" s="2466"/>
      <c r="M273" s="2466"/>
      <c r="O273" s="2467"/>
      <c r="P273" s="2466"/>
      <c r="Q273" s="2466"/>
      <c r="R273" s="2466"/>
      <c r="S273" s="2466"/>
      <c r="T273" s="2466"/>
      <c r="U273" s="2466"/>
      <c r="V273" s="2466"/>
      <c r="W273" s="2468"/>
    </row>
    <row r="274" spans="1:97" s="3473" customFormat="1" ht="13.5" customHeight="1">
      <c r="A274" s="5579"/>
      <c r="B274" s="5600"/>
      <c r="C274" s="5600"/>
      <c r="D274" s="5600" t="s">
        <v>7154</v>
      </c>
      <c r="E274" s="5600"/>
      <c r="F274" s="5602"/>
      <c r="G274" s="5603"/>
      <c r="H274" s="5607"/>
      <c r="I274" s="5605"/>
      <c r="J274" s="3495"/>
      <c r="K274" s="3490"/>
      <c r="L274" s="3490"/>
      <c r="M274" s="3490"/>
      <c r="N274" s="3490"/>
      <c r="O274" s="3490"/>
      <c r="P274" s="3490"/>
    </row>
    <row r="275" spans="1:97" s="3473" customFormat="1" ht="13.5" customHeight="1">
      <c r="A275" s="3484">
        <v>70</v>
      </c>
      <c r="B275" s="3463">
        <v>741</v>
      </c>
      <c r="C275" s="3240" t="s">
        <v>7322</v>
      </c>
      <c r="D275" s="3241" t="s">
        <v>7158</v>
      </c>
      <c r="E275" s="3463" t="s">
        <v>155</v>
      </c>
      <c r="F275" s="3481">
        <f>SUM(F276)</f>
        <v>15</v>
      </c>
      <c r="G275" s="3468"/>
      <c r="H275" s="3942">
        <f>ROUND(F275*G275,2)</f>
        <v>0</v>
      </c>
      <c r="I275" s="3239" t="s">
        <v>60</v>
      </c>
      <c r="W275" s="2468"/>
    </row>
    <row r="276" spans="1:97" s="3473" customFormat="1" ht="13.5" customHeight="1">
      <c r="A276" s="3484"/>
      <c r="B276" s="3463"/>
      <c r="C276" s="3240"/>
      <c r="D276" s="3474" t="s">
        <v>7159</v>
      </c>
      <c r="E276" s="3463"/>
      <c r="F276" s="3475">
        <v>15</v>
      </c>
      <c r="G276" s="3468"/>
      <c r="H276" s="4119"/>
      <c r="I276" s="3239"/>
      <c r="J276" s="2460"/>
      <c r="K276" s="2461"/>
      <c r="L276" s="2462"/>
      <c r="M276" s="2462"/>
      <c r="N276" s="2462"/>
      <c r="O276" s="2462"/>
      <c r="P276" s="2462"/>
      <c r="Q276" s="2462"/>
      <c r="R276" s="2462"/>
      <c r="S276" s="2462"/>
      <c r="T276" s="2462"/>
      <c r="U276" s="2462"/>
      <c r="V276" s="2462"/>
      <c r="W276" s="2463"/>
    </row>
    <row r="277" spans="1:97" s="3498" customFormat="1" ht="13.5" customHeight="1">
      <c r="A277" s="3484"/>
      <c r="B277" s="3463"/>
      <c r="C277" s="3463"/>
      <c r="D277" s="3474" t="s">
        <v>7154</v>
      </c>
      <c r="E277" s="3463"/>
      <c r="F277" s="3496"/>
      <c r="G277" s="3468"/>
      <c r="H277" s="4119"/>
      <c r="I277" s="3239"/>
      <c r="J277" s="2464"/>
      <c r="K277" s="2465"/>
      <c r="L277" s="2466"/>
      <c r="M277" s="2466"/>
      <c r="N277" s="2466"/>
      <c r="O277" s="2467"/>
      <c r="P277" s="2466"/>
      <c r="Q277" s="2466"/>
      <c r="R277" s="2467"/>
      <c r="S277" s="2466"/>
      <c r="T277" s="2466"/>
      <c r="U277" s="2466"/>
      <c r="V277" s="2466"/>
      <c r="W277" s="2468"/>
      <c r="X277" s="3473"/>
      <c r="Y277" s="3473"/>
      <c r="Z277" s="3473"/>
      <c r="AA277" s="3473"/>
      <c r="AB277" s="3473"/>
      <c r="AC277" s="3410"/>
      <c r="AD277" s="3410"/>
      <c r="AE277" s="3410"/>
      <c r="AF277" s="3410"/>
      <c r="AG277" s="3410"/>
      <c r="AH277" s="3410"/>
      <c r="AI277" s="3410"/>
      <c r="AJ277" s="3410"/>
      <c r="AK277" s="3410"/>
      <c r="AL277" s="3410"/>
      <c r="AM277" s="3410"/>
      <c r="AN277" s="3410"/>
      <c r="AO277" s="3410"/>
      <c r="AP277" s="3410"/>
      <c r="AQ277" s="3410"/>
      <c r="AR277" s="3410"/>
      <c r="AS277" s="3410"/>
      <c r="AT277" s="3410"/>
      <c r="AU277" s="3410"/>
      <c r="AV277" s="3410"/>
      <c r="AW277" s="3410"/>
      <c r="AX277" s="3410"/>
      <c r="AY277" s="3410"/>
      <c r="AZ277" s="3410"/>
      <c r="BA277" s="3410"/>
      <c r="BB277" s="3410"/>
      <c r="BC277" s="3410"/>
      <c r="BD277" s="3410"/>
      <c r="BE277" s="3410"/>
      <c r="BF277" s="3410"/>
      <c r="BG277" s="3410"/>
      <c r="BH277" s="3410"/>
      <c r="BI277" s="3410"/>
      <c r="BJ277" s="3410"/>
      <c r="BK277" s="3410"/>
      <c r="BL277" s="3410"/>
      <c r="BM277" s="3410"/>
      <c r="BN277" s="3410"/>
      <c r="BO277" s="3410"/>
      <c r="BP277" s="3410"/>
      <c r="BQ277" s="3410"/>
      <c r="BR277" s="3410"/>
      <c r="BS277" s="3410"/>
      <c r="BT277" s="3410"/>
      <c r="BU277" s="3410"/>
      <c r="BV277" s="3410"/>
      <c r="BW277" s="3410"/>
      <c r="BX277" s="3410"/>
      <c r="BY277" s="3410"/>
      <c r="BZ277" s="3410"/>
      <c r="CA277" s="3410"/>
      <c r="CB277" s="3410"/>
      <c r="CC277" s="3410"/>
      <c r="CD277" s="3410"/>
      <c r="CE277" s="3410"/>
      <c r="CF277" s="3410"/>
      <c r="CG277" s="3410"/>
      <c r="CH277" s="3410"/>
      <c r="CI277" s="3410"/>
      <c r="CJ277" s="3410"/>
      <c r="CK277" s="3410"/>
      <c r="CL277" s="3410"/>
      <c r="CM277" s="3410"/>
      <c r="CN277" s="3410"/>
      <c r="CO277" s="3410"/>
      <c r="CP277" s="3410"/>
      <c r="CQ277" s="3410"/>
      <c r="CR277" s="3410"/>
      <c r="CS277" s="3410"/>
    </row>
    <row r="278" spans="1:97" s="2473" customFormat="1" ht="13.5" customHeight="1">
      <c r="A278" s="3242">
        <v>71</v>
      </c>
      <c r="B278" s="3240">
        <v>741</v>
      </c>
      <c r="C278" s="3240" t="s">
        <v>7326</v>
      </c>
      <c r="D278" s="3243" t="s">
        <v>7161</v>
      </c>
      <c r="E278" s="3240" t="s">
        <v>23</v>
      </c>
      <c r="F278" s="3481">
        <f>SUM(F279)</f>
        <v>1</v>
      </c>
      <c r="G278" s="3476"/>
      <c r="H278" s="3942">
        <f>ROUND(F278*G278,2)</f>
        <v>0</v>
      </c>
      <c r="I278" s="3239" t="s">
        <v>60</v>
      </c>
      <c r="J278" s="2472"/>
      <c r="S278" s="2474"/>
    </row>
    <row r="279" spans="1:97" s="2473" customFormat="1" ht="13.5" customHeight="1">
      <c r="A279" s="3242"/>
      <c r="B279" s="3240"/>
      <c r="C279" s="3240"/>
      <c r="D279" s="3244" t="s">
        <v>10122</v>
      </c>
      <c r="E279" s="3240"/>
      <c r="F279" s="3245">
        <v>1</v>
      </c>
      <c r="G279" s="3476"/>
      <c r="H279" s="4119"/>
      <c r="I279" s="3239"/>
      <c r="J279" s="2472"/>
      <c r="S279" s="2474"/>
    </row>
    <row r="280" spans="1:97" s="2473" customFormat="1" ht="13.5" customHeight="1">
      <c r="A280" s="3242">
        <v>72</v>
      </c>
      <c r="B280" s="3240">
        <v>741</v>
      </c>
      <c r="C280" s="3240" t="s">
        <v>7329</v>
      </c>
      <c r="D280" s="3243" t="s">
        <v>7163</v>
      </c>
      <c r="E280" s="3240" t="s">
        <v>23</v>
      </c>
      <c r="F280" s="3481">
        <f>SUM(F281)</f>
        <v>1</v>
      </c>
      <c r="G280" s="3476"/>
      <c r="H280" s="3942">
        <f>ROUND(F280*G280,2)</f>
        <v>0</v>
      </c>
      <c r="I280" s="3239" t="s">
        <v>60</v>
      </c>
      <c r="J280" s="2472"/>
      <c r="S280" s="2474"/>
    </row>
    <row r="281" spans="1:97" s="2466" customFormat="1" ht="13.5" customHeight="1">
      <c r="A281" s="3246"/>
      <c r="B281" s="3247"/>
      <c r="C281" s="3247"/>
      <c r="D281" s="3244" t="s">
        <v>10123</v>
      </c>
      <c r="E281" s="3247"/>
      <c r="F281" s="3245">
        <v>1</v>
      </c>
      <c r="G281" s="3248"/>
      <c r="H281" s="4196"/>
      <c r="I281" s="3248"/>
      <c r="J281" s="2472"/>
      <c r="K281" s="2475"/>
      <c r="L281" s="2475"/>
    </row>
    <row r="282" spans="1:97" s="2473" customFormat="1" ht="13.5" customHeight="1">
      <c r="A282" s="3242">
        <v>73</v>
      </c>
      <c r="B282" s="3240">
        <v>741</v>
      </c>
      <c r="C282" s="3240" t="s">
        <v>7393</v>
      </c>
      <c r="D282" s="3243" t="s">
        <v>7166</v>
      </c>
      <c r="E282" s="3240" t="s">
        <v>23</v>
      </c>
      <c r="F282" s="3249">
        <v>3</v>
      </c>
      <c r="G282" s="3476"/>
      <c r="H282" s="3942">
        <f>ROUND(F282*G282,2)</f>
        <v>0</v>
      </c>
      <c r="I282" s="3239" t="s">
        <v>60</v>
      </c>
      <c r="J282" s="4678"/>
      <c r="S282" s="2474"/>
    </row>
    <row r="283" spans="1:97" s="1494" customFormat="1" ht="13.5" customHeight="1">
      <c r="A283" s="3237">
        <v>74</v>
      </c>
      <c r="B283" s="3250">
        <v>741</v>
      </c>
      <c r="C283" s="3463" t="s">
        <v>7339</v>
      </c>
      <c r="D283" s="3251" t="s">
        <v>7167</v>
      </c>
      <c r="E283" s="3251" t="s">
        <v>23</v>
      </c>
      <c r="F283" s="3080">
        <f>ROUND(SUM(F285),3)</f>
        <v>1</v>
      </c>
      <c r="G283" s="3082"/>
      <c r="H283" s="3942">
        <f>ROUND(F283*G283,2)</f>
        <v>0</v>
      </c>
      <c r="I283" s="3465" t="s">
        <v>60</v>
      </c>
      <c r="J283" s="2460"/>
      <c r="K283" s="2461"/>
      <c r="L283" s="3473"/>
      <c r="M283" s="3473"/>
      <c r="N283" s="3473"/>
      <c r="O283" s="3473"/>
      <c r="P283" s="3473"/>
      <c r="Q283" s="2463"/>
      <c r="R283" s="3473"/>
      <c r="S283" s="3473"/>
      <c r="T283" s="3473"/>
      <c r="U283" s="3499"/>
      <c r="V283" s="3473"/>
      <c r="W283" s="3473"/>
      <c r="X283" s="3473"/>
      <c r="Y283" s="3473"/>
      <c r="Z283" s="3473"/>
      <c r="AA283" s="3473"/>
      <c r="AB283" s="3473"/>
      <c r="AC283" s="3473"/>
      <c r="AD283" s="3473"/>
      <c r="AE283" s="3473"/>
      <c r="AF283" s="3473"/>
      <c r="AG283" s="3473"/>
    </row>
    <row r="284" spans="1:97" s="1494" customFormat="1" ht="27" customHeight="1">
      <c r="A284" s="3237"/>
      <c r="B284" s="3250"/>
      <c r="C284" s="3251"/>
      <c r="D284" s="3474" t="s">
        <v>7168</v>
      </c>
      <c r="E284" s="3464"/>
      <c r="F284" s="3475"/>
      <c r="G284" s="3500"/>
      <c r="H284" s="4119"/>
      <c r="I284" s="3465"/>
      <c r="J284" s="2460"/>
      <c r="K284" s="2461"/>
      <c r="Q284" s="2463"/>
    </row>
    <row r="285" spans="1:97" s="1487" customFormat="1" ht="13.5" customHeight="1">
      <c r="A285" s="3237"/>
      <c r="B285" s="3251"/>
      <c r="C285" s="3251"/>
      <c r="D285" s="3474" t="s">
        <v>7290</v>
      </c>
      <c r="E285" s="3501"/>
      <c r="F285" s="3475">
        <v>1</v>
      </c>
      <c r="G285" s="3500"/>
      <c r="H285" s="4119"/>
      <c r="I285" s="3465"/>
      <c r="J285" s="2460"/>
      <c r="K285" s="2461"/>
      <c r="L285" s="1494"/>
      <c r="M285" s="1494"/>
      <c r="N285" s="1494"/>
      <c r="O285" s="1494"/>
      <c r="P285" s="1494"/>
      <c r="Q285" s="2463"/>
    </row>
    <row r="286" spans="1:97" s="1487" customFormat="1" ht="13.5" customHeight="1">
      <c r="A286" s="3237"/>
      <c r="B286" s="3251"/>
      <c r="C286" s="3251"/>
      <c r="D286" s="3474" t="s">
        <v>7169</v>
      </c>
      <c r="E286" s="3491"/>
      <c r="F286" s="3478"/>
      <c r="G286" s="3500"/>
      <c r="H286" s="4119"/>
      <c r="I286" s="3502"/>
      <c r="J286" s="2522"/>
    </row>
    <row r="287" spans="1:97" s="2560" customFormat="1" ht="81" customHeight="1">
      <c r="A287" s="3242"/>
      <c r="B287" s="3240"/>
      <c r="C287" s="3240"/>
      <c r="D287" s="3252" t="s">
        <v>10127</v>
      </c>
      <c r="E287" s="3240"/>
      <c r="F287" s="3253"/>
      <c r="G287" s="3238"/>
      <c r="H287" s="4098"/>
      <c r="I287" s="3502"/>
      <c r="J287" s="2522"/>
      <c r="K287" s="2563"/>
    </row>
    <row r="288" spans="1:97" s="3473" customFormat="1" ht="13.7" customHeight="1">
      <c r="A288" s="3237">
        <v>75</v>
      </c>
      <c r="B288" s="3250">
        <v>741</v>
      </c>
      <c r="C288" s="3463" t="s">
        <v>7340</v>
      </c>
      <c r="D288" s="3464" t="s">
        <v>7170</v>
      </c>
      <c r="E288" s="3464" t="s">
        <v>23</v>
      </c>
      <c r="F288" s="3080">
        <f>ROUND(SUM(F289),3)</f>
        <v>1</v>
      </c>
      <c r="G288" s="3283"/>
      <c r="H288" s="3942">
        <f>ROUND(F288*G288,2)</f>
        <v>0</v>
      </c>
      <c r="I288" s="3465" t="s">
        <v>60</v>
      </c>
    </row>
    <row r="289" spans="1:97" s="3473" customFormat="1" ht="13.7" customHeight="1">
      <c r="A289" s="3237"/>
      <c r="B289" s="3250"/>
      <c r="C289" s="3251"/>
      <c r="D289" s="3474" t="s">
        <v>7290</v>
      </c>
      <c r="E289" s="3501"/>
      <c r="F289" s="3475">
        <v>1</v>
      </c>
      <c r="G289" s="3500"/>
      <c r="H289" s="4119"/>
      <c r="I289" s="3462"/>
    </row>
    <row r="290" spans="1:97" s="3473" customFormat="1" ht="27" customHeight="1">
      <c r="A290" s="3237"/>
      <c r="B290" s="3250"/>
      <c r="C290" s="3251"/>
      <c r="D290" s="3503" t="s">
        <v>7171</v>
      </c>
      <c r="E290" s="3491"/>
      <c r="F290" s="3475"/>
      <c r="G290" s="3500"/>
      <c r="H290" s="4119"/>
      <c r="I290" s="3502"/>
      <c r="J290" s="3504"/>
    </row>
    <row r="291" spans="1:97" s="3508" customFormat="1" ht="13.5" customHeight="1">
      <c r="A291" s="3484">
        <v>76</v>
      </c>
      <c r="B291" s="3463">
        <v>741</v>
      </c>
      <c r="C291" s="3463">
        <v>998741201</v>
      </c>
      <c r="D291" s="3463" t="s">
        <v>7172</v>
      </c>
      <c r="E291" s="3463" t="s">
        <v>8</v>
      </c>
      <c r="F291" s="3505">
        <v>0.7</v>
      </c>
      <c r="G291" s="3468"/>
      <c r="H291" s="3942">
        <f>ROUND(F291*G291,2)</f>
        <v>0</v>
      </c>
      <c r="I291" s="3465" t="s">
        <v>863</v>
      </c>
      <c r="J291" s="3506"/>
      <c r="K291" s="3507"/>
      <c r="L291" s="3286"/>
      <c r="M291" s="3470"/>
      <c r="N291" s="3286"/>
      <c r="O291" s="3286"/>
      <c r="P291" s="3286"/>
      <c r="Q291" s="3286"/>
      <c r="R291" s="3286"/>
      <c r="S291" s="3286"/>
      <c r="T291" s="3286"/>
      <c r="U291" s="3286"/>
      <c r="V291" s="3286"/>
      <c r="W291" s="3286"/>
      <c r="X291" s="3286"/>
      <c r="Y291" s="3286"/>
      <c r="Z291" s="3286"/>
      <c r="AA291" s="3286"/>
      <c r="AB291" s="3286"/>
      <c r="AC291" s="3286"/>
      <c r="AD291" s="3286"/>
      <c r="AE291" s="3286"/>
      <c r="AF291" s="3286"/>
      <c r="AG291" s="3286"/>
      <c r="AH291" s="3286"/>
      <c r="AI291" s="3286"/>
      <c r="AJ291" s="3286"/>
      <c r="AK291" s="3286"/>
      <c r="AL291" s="3286"/>
      <c r="AM291" s="3286"/>
      <c r="AN291" s="3286"/>
      <c r="AO291" s="3286"/>
      <c r="AP291" s="3286"/>
      <c r="AQ291" s="3286"/>
      <c r="AR291" s="3286"/>
      <c r="AS291" s="3286"/>
      <c r="AT291" s="3286"/>
      <c r="AU291" s="3286"/>
      <c r="AV291" s="3286"/>
      <c r="AW291" s="3286"/>
      <c r="AX291" s="3286"/>
      <c r="AY291" s="3286"/>
      <c r="AZ291" s="3286"/>
      <c r="BA291" s="3286"/>
      <c r="BB291" s="3286"/>
      <c r="BC291" s="3286"/>
      <c r="BD291" s="3286"/>
      <c r="BE291" s="3286"/>
      <c r="BF291" s="3286"/>
      <c r="BG291" s="3286"/>
      <c r="BH291" s="3286"/>
      <c r="BI291" s="3286"/>
      <c r="BJ291" s="3286"/>
      <c r="BK291" s="3286"/>
      <c r="BL291" s="3286"/>
      <c r="BM291" s="3286"/>
      <c r="BN291" s="3286"/>
      <c r="BO291" s="3286"/>
      <c r="BP291" s="3286"/>
      <c r="BQ291" s="3286"/>
      <c r="BR291" s="3286"/>
      <c r="BS291" s="3286"/>
      <c r="BT291" s="3286"/>
      <c r="BU291" s="3286"/>
      <c r="BV291" s="3286"/>
      <c r="BW291" s="3286"/>
      <c r="BX291" s="3286"/>
      <c r="BY291" s="3286"/>
      <c r="BZ291" s="3286"/>
      <c r="CA291" s="3286"/>
      <c r="CB291" s="3286"/>
      <c r="CC291" s="3286"/>
      <c r="CD291" s="3286"/>
      <c r="CE291" s="3286"/>
      <c r="CF291" s="3286"/>
      <c r="CG291" s="3286"/>
      <c r="CH291" s="3286"/>
      <c r="CI291" s="3286"/>
      <c r="CJ291" s="3286"/>
      <c r="CK291" s="3286"/>
      <c r="CL291" s="3286"/>
      <c r="CM291" s="3286"/>
      <c r="CN291" s="3286"/>
      <c r="CO291" s="3286"/>
      <c r="CP291" s="3286"/>
      <c r="CQ291" s="3286"/>
      <c r="CR291" s="3286"/>
      <c r="CS291" s="3286"/>
    </row>
    <row r="292" spans="1:97" s="3498" customFormat="1" ht="13.5" customHeight="1">
      <c r="A292" s="3484">
        <v>77</v>
      </c>
      <c r="B292" s="3463" t="s">
        <v>188</v>
      </c>
      <c r="C292" s="3463" t="s">
        <v>189</v>
      </c>
      <c r="D292" s="3463" t="s">
        <v>190</v>
      </c>
      <c r="E292" s="3463" t="s">
        <v>191</v>
      </c>
      <c r="F292" s="3080">
        <f>ROUND(SUM(F293),3)</f>
        <v>10</v>
      </c>
      <c r="G292" s="3468"/>
      <c r="H292" s="3942">
        <f>ROUND(F292*G292,2)</f>
        <v>0</v>
      </c>
      <c r="I292" s="3465" t="s">
        <v>863</v>
      </c>
      <c r="J292" s="3495"/>
      <c r="K292" s="3410"/>
      <c r="L292" s="3410"/>
      <c r="M292" s="3509"/>
      <c r="N292" s="3410"/>
      <c r="O292" s="3410"/>
      <c r="P292" s="3410"/>
      <c r="Q292" s="3410"/>
      <c r="R292" s="3410"/>
      <c r="S292" s="3410"/>
      <c r="T292" s="3410"/>
      <c r="U292" s="3410"/>
      <c r="V292" s="3410"/>
      <c r="W292" s="3410"/>
      <c r="X292" s="3410"/>
      <c r="Y292" s="3410"/>
      <c r="Z292" s="3410"/>
      <c r="AA292" s="3410"/>
      <c r="AB292" s="3410"/>
      <c r="AC292" s="3410"/>
      <c r="AD292" s="3410"/>
      <c r="AE292" s="3410"/>
      <c r="AF292" s="3410"/>
      <c r="AG292" s="3410"/>
      <c r="AH292" s="3410"/>
      <c r="AI292" s="3410"/>
      <c r="AJ292" s="3410"/>
      <c r="AK292" s="3410"/>
      <c r="AL292" s="3410"/>
      <c r="AM292" s="3410"/>
      <c r="AN292" s="3410"/>
      <c r="AO292" s="3410"/>
      <c r="AP292" s="3410"/>
      <c r="AQ292" s="3410"/>
      <c r="AR292" s="3410"/>
      <c r="AS292" s="3410"/>
      <c r="AT292" s="3410"/>
      <c r="AU292" s="3410"/>
      <c r="AV292" s="3410"/>
      <c r="AW292" s="3410"/>
      <c r="AX292" s="3410"/>
      <c r="AY292" s="3410"/>
      <c r="AZ292" s="3410"/>
      <c r="BA292" s="3410"/>
      <c r="BB292" s="3410"/>
      <c r="BC292" s="3410"/>
      <c r="BD292" s="3410"/>
      <c r="BE292" s="3410"/>
      <c r="BF292" s="3410"/>
      <c r="BG292" s="3410"/>
      <c r="BH292" s="3410"/>
      <c r="BI292" s="3410"/>
      <c r="BJ292" s="3410"/>
      <c r="BK292" s="3410"/>
      <c r="BL292" s="3410"/>
      <c r="BM292" s="3410"/>
      <c r="BN292" s="3410"/>
      <c r="BO292" s="3410"/>
      <c r="BP292" s="3410"/>
      <c r="BQ292" s="3410"/>
      <c r="BR292" s="3410"/>
      <c r="BS292" s="3410"/>
      <c r="BT292" s="3410"/>
      <c r="BU292" s="3410"/>
      <c r="BV292" s="3410"/>
      <c r="BW292" s="3410"/>
      <c r="BX292" s="3410"/>
      <c r="BY292" s="3410"/>
      <c r="BZ292" s="3410"/>
      <c r="CA292" s="3410"/>
      <c r="CB292" s="3410"/>
      <c r="CC292" s="3410"/>
      <c r="CD292" s="3410"/>
      <c r="CE292" s="3410"/>
      <c r="CF292" s="3410"/>
      <c r="CG292" s="3410"/>
      <c r="CH292" s="3410"/>
      <c r="CI292" s="3410"/>
      <c r="CJ292" s="3410"/>
      <c r="CK292" s="3410"/>
      <c r="CL292" s="3410"/>
      <c r="CM292" s="3410"/>
      <c r="CN292" s="3410"/>
      <c r="CO292" s="3410"/>
      <c r="CP292" s="3410"/>
      <c r="CQ292" s="3410"/>
      <c r="CR292" s="3410"/>
      <c r="CS292" s="3410"/>
    </row>
    <row r="293" spans="1:97" s="3498" customFormat="1" ht="13.5" customHeight="1">
      <c r="A293" s="3484"/>
      <c r="B293" s="3463"/>
      <c r="C293" s="3463"/>
      <c r="D293" s="3474" t="s">
        <v>7173</v>
      </c>
      <c r="E293" s="3463"/>
      <c r="F293" s="3475">
        <v>10</v>
      </c>
      <c r="G293" s="3468"/>
      <c r="H293" s="4119"/>
      <c r="I293" s="3465"/>
      <c r="J293" s="3410"/>
      <c r="K293" s="3410"/>
      <c r="L293" s="3410"/>
      <c r="M293" s="3509"/>
      <c r="N293" s="3410"/>
      <c r="O293" s="3410"/>
      <c r="P293" s="3410"/>
      <c r="Q293" s="3410"/>
      <c r="R293" s="3410"/>
      <c r="S293" s="3410"/>
      <c r="T293" s="3410"/>
      <c r="U293" s="3410"/>
      <c r="V293" s="3410"/>
      <c r="W293" s="3410"/>
      <c r="X293" s="3410"/>
      <c r="Y293" s="3410"/>
      <c r="Z293" s="3410"/>
      <c r="AA293" s="3410"/>
      <c r="AB293" s="3410"/>
      <c r="AC293" s="3410"/>
      <c r="AD293" s="3410"/>
      <c r="AE293" s="3410"/>
      <c r="AF293" s="3410"/>
      <c r="AG293" s="3410"/>
      <c r="AH293" s="3410"/>
      <c r="AI293" s="3410"/>
      <c r="AJ293" s="3410"/>
      <c r="AK293" s="3410"/>
      <c r="AL293" s="3410"/>
      <c r="AM293" s="3410"/>
      <c r="AN293" s="3410"/>
      <c r="AO293" s="3410"/>
      <c r="AP293" s="3410"/>
      <c r="AQ293" s="3410"/>
      <c r="AR293" s="3410"/>
      <c r="AS293" s="3410"/>
      <c r="AT293" s="3410"/>
      <c r="AU293" s="3410"/>
      <c r="AV293" s="3410"/>
      <c r="AW293" s="3410"/>
      <c r="AX293" s="3410"/>
      <c r="AY293" s="3410"/>
      <c r="AZ293" s="3410"/>
      <c r="BA293" s="3410"/>
      <c r="BB293" s="3410"/>
      <c r="BC293" s="3410"/>
      <c r="BD293" s="3410"/>
      <c r="BE293" s="3410"/>
      <c r="BF293" s="3410"/>
      <c r="BG293" s="3410"/>
      <c r="BH293" s="3410"/>
      <c r="BI293" s="3410"/>
      <c r="BJ293" s="3410"/>
      <c r="BK293" s="3410"/>
      <c r="BL293" s="3410"/>
      <c r="BM293" s="3410"/>
      <c r="BN293" s="3410"/>
      <c r="BO293" s="3410"/>
      <c r="BP293" s="3410"/>
      <c r="BQ293" s="3410"/>
      <c r="BR293" s="3410"/>
      <c r="BS293" s="3410"/>
      <c r="BT293" s="3410"/>
      <c r="BU293" s="3410"/>
      <c r="BV293" s="3410"/>
      <c r="BW293" s="3410"/>
      <c r="BX293" s="3410"/>
      <c r="BY293" s="3410"/>
      <c r="BZ293" s="3410"/>
      <c r="CA293" s="3410"/>
      <c r="CB293" s="3410"/>
      <c r="CC293" s="3410"/>
      <c r="CD293" s="3410"/>
      <c r="CE293" s="3410"/>
      <c r="CF293" s="3410"/>
      <c r="CG293" s="3410"/>
      <c r="CH293" s="3410"/>
      <c r="CI293" s="3410"/>
      <c r="CJ293" s="3410"/>
      <c r="CK293" s="3410"/>
      <c r="CL293" s="3410"/>
      <c r="CM293" s="3410"/>
      <c r="CN293" s="3410"/>
      <c r="CO293" s="3410"/>
      <c r="CP293" s="3410"/>
      <c r="CQ293" s="3410"/>
      <c r="CR293" s="3410"/>
      <c r="CS293" s="3410"/>
    </row>
    <row r="294" spans="1:97" s="3498" customFormat="1" ht="27" customHeight="1">
      <c r="A294" s="3484"/>
      <c r="B294" s="3463"/>
      <c r="C294" s="3463"/>
      <c r="D294" s="3474" t="s">
        <v>7174</v>
      </c>
      <c r="E294" s="3463"/>
      <c r="F294" s="3505"/>
      <c r="G294" s="3468"/>
      <c r="H294" s="4119"/>
      <c r="I294" s="3465"/>
      <c r="J294" s="3410"/>
      <c r="K294" s="3410"/>
      <c r="L294" s="3410"/>
      <c r="M294" s="3509"/>
      <c r="N294" s="3509"/>
      <c r="O294" s="3410"/>
      <c r="P294" s="3410"/>
      <c r="Q294" s="3410"/>
      <c r="R294" s="3410"/>
      <c r="S294" s="3410"/>
      <c r="T294" s="3410"/>
      <c r="U294" s="3410"/>
      <c r="V294" s="3410"/>
      <c r="W294" s="3410"/>
      <c r="X294" s="3410"/>
      <c r="Y294" s="3410"/>
      <c r="Z294" s="3410"/>
      <c r="AA294" s="3410"/>
      <c r="AB294" s="3410"/>
      <c r="AC294" s="3410"/>
      <c r="AD294" s="3410"/>
      <c r="AE294" s="3410"/>
      <c r="AF294" s="3410"/>
      <c r="AG294" s="3410"/>
      <c r="AH294" s="3410"/>
      <c r="AI294" s="3410"/>
      <c r="AJ294" s="3410"/>
      <c r="AK294" s="3410"/>
      <c r="AL294" s="3410"/>
      <c r="AM294" s="3410"/>
      <c r="AN294" s="3410"/>
      <c r="AO294" s="3410"/>
      <c r="AP294" s="3410"/>
      <c r="AQ294" s="3410"/>
      <c r="AR294" s="3410"/>
      <c r="AS294" s="3410"/>
      <c r="AT294" s="3410"/>
      <c r="AU294" s="3410"/>
      <c r="AV294" s="3410"/>
      <c r="AW294" s="3410"/>
      <c r="AX294" s="3410"/>
      <c r="AY294" s="3410"/>
      <c r="AZ294" s="3410"/>
      <c r="BA294" s="3410"/>
      <c r="BB294" s="3410"/>
      <c r="BC294" s="3410"/>
      <c r="BD294" s="3410"/>
      <c r="BE294" s="3410"/>
      <c r="BF294" s="3410"/>
      <c r="BG294" s="3410"/>
      <c r="BH294" s="3410"/>
      <c r="BI294" s="3410"/>
      <c r="BJ294" s="3410"/>
      <c r="BK294" s="3410"/>
      <c r="BL294" s="3410"/>
      <c r="BM294" s="3410"/>
      <c r="BN294" s="3410"/>
      <c r="BO294" s="3410"/>
      <c r="BP294" s="3410"/>
      <c r="BQ294" s="3410"/>
      <c r="BR294" s="3410"/>
      <c r="BS294" s="3410"/>
      <c r="BT294" s="3410"/>
      <c r="BU294" s="3410"/>
      <c r="BV294" s="3410"/>
      <c r="BW294" s="3410"/>
      <c r="BX294" s="3410"/>
      <c r="BY294" s="3410"/>
      <c r="BZ294" s="3410"/>
      <c r="CA294" s="3410"/>
      <c r="CB294" s="3410"/>
      <c r="CC294" s="3410"/>
      <c r="CD294" s="3410"/>
      <c r="CE294" s="3410"/>
      <c r="CF294" s="3410"/>
      <c r="CG294" s="3410"/>
      <c r="CH294" s="3410"/>
      <c r="CI294" s="3410"/>
      <c r="CJ294" s="3410"/>
      <c r="CK294" s="3410"/>
      <c r="CL294" s="3410"/>
      <c r="CM294" s="3410"/>
      <c r="CN294" s="3410"/>
      <c r="CO294" s="3410"/>
      <c r="CP294" s="3410"/>
      <c r="CQ294" s="3410"/>
      <c r="CR294" s="3410"/>
      <c r="CS294" s="3410"/>
    </row>
    <row r="295" spans="1:97" ht="13.5" customHeight="1">
      <c r="A295" s="3254"/>
      <c r="B295" s="3233"/>
      <c r="C295" s="3233">
        <v>790</v>
      </c>
      <c r="D295" s="3233" t="s">
        <v>7175</v>
      </c>
      <c r="E295" s="3233"/>
      <c r="F295" s="3234"/>
      <c r="G295" s="3255"/>
      <c r="H295" s="4197">
        <f>SUM(H296:H303)</f>
        <v>0</v>
      </c>
      <c r="I295" s="3256"/>
      <c r="J295" s="2476"/>
      <c r="K295" s="2477"/>
      <c r="L295" s="2477"/>
      <c r="M295" s="595"/>
    </row>
    <row r="296" spans="1:97" s="2479" customFormat="1" ht="13.5" customHeight="1">
      <c r="A296" s="3257">
        <v>78</v>
      </c>
      <c r="B296" s="3258">
        <v>790</v>
      </c>
      <c r="C296" s="3259" t="s">
        <v>7180</v>
      </c>
      <c r="D296" s="3258" t="s">
        <v>7341</v>
      </c>
      <c r="E296" s="3258" t="s">
        <v>23</v>
      </c>
      <c r="F296" s="3080">
        <f>ROUND(SUM(F298),3)</f>
        <v>1</v>
      </c>
      <c r="G296" s="3260"/>
      <c r="H296" s="3942">
        <f>ROUND(F296*G296,2)</f>
        <v>0</v>
      </c>
      <c r="I296" s="3256" t="s">
        <v>60</v>
      </c>
      <c r="J296" s="2478"/>
      <c r="M296" s="2481"/>
      <c r="R296" s="2523"/>
    </row>
    <row r="297" spans="1:97" s="595" customFormat="1" ht="13.5" customHeight="1">
      <c r="A297" s="3261"/>
      <c r="B297" s="3262"/>
      <c r="C297" s="3262"/>
      <c r="D297" s="3093" t="s">
        <v>7342</v>
      </c>
      <c r="E297" s="3262"/>
      <c r="F297" s="3264"/>
      <c r="G297" s="3263"/>
      <c r="H297" s="4198"/>
      <c r="I297" s="3265"/>
      <c r="J297" s="337"/>
      <c r="M297" s="2482"/>
      <c r="O297" s="2480"/>
    </row>
    <row r="298" spans="1:97" s="595" customFormat="1" ht="13.5" customHeight="1">
      <c r="A298" s="3261"/>
      <c r="B298" s="3262"/>
      <c r="C298" s="3262"/>
      <c r="D298" s="3093" t="s">
        <v>7343</v>
      </c>
      <c r="E298" s="3262"/>
      <c r="F298" s="3226">
        <v>1</v>
      </c>
      <c r="G298" s="3263"/>
      <c r="H298" s="4198"/>
      <c r="I298" s="3265"/>
      <c r="J298" s="1224"/>
      <c r="O298" s="2480"/>
    </row>
    <row r="299" spans="1:97" s="595" customFormat="1" ht="27" customHeight="1">
      <c r="A299" s="3261"/>
      <c r="B299" s="3262"/>
      <c r="C299" s="3262"/>
      <c r="D299" s="3093" t="s">
        <v>7344</v>
      </c>
      <c r="E299" s="3262"/>
      <c r="F299" s="3226"/>
      <c r="G299" s="3263"/>
      <c r="H299" s="4198"/>
      <c r="I299" s="3265"/>
      <c r="J299" s="1224"/>
      <c r="L299" s="1224"/>
    </row>
    <row r="300" spans="1:97" s="3268" customFormat="1" ht="13.5" customHeight="1">
      <c r="A300" s="3257">
        <v>79</v>
      </c>
      <c r="B300" s="3259" t="s">
        <v>3028</v>
      </c>
      <c r="C300" s="3259" t="s">
        <v>7186</v>
      </c>
      <c r="D300" s="3259" t="s">
        <v>7187</v>
      </c>
      <c r="E300" s="3259" t="s">
        <v>8</v>
      </c>
      <c r="F300" s="3266">
        <v>1.05</v>
      </c>
      <c r="G300" s="3260"/>
      <c r="H300" s="3942">
        <f>ROUND(F300*G300,2)</f>
        <v>0</v>
      </c>
      <c r="I300" s="3256" t="s">
        <v>60</v>
      </c>
      <c r="J300" s="1224"/>
      <c r="K300" s="2483"/>
      <c r="L300" s="2484"/>
      <c r="M300" s="3267"/>
      <c r="N300" s="3267"/>
      <c r="O300" s="3267"/>
      <c r="P300" s="3267"/>
      <c r="Q300" s="3267"/>
      <c r="R300" s="3267"/>
      <c r="S300" s="3267"/>
      <c r="T300" s="3267"/>
      <c r="U300" s="3267"/>
    </row>
    <row r="301" spans="1:97" s="3268" customFormat="1" ht="13.5" customHeight="1">
      <c r="A301" s="3257">
        <v>80</v>
      </c>
      <c r="B301" s="3259" t="s">
        <v>188</v>
      </c>
      <c r="C301" s="3259" t="s">
        <v>3076</v>
      </c>
      <c r="D301" s="3259" t="s">
        <v>3077</v>
      </c>
      <c r="E301" s="3259" t="s">
        <v>191</v>
      </c>
      <c r="F301" s="3080">
        <f>ROUND(SUM(F302),3)</f>
        <v>15</v>
      </c>
      <c r="G301" s="3260"/>
      <c r="H301" s="3942">
        <f>ROUND(F301*G301,2)</f>
        <v>0</v>
      </c>
      <c r="I301" s="3256" t="s">
        <v>863</v>
      </c>
      <c r="J301" s="1224"/>
      <c r="K301" s="2485"/>
      <c r="L301" s="2485"/>
    </row>
    <row r="302" spans="1:97" s="595" customFormat="1" ht="13.5" customHeight="1">
      <c r="A302" s="3269"/>
      <c r="B302" s="3270"/>
      <c r="C302" s="3270"/>
      <c r="D302" s="3271" t="s">
        <v>7188</v>
      </c>
      <c r="E302" s="3270"/>
      <c r="F302" s="3272">
        <v>15</v>
      </c>
      <c r="G302" s="3088"/>
      <c r="H302" s="4200"/>
      <c r="I302" s="3273"/>
      <c r="J302" s="2486"/>
      <c r="K302" s="2485"/>
      <c r="L302" s="2485"/>
    </row>
    <row r="303" spans="1:97" s="595" customFormat="1" ht="13.5" customHeight="1">
      <c r="A303" s="3269"/>
      <c r="B303" s="3270"/>
      <c r="C303" s="3270"/>
      <c r="D303" s="3271" t="s">
        <v>2821</v>
      </c>
      <c r="E303" s="3270"/>
      <c r="F303" s="3274"/>
      <c r="G303" s="3088"/>
      <c r="H303" s="4200"/>
      <c r="I303" s="3273"/>
      <c r="J303" s="2487"/>
      <c r="K303" s="2485"/>
      <c r="L303" s="2485"/>
    </row>
    <row r="304" spans="1:97" s="460" customFormat="1" ht="21" customHeight="1">
      <c r="A304" s="1661"/>
      <c r="B304" s="1662"/>
      <c r="C304" s="1662"/>
      <c r="D304" s="1662" t="s">
        <v>0</v>
      </c>
      <c r="E304" s="1662"/>
      <c r="F304" s="1663"/>
      <c r="G304" s="1664"/>
      <c r="H304" s="1664">
        <f>H124+H9</f>
        <v>0</v>
      </c>
      <c r="J304" s="1674"/>
    </row>
    <row r="305" spans="1:11" s="3275" customFormat="1" ht="12" customHeight="1">
      <c r="A305" s="1665"/>
      <c r="B305" s="1666"/>
      <c r="C305" s="1666"/>
      <c r="D305" s="1666"/>
      <c r="E305" s="1666"/>
      <c r="F305" s="1667"/>
      <c r="G305" s="1668"/>
      <c r="H305" s="1668"/>
    </row>
    <row r="306" spans="1:11" s="460" customFormat="1" ht="13.5" customHeight="1">
      <c r="A306" s="5755" t="s">
        <v>99</v>
      </c>
      <c r="B306" s="5756"/>
      <c r="C306" s="5757"/>
      <c r="D306" s="1670" t="s">
        <v>10528</v>
      </c>
      <c r="E306" s="1671"/>
      <c r="F306" s="1672"/>
      <c r="G306" s="1673"/>
      <c r="H306" s="4158">
        <f>H304</f>
        <v>0</v>
      </c>
      <c r="K306" s="1674"/>
    </row>
    <row r="307" spans="1:11" s="460" customFormat="1" ht="13.5" customHeight="1">
      <c r="A307" s="1675"/>
      <c r="B307" s="1676"/>
      <c r="C307" s="1676"/>
      <c r="D307" s="1677"/>
      <c r="E307" s="1678"/>
      <c r="F307" s="1679"/>
      <c r="G307" s="1680"/>
      <c r="H307" s="1681"/>
    </row>
    <row r="308" spans="1:11" s="459" customFormat="1" ht="13.5" customHeight="1">
      <c r="A308" s="5650" t="s">
        <v>1</v>
      </c>
      <c r="B308" s="5752"/>
      <c r="C308" s="5752"/>
      <c r="D308" s="5752"/>
      <c r="E308" s="5752"/>
      <c r="F308" s="5752"/>
      <c r="G308" s="5752"/>
      <c r="H308" s="318"/>
      <c r="I308" s="318"/>
    </row>
    <row r="309" spans="1:11" s="460" customFormat="1" ht="27" customHeight="1">
      <c r="A309" s="5650" t="s">
        <v>308</v>
      </c>
      <c r="B309" s="5758"/>
      <c r="C309" s="5758"/>
      <c r="D309" s="5758"/>
      <c r="E309" s="5758"/>
      <c r="F309" s="5758"/>
      <c r="G309" s="5758"/>
      <c r="H309" s="48"/>
    </row>
    <row r="310" spans="1:11" s="48" customFormat="1" ht="102.75" customHeight="1">
      <c r="A310" s="5650" t="s">
        <v>26</v>
      </c>
      <c r="B310" s="5759"/>
      <c r="C310" s="5759"/>
      <c r="D310" s="5759"/>
      <c r="E310" s="5759"/>
      <c r="F310" s="5759"/>
      <c r="G310" s="5759"/>
    </row>
    <row r="311" spans="1:11" s="459" customFormat="1" ht="13.5" customHeight="1">
      <c r="A311" s="5650" t="s">
        <v>27</v>
      </c>
      <c r="B311" s="5752"/>
      <c r="C311" s="5752"/>
      <c r="D311" s="5752"/>
      <c r="E311" s="5752"/>
      <c r="F311" s="5752"/>
      <c r="G311" s="5752"/>
      <c r="H311" s="318"/>
      <c r="I311" s="318"/>
    </row>
    <row r="312" spans="1:11" s="459" customFormat="1" ht="13.5" customHeight="1">
      <c r="A312" s="5650" t="s">
        <v>28</v>
      </c>
      <c r="B312" s="5752"/>
      <c r="C312" s="5752"/>
      <c r="D312" s="5752"/>
      <c r="E312" s="5752"/>
      <c r="F312" s="5752"/>
      <c r="G312" s="5752"/>
      <c r="H312" s="318"/>
      <c r="I312" s="318"/>
    </row>
    <row r="313" spans="1:11" s="3276" customFormat="1" ht="40.5" customHeight="1">
      <c r="A313" s="5652" t="s">
        <v>61</v>
      </c>
      <c r="B313" s="5652"/>
      <c r="C313" s="5652"/>
      <c r="D313" s="5652"/>
      <c r="E313" s="5652"/>
      <c r="F313" s="5652"/>
      <c r="G313" s="5652"/>
      <c r="I313" s="3510"/>
    </row>
  </sheetData>
  <mergeCells count="12">
    <mergeCell ref="A311:G311"/>
    <mergeCell ref="A312:G312"/>
    <mergeCell ref="A313:G313"/>
    <mergeCell ref="A2:I2"/>
    <mergeCell ref="A3:D3"/>
    <mergeCell ref="J144:N144"/>
    <mergeCell ref="A306:C306"/>
    <mergeCell ref="A308:G308"/>
    <mergeCell ref="A309:G309"/>
    <mergeCell ref="A310:G310"/>
    <mergeCell ref="G208:H208"/>
    <mergeCell ref="G269:H269"/>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40"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18" t="s">
        <v>112</v>
      </c>
      <c r="B2" s="5760"/>
      <c r="C2" s="5760"/>
      <c r="D2" s="5760"/>
      <c r="E2" s="5760"/>
      <c r="F2" s="5760"/>
      <c r="G2" s="5760"/>
      <c r="H2" s="5760"/>
      <c r="I2" s="5760"/>
    </row>
    <row r="3" spans="1:256" s="907" customFormat="1" ht="12.75" customHeight="1">
      <c r="A3" s="5734" t="s">
        <v>7083</v>
      </c>
      <c r="B3" s="5734"/>
      <c r="C3" s="5734"/>
      <c r="D3" s="573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7345</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7088</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10502</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7346</v>
      </c>
      <c r="E18" s="3092"/>
      <c r="F18" s="3094"/>
      <c r="G18" s="3095"/>
      <c r="H18" s="4031"/>
      <c r="I18" s="3096"/>
      <c r="J18" s="2432"/>
      <c r="T18" s="1292"/>
      <c r="V18" s="1292"/>
    </row>
    <row r="19" spans="1:23" s="1291" customFormat="1" ht="13.5" customHeight="1">
      <c r="A19" s="3090"/>
      <c r="B19" s="3091"/>
      <c r="C19" s="3092"/>
      <c r="D19" s="3093" t="s">
        <v>7347</v>
      </c>
      <c r="E19" s="3092"/>
      <c r="F19" s="3094">
        <f>((7.5*5)*1)*0.9</f>
        <v>33.75</v>
      </c>
      <c r="G19" s="3095"/>
      <c r="H19" s="4031"/>
      <c r="I19" s="3096"/>
      <c r="J19" s="2433"/>
      <c r="T19" s="1292"/>
      <c r="V19" s="1292"/>
    </row>
    <row r="20" spans="1:23" s="1291" customFormat="1" ht="13.5" customHeight="1">
      <c r="A20" s="3090"/>
      <c r="B20" s="3091"/>
      <c r="C20" s="3092"/>
      <c r="D20" s="3093" t="s">
        <v>7348</v>
      </c>
      <c r="E20" s="3092"/>
      <c r="F20" s="3094">
        <f>((9.5*2+5*2)*0.5)*0.9</f>
        <v>13.05</v>
      </c>
      <c r="G20" s="3095"/>
      <c r="H20" s="4031"/>
      <c r="I20" s="3096"/>
      <c r="J20" s="2433"/>
      <c r="T20" s="1292"/>
      <c r="V20" s="1292"/>
    </row>
    <row r="21" spans="1:23" s="1291" customFormat="1" ht="27" customHeight="1">
      <c r="A21" s="3090"/>
      <c r="B21" s="3091"/>
      <c r="C21" s="3092"/>
      <c r="D21" s="3092" t="s">
        <v>7094</v>
      </c>
      <c r="E21" s="3092"/>
      <c r="F21" s="3094"/>
      <c r="G21" s="3095"/>
      <c r="H21" s="4031"/>
      <c r="I21" s="3096"/>
      <c r="J21" s="1290"/>
      <c r="U21" s="1292"/>
      <c r="W21" s="1292"/>
    </row>
    <row r="22" spans="1:23" s="595" customFormat="1" ht="13.5" customHeight="1">
      <c r="A22" s="3086">
        <v>8</v>
      </c>
      <c r="B22" s="3087" t="s">
        <v>850</v>
      </c>
      <c r="C22" s="3087">
        <v>131351100</v>
      </c>
      <c r="D22" s="3087" t="s">
        <v>7095</v>
      </c>
      <c r="E22" s="3087" t="s">
        <v>221</v>
      </c>
      <c r="F22" s="3080">
        <f>ROUND(SUM(F24:F25),3)</f>
        <v>5.2</v>
      </c>
      <c r="G22" s="3088"/>
      <c r="H22" s="3942">
        <f>ROUND(F22*G22,2)</f>
        <v>0</v>
      </c>
      <c r="I22" s="3089" t="s">
        <v>142</v>
      </c>
      <c r="J22" s="2434"/>
    </row>
    <row r="23" spans="1:23" s="1291" customFormat="1" ht="13.5" customHeight="1">
      <c r="A23" s="3090"/>
      <c r="B23" s="3091"/>
      <c r="C23" s="3092"/>
      <c r="D23" s="3093" t="s">
        <v>7349</v>
      </c>
      <c r="E23" s="3092"/>
      <c r="F23" s="3094"/>
      <c r="G23" s="3095"/>
      <c r="H23" s="4031"/>
      <c r="I23" s="3096"/>
      <c r="J23" s="2432"/>
      <c r="T23" s="1292"/>
      <c r="V23" s="1292"/>
    </row>
    <row r="24" spans="1:23" s="1291" customFormat="1" ht="13.5" customHeight="1">
      <c r="A24" s="3090"/>
      <c r="B24" s="3091"/>
      <c r="C24" s="3092"/>
      <c r="D24" s="3093" t="s">
        <v>7350</v>
      </c>
      <c r="E24" s="3092"/>
      <c r="F24" s="3094">
        <f>((7.5*5)*1)*0.1</f>
        <v>3.75</v>
      </c>
      <c r="G24" s="3095"/>
      <c r="H24" s="4031"/>
      <c r="I24" s="3096"/>
      <c r="J24" s="2432"/>
      <c r="T24" s="1292"/>
      <c r="V24" s="1292"/>
    </row>
    <row r="25" spans="1:23" s="1291" customFormat="1" ht="13.5" customHeight="1">
      <c r="A25" s="3090"/>
      <c r="B25" s="3091"/>
      <c r="C25" s="3092"/>
      <c r="D25" s="3093" t="s">
        <v>7351</v>
      </c>
      <c r="E25" s="3092"/>
      <c r="F25" s="3094">
        <f>((9.5*2+5*2)*0.5)*0.1</f>
        <v>1.4500000000000002</v>
      </c>
      <c r="G25" s="3095"/>
      <c r="H25" s="4031"/>
      <c r="I25" s="3096"/>
      <c r="J25" s="2432"/>
      <c r="T25" s="1292"/>
      <c r="V25" s="1292"/>
    </row>
    <row r="26" spans="1:23" s="1291" customFormat="1" ht="27" customHeight="1">
      <c r="A26" s="3090"/>
      <c r="B26" s="3091"/>
      <c r="C26" s="3092"/>
      <c r="D26" s="3092" t="s">
        <v>7094</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7352</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7353</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7102</v>
      </c>
      <c r="E32" s="3114"/>
      <c r="F32" s="3117"/>
      <c r="G32" s="3115"/>
      <c r="H32" s="4201"/>
      <c r="I32" s="3118"/>
      <c r="J32" s="2436"/>
    </row>
    <row r="33" spans="1:256" s="2317" customFormat="1" ht="13.5" customHeight="1">
      <c r="A33" s="3112"/>
      <c r="B33" s="3114"/>
      <c r="C33" s="3114"/>
      <c r="D33" s="3116" t="s">
        <v>7354</v>
      </c>
      <c r="E33" s="3114"/>
      <c r="F33" s="3119">
        <f>(46.8+5.2)</f>
        <v>52</v>
      </c>
      <c r="G33" s="3115"/>
      <c r="H33" s="4201"/>
      <c r="I33" s="3118"/>
    </row>
    <row r="34" spans="1:256" s="2317" customFormat="1" ht="27" customHeight="1">
      <c r="A34" s="3112"/>
      <c r="B34" s="3114"/>
      <c r="C34" s="3114"/>
      <c r="D34" s="3116" t="s">
        <v>7355</v>
      </c>
      <c r="E34" s="3114"/>
      <c r="F34" s="3119">
        <f>-((3.6*2+6.5*2)*0.4*0.8+(4*6.5*0.15))</f>
        <v>-10.364000000000001</v>
      </c>
      <c r="G34" s="3115"/>
      <c r="H34" s="4201"/>
      <c r="I34" s="3118"/>
    </row>
    <row r="35" spans="1:256" s="2317" customFormat="1" ht="27" customHeight="1">
      <c r="A35" s="3112"/>
      <c r="B35" s="3114"/>
      <c r="C35" s="3114"/>
      <c r="D35" s="3116" t="s">
        <v>7356</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7357</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 t="shared" ref="H40:H42" si="1">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 t="shared" si="1"/>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 t="shared" si="1"/>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7358</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 t="shared" ref="H49:H50" si="2">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 t="shared" si="2"/>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7359</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7360</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3">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3"/>
        <v>0</v>
      </c>
      <c r="I60" s="3130" t="s">
        <v>142</v>
      </c>
      <c r="J60" s="231"/>
      <c r="K60" s="231"/>
      <c r="L60" s="120"/>
      <c r="M60" s="120"/>
      <c r="N60" s="120"/>
      <c r="O60" s="120"/>
      <c r="P60" s="120"/>
      <c r="Q60" s="120"/>
      <c r="R60" s="120"/>
      <c r="S60" s="232"/>
      <c r="V60" s="120"/>
    </row>
    <row r="61" spans="1:256" s="245" customFormat="1" ht="27" customHeight="1">
      <c r="A61" s="3155" t="s">
        <v>6953</v>
      </c>
      <c r="B61" s="3139"/>
      <c r="C61" s="3129">
        <v>162751113</v>
      </c>
      <c r="D61" s="3141" t="s">
        <v>905</v>
      </c>
      <c r="E61" s="3156" t="s">
        <v>221</v>
      </c>
      <c r="F61" s="3157">
        <f>F55</f>
        <v>6.9879999999999995</v>
      </c>
      <c r="G61" s="3158"/>
      <c r="H61" s="4186">
        <f t="shared" si="3"/>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7110</v>
      </c>
      <c r="B62" s="3139"/>
      <c r="C62" s="3129">
        <v>162751133</v>
      </c>
      <c r="D62" s="3141" t="s">
        <v>907</v>
      </c>
      <c r="E62" s="3156" t="s">
        <v>221</v>
      </c>
      <c r="F62" s="3157">
        <f>F57</f>
        <v>5.2</v>
      </c>
      <c r="G62" s="3158"/>
      <c r="H62" s="4186">
        <f t="shared" si="3"/>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7111</v>
      </c>
      <c r="B63" s="3078"/>
      <c r="C63" s="3129">
        <v>171251101</v>
      </c>
      <c r="D63" s="3159" t="s">
        <v>299</v>
      </c>
      <c r="E63" s="3133" t="s">
        <v>221</v>
      </c>
      <c r="F63" s="3134">
        <f>F53</f>
        <v>12.188000000000001</v>
      </c>
      <c r="G63" s="3154"/>
      <c r="H63" s="4186">
        <f t="shared" si="3"/>
        <v>0</v>
      </c>
      <c r="I63" s="3130" t="s">
        <v>142</v>
      </c>
      <c r="J63" s="231"/>
      <c r="K63" s="231"/>
      <c r="L63" s="120"/>
      <c r="M63" s="120"/>
      <c r="N63" s="120"/>
      <c r="O63" s="120"/>
      <c r="P63" s="120"/>
      <c r="Q63" s="120"/>
      <c r="R63" s="120"/>
      <c r="S63" s="232"/>
      <c r="V63" s="120"/>
    </row>
    <row r="64" spans="1:256" s="532" customFormat="1" ht="13.5" customHeight="1">
      <c r="A64" s="3132" t="s">
        <v>7112</v>
      </c>
      <c r="B64" s="3078"/>
      <c r="C64" s="3129">
        <v>171201221</v>
      </c>
      <c r="D64" s="3131" t="s">
        <v>720</v>
      </c>
      <c r="E64" s="3133" t="s">
        <v>302</v>
      </c>
      <c r="F64" s="3134">
        <f>F53*2</f>
        <v>24.376000000000001</v>
      </c>
      <c r="G64" s="3154"/>
      <c r="H64" s="4186">
        <f t="shared" si="3"/>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7203</v>
      </c>
      <c r="D68" s="3183" t="s">
        <v>7204</v>
      </c>
      <c r="E68" s="3183" t="s">
        <v>221</v>
      </c>
      <c r="F68" s="3080">
        <f>ROUND(SUM(F69),3)</f>
        <v>1.8240000000000001</v>
      </c>
      <c r="G68" s="3184"/>
      <c r="H68" s="3942">
        <f>ROUND(F68*G68,2)</f>
        <v>0</v>
      </c>
      <c r="I68" s="3187" t="s">
        <v>60</v>
      </c>
      <c r="J68" s="2444"/>
    </row>
    <row r="69" spans="1:256" s="933" customFormat="1" ht="13.5" customHeight="1">
      <c r="A69" s="3181"/>
      <c r="B69" s="3182"/>
      <c r="C69" s="3183"/>
      <c r="D69" s="3185" t="s">
        <v>7361</v>
      </c>
      <c r="E69" s="3183"/>
      <c r="F69" s="3306">
        <f>(3.2*5.7)*0.1</f>
        <v>1.8240000000000003</v>
      </c>
      <c r="G69" s="3184"/>
      <c r="H69" s="4192"/>
      <c r="I69" s="3187"/>
      <c r="J69" s="2444"/>
    </row>
    <row r="70" spans="1:256" s="2452" customFormat="1" ht="13.5" customHeight="1">
      <c r="A70" s="3181">
        <v>17</v>
      </c>
      <c r="B70" s="3182" t="s">
        <v>911</v>
      </c>
      <c r="C70" s="3183">
        <v>273321411</v>
      </c>
      <c r="D70" s="3183" t="s">
        <v>7206</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7207</v>
      </c>
      <c r="E71" s="3309"/>
      <c r="F71" s="3306"/>
      <c r="G71" s="3310"/>
      <c r="H71" s="4212"/>
      <c r="I71" s="3311"/>
      <c r="J71" s="2489"/>
      <c r="M71" s="2491"/>
    </row>
    <row r="72" spans="1:256" s="2452" customFormat="1" ht="13.5" customHeight="1">
      <c r="A72" s="3181"/>
      <c r="B72" s="3182"/>
      <c r="C72" s="3183"/>
      <c r="D72" s="3309" t="s">
        <v>7362</v>
      </c>
      <c r="E72" s="3183"/>
      <c r="F72" s="3306">
        <f>((6.5*4)*0.15)*1.05</f>
        <v>4.0949999999999998</v>
      </c>
      <c r="G72" s="3184"/>
      <c r="H72" s="4192"/>
      <c r="I72" s="3187"/>
      <c r="J72" s="2444"/>
      <c r="M72" s="2488"/>
    </row>
    <row r="73" spans="1:256" s="933" customFormat="1" ht="27" customHeight="1">
      <c r="A73" s="3312"/>
      <c r="B73" s="3313"/>
      <c r="C73" s="3314"/>
      <c r="D73" s="3185" t="s">
        <v>7209</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3.15</v>
      </c>
      <c r="G74" s="3184"/>
      <c r="H74" s="3942">
        <f>ROUND(F74*G74,2)</f>
        <v>0</v>
      </c>
      <c r="I74" s="3187" t="s">
        <v>142</v>
      </c>
      <c r="J74" s="2444"/>
    </row>
    <row r="75" spans="1:256" s="933" customFormat="1" ht="13.5" customHeight="1">
      <c r="A75" s="3181"/>
      <c r="B75" s="3182"/>
      <c r="C75" s="3183"/>
      <c r="D75" s="3309" t="s">
        <v>7363</v>
      </c>
      <c r="E75" s="3183"/>
      <c r="F75" s="3317"/>
      <c r="G75" s="3184"/>
      <c r="H75" s="4192"/>
      <c r="I75" s="3187"/>
      <c r="J75" s="2444"/>
    </row>
    <row r="76" spans="1:256" s="2491" customFormat="1" ht="13.5" customHeight="1">
      <c r="A76" s="3307"/>
      <c r="B76" s="3308"/>
      <c r="C76" s="3309"/>
      <c r="D76" s="3309" t="s">
        <v>7364</v>
      </c>
      <c r="E76" s="3309"/>
      <c r="F76" s="3318">
        <f>(6.5*2+4*2)*0.15</f>
        <v>3.15</v>
      </c>
      <c r="G76" s="3310"/>
      <c r="H76" s="4212"/>
      <c r="I76" s="3311"/>
      <c r="J76" s="2489"/>
    </row>
    <row r="77" spans="1:256" s="933" customFormat="1" ht="13.5" customHeight="1">
      <c r="A77" s="3181">
        <v>19</v>
      </c>
      <c r="B77" s="3182" t="s">
        <v>911</v>
      </c>
      <c r="C77" s="3183">
        <v>273351122</v>
      </c>
      <c r="D77" s="3183" t="s">
        <v>3470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7212</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7365</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7214</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7215</v>
      </c>
      <c r="E81" s="3309"/>
      <c r="F81" s="3306"/>
      <c r="G81" s="3310"/>
      <c r="H81" s="4212"/>
      <c r="I81" s="3311"/>
      <c r="J81" s="2444"/>
      <c r="M81" s="2488"/>
    </row>
    <row r="82" spans="1:15" s="933" customFormat="1" ht="13.5" customHeight="1">
      <c r="A82" s="3181"/>
      <c r="B82" s="3182"/>
      <c r="C82" s="3183"/>
      <c r="D82" s="3185" t="s">
        <v>7366</v>
      </c>
      <c r="E82" s="3183"/>
      <c r="F82" s="3188">
        <f>((3.6*2+6.5*2)*0.4*0.8)*1.05</f>
        <v>6.7872000000000003</v>
      </c>
      <c r="G82" s="3184"/>
      <c r="H82" s="4192"/>
      <c r="I82" s="3231"/>
      <c r="J82" s="2444"/>
    </row>
    <row r="83" spans="1:15" s="933" customFormat="1" ht="27" customHeight="1">
      <c r="A83" s="3312"/>
      <c r="B83" s="3313"/>
      <c r="C83" s="3314"/>
      <c r="D83" s="3185" t="s">
        <v>7209</v>
      </c>
      <c r="E83" s="3314"/>
      <c r="F83" s="3315"/>
      <c r="G83" s="3316"/>
      <c r="H83" s="4192"/>
      <c r="I83" s="3231"/>
      <c r="J83" s="2444"/>
    </row>
    <row r="84" spans="1:15" s="933" customFormat="1" ht="13.5" customHeight="1">
      <c r="A84" s="3181">
        <v>22</v>
      </c>
      <c r="B84" s="3182" t="s">
        <v>911</v>
      </c>
      <c r="C84" s="3183">
        <v>274351121</v>
      </c>
      <c r="D84" s="3183" t="s">
        <v>3474</v>
      </c>
      <c r="E84" s="3183" t="s">
        <v>611</v>
      </c>
      <c r="F84" s="3080">
        <f>ROUND(SUM(F85:F85),3)</f>
        <v>33.6</v>
      </c>
      <c r="G84" s="3184"/>
      <c r="H84" s="3942">
        <f>ROUND(F84*G84,2)</f>
        <v>0</v>
      </c>
      <c r="I84" s="3187" t="s">
        <v>142</v>
      </c>
      <c r="J84" s="2444"/>
    </row>
    <row r="85" spans="1:15" s="1230" customFormat="1" ht="13.5" customHeight="1">
      <c r="A85" s="3325"/>
      <c r="B85" s="3093"/>
      <c r="C85" s="3093"/>
      <c r="D85" s="3093" t="s">
        <v>7367</v>
      </c>
      <c r="E85" s="3093"/>
      <c r="F85" s="3226">
        <f>((6.5*2+4*2)*0.8)*2</f>
        <v>33.6</v>
      </c>
      <c r="G85" s="3326"/>
      <c r="H85" s="4214"/>
      <c r="I85" s="3327"/>
      <c r="K85" s="1224"/>
      <c r="O85" s="595"/>
    </row>
    <row r="86" spans="1:15" s="933" customFormat="1" ht="13.5" customHeight="1">
      <c r="A86" s="3181">
        <v>23</v>
      </c>
      <c r="B86" s="3182" t="s">
        <v>911</v>
      </c>
      <c r="C86" s="3183">
        <v>274351122</v>
      </c>
      <c r="D86" s="3183" t="s">
        <v>5994</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4159</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7120</v>
      </c>
      <c r="E89" s="3183"/>
      <c r="F89" s="3186"/>
      <c r="G89" s="3184"/>
      <c r="H89" s="4192"/>
      <c r="I89" s="3187"/>
      <c r="J89" s="2444"/>
      <c r="L89" s="2445"/>
    </row>
    <row r="90" spans="1:15" s="2447" customFormat="1" ht="13.5" customHeight="1">
      <c r="A90" s="3181"/>
      <c r="B90" s="3182"/>
      <c r="C90" s="3183"/>
      <c r="D90" s="3185" t="s">
        <v>7368</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7130</v>
      </c>
      <c r="C92" s="3225" t="s">
        <v>7240</v>
      </c>
      <c r="D92" s="3225" t="s">
        <v>7241</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7369</v>
      </c>
      <c r="E93" s="3225"/>
      <c r="F93" s="3226">
        <f>(62.168)</f>
        <v>62.167999999999999</v>
      </c>
      <c r="G93" s="3184"/>
      <c r="H93" s="4191"/>
      <c r="I93" s="3187"/>
      <c r="J93" s="2451"/>
      <c r="K93" s="2450"/>
      <c r="L93" s="2450"/>
      <c r="M93" s="2448"/>
    </row>
    <row r="94" spans="1:15" s="906" customFormat="1" ht="13.5" customHeight="1">
      <c r="A94" s="3223"/>
      <c r="B94" s="3224"/>
      <c r="C94" s="3225"/>
      <c r="D94" s="3093" t="s">
        <v>7370</v>
      </c>
      <c r="E94" s="3225"/>
      <c r="F94" s="3226">
        <f>(0.002)</f>
        <v>2E-3</v>
      </c>
      <c r="G94" s="3184"/>
      <c r="H94" s="4191"/>
      <c r="I94" s="3187"/>
      <c r="J94" s="2451"/>
      <c r="K94" s="2450"/>
      <c r="L94" s="2450"/>
      <c r="M94" s="2448"/>
    </row>
    <row r="95" spans="1:15" s="2452" customFormat="1" ht="13.5" customHeight="1">
      <c r="A95" s="3230">
        <v>26</v>
      </c>
      <c r="B95" s="3182" t="s">
        <v>188</v>
      </c>
      <c r="C95" s="3183" t="s">
        <v>7134</v>
      </c>
      <c r="D95" s="3183" t="s">
        <v>7135</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H98+H123+H194</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7244</v>
      </c>
      <c r="E100" s="3183"/>
      <c r="F100" s="3186"/>
      <c r="G100" s="3349"/>
      <c r="H100" s="4192"/>
      <c r="I100" s="3231"/>
      <c r="J100" s="2496"/>
    </row>
    <row r="101" spans="1:17" s="939" customFormat="1" ht="40.5" customHeight="1">
      <c r="A101" s="3350"/>
      <c r="B101" s="3182"/>
      <c r="C101" s="3183"/>
      <c r="D101" s="3351" t="s">
        <v>7371</v>
      </c>
      <c r="E101" s="3185"/>
      <c r="F101" s="3188"/>
      <c r="G101" s="3322"/>
      <c r="H101" s="4213"/>
      <c r="I101" s="3231"/>
      <c r="J101" s="2495"/>
    </row>
    <row r="102" spans="1:17" s="933" customFormat="1" ht="13.5" customHeight="1">
      <c r="A102" s="3352" t="s">
        <v>539</v>
      </c>
      <c r="B102" s="3353"/>
      <c r="C102" s="3354" t="s">
        <v>1879</v>
      </c>
      <c r="D102" s="3309" t="s">
        <v>7247</v>
      </c>
      <c r="E102" s="3355" t="s">
        <v>611</v>
      </c>
      <c r="F102" s="3356">
        <f>F99</f>
        <v>26</v>
      </c>
      <c r="G102" s="3357"/>
      <c r="H102" s="4186">
        <f t="shared" ref="H102:H103" si="4">ROUND(F102*G102,2)</f>
        <v>0</v>
      </c>
      <c r="I102" s="3358" t="s">
        <v>60</v>
      </c>
      <c r="J102" s="2444"/>
      <c r="K102" s="2442"/>
    </row>
    <row r="103" spans="1:17" s="933" customFormat="1" ht="13.5" customHeight="1">
      <c r="A103" s="3359" t="s">
        <v>540</v>
      </c>
      <c r="B103" s="3360"/>
      <c r="C103" s="3361" t="s">
        <v>7249</v>
      </c>
      <c r="D103" s="3362" t="s">
        <v>7372</v>
      </c>
      <c r="E103" s="3363" t="s">
        <v>611</v>
      </c>
      <c r="F103" s="3364">
        <f>(26)*1.15</f>
        <v>29.9</v>
      </c>
      <c r="G103" s="3365"/>
      <c r="H103" s="4211">
        <f t="shared" si="4"/>
        <v>0</v>
      </c>
      <c r="I103" s="3366" t="s">
        <v>60</v>
      </c>
      <c r="J103" s="2444"/>
      <c r="K103" s="2442"/>
      <c r="Q103" s="2497"/>
    </row>
    <row r="104" spans="1:17" s="933" customFormat="1" ht="27" customHeight="1">
      <c r="A104" s="3350"/>
      <c r="B104" s="3182"/>
      <c r="C104" s="3183"/>
      <c r="D104" s="3185" t="s">
        <v>7373</v>
      </c>
      <c r="E104" s="3185"/>
      <c r="F104" s="3188"/>
      <c r="G104" s="3322"/>
      <c r="H104" s="4213"/>
      <c r="I104" s="3231"/>
    </row>
    <row r="105" spans="1:17" s="933" customFormat="1" ht="13.5" customHeight="1">
      <c r="A105" s="3352" t="s">
        <v>541</v>
      </c>
      <c r="B105" s="3353"/>
      <c r="C105" s="3354" t="s">
        <v>1884</v>
      </c>
      <c r="D105" s="3309" t="s">
        <v>7253</v>
      </c>
      <c r="E105" s="3355" t="s">
        <v>611</v>
      </c>
      <c r="F105" s="3356">
        <f>F99</f>
        <v>26</v>
      </c>
      <c r="G105" s="3357"/>
      <c r="H105" s="4186">
        <f t="shared" ref="H105:H106" si="5">ROUND(F105*G105,2)</f>
        <v>0</v>
      </c>
      <c r="I105" s="3358" t="s">
        <v>60</v>
      </c>
      <c r="J105" s="2444"/>
      <c r="K105" s="2442"/>
    </row>
    <row r="106" spans="1:17" s="933" customFormat="1" ht="13.5" customHeight="1">
      <c r="A106" s="3359" t="s">
        <v>542</v>
      </c>
      <c r="B106" s="3360"/>
      <c r="C106" s="3361">
        <v>11163150</v>
      </c>
      <c r="D106" s="3362" t="s">
        <v>7374</v>
      </c>
      <c r="E106" s="3363" t="s">
        <v>302</v>
      </c>
      <c r="F106" s="3367">
        <f>((26*0.4)/1000)*1.1</f>
        <v>1.1440000000000001E-2</v>
      </c>
      <c r="G106" s="3365"/>
      <c r="H106" s="4211">
        <f t="shared" si="5"/>
        <v>0</v>
      </c>
      <c r="I106" s="3366" t="s">
        <v>142</v>
      </c>
      <c r="J106" s="2444"/>
      <c r="K106" s="2442"/>
      <c r="Q106" s="2497"/>
    </row>
    <row r="107" spans="1:17" s="933" customFormat="1" ht="13.5" customHeight="1">
      <c r="A107" s="3368"/>
      <c r="B107" s="3314"/>
      <c r="C107" s="3314"/>
      <c r="D107" s="3185" t="s">
        <v>7375</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7257</v>
      </c>
      <c r="E110" s="3183"/>
      <c r="F110" s="3186"/>
      <c r="G110" s="3349"/>
      <c r="H110" s="4192"/>
      <c r="I110" s="3231"/>
      <c r="J110" s="2496"/>
      <c r="K110" s="956"/>
    </row>
    <row r="111" spans="1:17" s="939" customFormat="1" ht="40.5" customHeight="1">
      <c r="A111" s="3350"/>
      <c r="B111" s="3182"/>
      <c r="C111" s="3183"/>
      <c r="D111" s="3351" t="s">
        <v>7376</v>
      </c>
      <c r="E111" s="3185"/>
      <c r="F111" s="3188"/>
      <c r="G111" s="3322"/>
      <c r="H111" s="4213"/>
      <c r="I111" s="3231"/>
      <c r="J111" s="2495"/>
    </row>
    <row r="112" spans="1:17" s="933" customFormat="1" ht="13.5" customHeight="1">
      <c r="A112" s="3352" t="s">
        <v>641</v>
      </c>
      <c r="B112" s="3353"/>
      <c r="C112" s="3354" t="s">
        <v>1893</v>
      </c>
      <c r="D112" s="3309" t="s">
        <v>7259</v>
      </c>
      <c r="E112" s="3355" t="s">
        <v>611</v>
      </c>
      <c r="F112" s="3356">
        <f>F109</f>
        <v>3.15</v>
      </c>
      <c r="G112" s="3357"/>
      <c r="H112" s="4186">
        <f t="shared" ref="H112:H113" si="6">ROUND(F112*G112,2)</f>
        <v>0</v>
      </c>
      <c r="I112" s="3358" t="s">
        <v>60</v>
      </c>
      <c r="J112" s="2444"/>
      <c r="K112" s="2442"/>
    </row>
    <row r="113" spans="1:23" s="933" customFormat="1" ht="13.5" customHeight="1">
      <c r="A113" s="3359" t="s">
        <v>645</v>
      </c>
      <c r="B113" s="3360"/>
      <c r="C113" s="3361" t="s">
        <v>7249</v>
      </c>
      <c r="D113" s="3362" t="s">
        <v>7377</v>
      </c>
      <c r="E113" s="3363" t="s">
        <v>611</v>
      </c>
      <c r="F113" s="3364">
        <f>(3.15)*1.2</f>
        <v>3.78</v>
      </c>
      <c r="G113" s="3365"/>
      <c r="H113" s="4211">
        <f t="shared" si="6"/>
        <v>0</v>
      </c>
      <c r="I113" s="3366" t="s">
        <v>60</v>
      </c>
      <c r="J113" s="2444"/>
      <c r="K113" s="2442"/>
      <c r="Q113" s="2497"/>
    </row>
    <row r="114" spans="1:23" s="933" customFormat="1" ht="27" customHeight="1">
      <c r="A114" s="3350"/>
      <c r="B114" s="3182"/>
      <c r="C114" s="3183"/>
      <c r="D114" s="3185" t="s">
        <v>7378</v>
      </c>
      <c r="E114" s="3185"/>
      <c r="F114" s="3188"/>
      <c r="G114" s="3322"/>
      <c r="H114" s="4213"/>
      <c r="I114" s="3231"/>
    </row>
    <row r="115" spans="1:23" s="933" customFormat="1" ht="13.5" customHeight="1">
      <c r="A115" s="3352" t="s">
        <v>648</v>
      </c>
      <c r="B115" s="3353"/>
      <c r="C115" s="3354" t="s">
        <v>7262</v>
      </c>
      <c r="D115" s="3309" t="s">
        <v>7263</v>
      </c>
      <c r="E115" s="3355" t="s">
        <v>611</v>
      </c>
      <c r="F115" s="3356">
        <f>F109</f>
        <v>3.15</v>
      </c>
      <c r="G115" s="3357"/>
      <c r="H115" s="4186">
        <f t="shared" ref="H115:H116" si="7">ROUND(F115*G115,2)</f>
        <v>0</v>
      </c>
      <c r="I115" s="3358" t="s">
        <v>60</v>
      </c>
      <c r="J115" s="2444"/>
      <c r="K115" s="2442"/>
    </row>
    <row r="116" spans="1:23" s="933" customFormat="1" ht="13.5" customHeight="1">
      <c r="A116" s="3359" t="s">
        <v>651</v>
      </c>
      <c r="B116" s="3360"/>
      <c r="C116" s="3361">
        <v>11163150</v>
      </c>
      <c r="D116" s="3362" t="s">
        <v>7379</v>
      </c>
      <c r="E116" s="3363" t="s">
        <v>302</v>
      </c>
      <c r="F116" s="3367">
        <f>((3.78*0.4)/1000)*1.15</f>
        <v>1.7388E-3</v>
      </c>
      <c r="G116" s="3365"/>
      <c r="H116" s="4211">
        <f t="shared" si="7"/>
        <v>0</v>
      </c>
      <c r="I116" s="3366" t="s">
        <v>142</v>
      </c>
      <c r="J116" s="2444"/>
      <c r="K116" s="2442"/>
      <c r="Q116" s="2497"/>
    </row>
    <row r="117" spans="1:23" s="933" customFormat="1" ht="13.5" customHeight="1">
      <c r="A117" s="3368"/>
      <c r="B117" s="3314"/>
      <c r="C117" s="3314"/>
      <c r="D117" s="3185" t="s">
        <v>7380</v>
      </c>
      <c r="E117" s="3314"/>
      <c r="F117" s="3369">
        <f>(4*2+6.5*2)*0.15</f>
        <v>3.15</v>
      </c>
      <c r="G117" s="3316"/>
      <c r="H117" s="4192"/>
      <c r="I117" s="3347"/>
      <c r="J117" s="5765"/>
      <c r="K117" s="5766"/>
      <c r="L117" s="5766"/>
      <c r="M117" s="5766"/>
      <c r="N117" s="5766"/>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7136</v>
      </c>
      <c r="E123" s="3459"/>
      <c r="F123" s="3460"/>
      <c r="G123" s="3461"/>
      <c r="H123" s="4194">
        <f>SUM(H124:H193)</f>
        <v>0</v>
      </c>
      <c r="I123" s="3462"/>
    </row>
    <row r="124" spans="1:23" s="3286" customFormat="1" ht="13.5" customHeight="1">
      <c r="A124" s="3237">
        <v>31</v>
      </c>
      <c r="B124" s="3463">
        <v>741</v>
      </c>
      <c r="C124" s="3463" t="s">
        <v>7137</v>
      </c>
      <c r="D124" s="3463" t="s">
        <v>7138</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7139</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7381</v>
      </c>
      <c r="E126" s="3464"/>
      <c r="F126" s="3467">
        <v>2</v>
      </c>
      <c r="G126" s="3468"/>
      <c r="H126" s="4119"/>
      <c r="I126" s="3465"/>
      <c r="J126" s="3296"/>
      <c r="M126" s="3470"/>
      <c r="Q126" s="3471"/>
      <c r="S126" s="3471"/>
    </row>
    <row r="127" spans="1:23" s="3286" customFormat="1" ht="13.5" customHeight="1">
      <c r="A127" s="3237"/>
      <c r="B127" s="3463"/>
      <c r="C127" s="3463"/>
      <c r="D127" s="3466" t="s">
        <v>7141</v>
      </c>
      <c r="E127" s="3464"/>
      <c r="F127" s="3467"/>
      <c r="G127" s="3468"/>
      <c r="H127" s="4119"/>
      <c r="I127" s="3465"/>
      <c r="M127" s="3470"/>
      <c r="Q127" s="3471"/>
    </row>
    <row r="128" spans="1:23" s="3473" customFormat="1" ht="13.5" customHeight="1">
      <c r="A128" s="3472">
        <v>32</v>
      </c>
      <c r="B128" s="3463">
        <v>741</v>
      </c>
      <c r="C128" s="3463" t="s">
        <v>7297</v>
      </c>
      <c r="D128" s="3463" t="s">
        <v>7298</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7299</v>
      </c>
      <c r="E129" s="3464"/>
      <c r="F129" s="3475"/>
      <c r="G129" s="3468"/>
      <c r="H129" s="4229"/>
      <c r="I129" s="3465"/>
      <c r="J129" s="2460"/>
      <c r="K129" s="2461"/>
      <c r="L129" s="3286"/>
      <c r="W129" s="2463"/>
    </row>
    <row r="130" spans="1:23" s="3473" customFormat="1" ht="13.5" customHeight="1">
      <c r="A130" s="3477"/>
      <c r="B130" s="3463"/>
      <c r="C130" s="3463"/>
      <c r="D130" s="3287" t="s">
        <v>7381</v>
      </c>
      <c r="E130" s="3463"/>
      <c r="F130" s="3475">
        <v>1</v>
      </c>
      <c r="G130" s="3468"/>
      <c r="H130" s="4229"/>
      <c r="I130" s="3465"/>
      <c r="J130" s="3286"/>
      <c r="L130" s="3286"/>
      <c r="W130" s="2463"/>
    </row>
    <row r="131" spans="1:23" s="3473" customFormat="1" ht="13.5" customHeight="1">
      <c r="A131" s="3472"/>
      <c r="B131" s="3463"/>
      <c r="C131" s="3463"/>
      <c r="D131" s="3474" t="s">
        <v>7300</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7301</v>
      </c>
      <c r="D132" s="3463" t="s">
        <v>7302</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7303</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7381</v>
      </c>
      <c r="E134" s="3463"/>
      <c r="F134" s="3475">
        <v>1</v>
      </c>
      <c r="G134" s="3468"/>
      <c r="H134" s="4229"/>
      <c r="I134" s="3465"/>
      <c r="M134" s="3482"/>
    </row>
    <row r="135" spans="1:23" s="3473" customFormat="1" ht="13.5" customHeight="1">
      <c r="A135" s="3472"/>
      <c r="B135" s="3463"/>
      <c r="C135" s="3463"/>
      <c r="D135" s="3466" t="s">
        <v>7304</v>
      </c>
      <c r="E135" s="3464"/>
      <c r="F135" s="3475"/>
      <c r="G135" s="3468"/>
      <c r="H135" s="4229"/>
      <c r="I135" s="3465"/>
      <c r="M135" s="3482"/>
    </row>
    <row r="136" spans="1:23" s="3473" customFormat="1" ht="13.5" customHeight="1">
      <c r="A136" s="3484">
        <v>34</v>
      </c>
      <c r="B136" s="3463">
        <v>741</v>
      </c>
      <c r="C136" s="3463" t="s">
        <v>7143</v>
      </c>
      <c r="D136" s="3463" t="s">
        <v>7144</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7145</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7146</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7308</v>
      </c>
      <c r="D139" s="3463" t="s">
        <v>7309</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7145</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7146</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7147</v>
      </c>
      <c r="D142" s="3463" t="s">
        <v>7382</v>
      </c>
      <c r="E142" s="3463" t="s">
        <v>23</v>
      </c>
      <c r="F142" s="3080">
        <f>ROUND(SUM(F144),3)</f>
        <v>1</v>
      </c>
      <c r="G142" s="3468"/>
      <c r="H142" s="3942">
        <f>ROUND(F142*G142,2)</f>
        <v>0</v>
      </c>
      <c r="I142" s="3465" t="s">
        <v>60</v>
      </c>
      <c r="M142" s="3482"/>
    </row>
    <row r="143" spans="1:23" s="3473" customFormat="1" ht="13.5" customHeight="1">
      <c r="A143" s="3237"/>
      <c r="B143" s="3463"/>
      <c r="C143" s="3463"/>
      <c r="D143" s="3466" t="s">
        <v>7383</v>
      </c>
      <c r="E143" s="3463"/>
      <c r="F143" s="3481"/>
      <c r="G143" s="3468"/>
      <c r="H143" s="4119"/>
      <c r="I143" s="3465"/>
      <c r="M143" s="3482"/>
    </row>
    <row r="144" spans="1:23" s="3473" customFormat="1" ht="13.5" customHeight="1">
      <c r="A144" s="3237"/>
      <c r="B144" s="3463"/>
      <c r="C144" s="3463"/>
      <c r="D144" s="3287" t="s">
        <v>7381</v>
      </c>
      <c r="E144" s="3464"/>
      <c r="F144" s="3467">
        <v>1</v>
      </c>
      <c r="G144" s="3468"/>
      <c r="H144" s="4119"/>
      <c r="I144" s="3465"/>
      <c r="M144" s="3482"/>
    </row>
    <row r="145" spans="1:25" s="3473" customFormat="1" ht="27" customHeight="1">
      <c r="A145" s="3237"/>
      <c r="B145" s="3463"/>
      <c r="C145" s="3463"/>
      <c r="D145" s="3494" t="s">
        <v>7150</v>
      </c>
      <c r="E145" s="3463"/>
      <c r="F145" s="3467"/>
      <c r="G145" s="3468"/>
      <c r="H145" s="4119"/>
      <c r="I145" s="3465"/>
      <c r="M145" s="3482"/>
    </row>
    <row r="146" spans="1:25" s="2473" customFormat="1" ht="13.5" customHeight="1">
      <c r="A146" s="3242">
        <v>37</v>
      </c>
      <c r="B146" s="3240">
        <v>741</v>
      </c>
      <c r="C146" s="3240" t="s">
        <v>7151</v>
      </c>
      <c r="D146" s="3243" t="s">
        <v>7315</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7316</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7384</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10125</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7318</v>
      </c>
      <c r="E150" s="3247"/>
      <c r="F150" s="3245"/>
      <c r="G150" s="3248"/>
      <c r="H150" s="4196"/>
      <c r="I150" s="3248"/>
      <c r="J150" s="2472"/>
      <c r="K150" s="2475"/>
      <c r="L150" s="2475"/>
    </row>
    <row r="151" spans="1:25" s="2473" customFormat="1" ht="13.5" customHeight="1">
      <c r="A151" s="3242">
        <v>38</v>
      </c>
      <c r="B151" s="3240">
        <v>741</v>
      </c>
      <c r="C151" s="3240" t="s">
        <v>7155</v>
      </c>
      <c r="D151" s="3243" t="s">
        <v>7320</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7321</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7154</v>
      </c>
      <c r="E153" s="3247"/>
      <c r="F153" s="3245"/>
      <c r="G153" s="3248"/>
      <c r="H153" s="4196"/>
      <c r="I153" s="3239"/>
      <c r="J153" s="2472"/>
      <c r="K153" s="2475"/>
      <c r="L153" s="2475"/>
    </row>
    <row r="154" spans="1:25" s="2473" customFormat="1" ht="13.5" customHeight="1">
      <c r="A154" s="3242">
        <v>39</v>
      </c>
      <c r="B154" s="3240">
        <v>741</v>
      </c>
      <c r="C154" s="3240" t="s">
        <v>7157</v>
      </c>
      <c r="D154" s="3243" t="s">
        <v>7323</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7324</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7325</v>
      </c>
      <c r="E156" s="3247"/>
      <c r="F156" s="3245"/>
      <c r="G156" s="3248"/>
      <c r="H156" s="4196"/>
      <c r="I156" s="3239"/>
      <c r="S156" s="2468"/>
      <c r="W156" s="2468"/>
    </row>
    <row r="157" spans="1:25" s="2473" customFormat="1" ht="13.5" customHeight="1">
      <c r="A157" s="3242">
        <v>40</v>
      </c>
      <c r="B157" s="3240">
        <v>741</v>
      </c>
      <c r="C157" s="3240" t="s">
        <v>7160</v>
      </c>
      <c r="D157" s="3243" t="s">
        <v>7327</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7328</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7325</v>
      </c>
      <c r="E159" s="3247"/>
      <c r="F159" s="3245"/>
      <c r="G159" s="3248"/>
      <c r="H159" s="4196"/>
      <c r="I159" s="3239"/>
    </row>
    <row r="160" spans="1:25" s="2473" customFormat="1" ht="13.5" customHeight="1">
      <c r="A160" s="3242">
        <v>42</v>
      </c>
      <c r="B160" s="3240">
        <v>741</v>
      </c>
      <c r="C160" s="3240" t="s">
        <v>7162</v>
      </c>
      <c r="D160" s="3243" t="s">
        <v>7334</v>
      </c>
      <c r="E160" s="3240" t="s">
        <v>155</v>
      </c>
      <c r="F160" s="3481">
        <f>SUM(F161)</f>
        <v>1</v>
      </c>
      <c r="G160" s="3476"/>
      <c r="H160" s="3942">
        <f>ROUND(F160*G160,2)</f>
        <v>0</v>
      </c>
      <c r="I160" s="3239" t="s">
        <v>60</v>
      </c>
      <c r="W160" s="2463"/>
    </row>
    <row r="161" spans="1:97" s="2473" customFormat="1" ht="13.5" customHeight="1">
      <c r="A161" s="3242"/>
      <c r="B161" s="3240"/>
      <c r="C161" s="3240"/>
      <c r="D161" s="3474" t="s">
        <v>7335</v>
      </c>
      <c r="E161" s="3463"/>
      <c r="F161" s="3475">
        <v>1</v>
      </c>
      <c r="G161" s="3476"/>
      <c r="H161" s="4098"/>
      <c r="I161" s="3239"/>
      <c r="J161" s="2526"/>
      <c r="S161" s="2474"/>
      <c r="W161" s="2468"/>
    </row>
    <row r="162" spans="1:97" s="3473" customFormat="1" ht="13.5" customHeight="1">
      <c r="A162" s="3484"/>
      <c r="B162" s="3463"/>
      <c r="C162" s="3240"/>
      <c r="D162" s="3474" t="s">
        <v>7336</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7165</v>
      </c>
      <c r="D163" s="3243" t="s">
        <v>7166</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7314</v>
      </c>
      <c r="D164" s="3463" t="s">
        <v>7152</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7153</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10128</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7154</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5579">
        <v>45</v>
      </c>
      <c r="B168" s="3463">
        <v>741</v>
      </c>
      <c r="C168" s="3240" t="s">
        <v>7319</v>
      </c>
      <c r="D168" s="3463" t="s">
        <v>11704</v>
      </c>
      <c r="E168" s="3463" t="s">
        <v>141</v>
      </c>
      <c r="F168" s="3481">
        <f>SUM(F169)</f>
        <v>1.32</v>
      </c>
      <c r="G168" s="5763" t="s">
        <v>11578</v>
      </c>
      <c r="H168" s="5764"/>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7338</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7154</v>
      </c>
      <c r="E170" s="3463"/>
      <c r="F170" s="3481"/>
      <c r="G170" s="3468"/>
      <c r="H170" s="4119"/>
      <c r="I170" s="3239"/>
      <c r="J170" s="3495"/>
      <c r="K170" s="3490"/>
      <c r="L170" s="3490"/>
      <c r="M170" s="3490"/>
      <c r="N170" s="3490"/>
      <c r="O170" s="3490"/>
      <c r="P170" s="3490"/>
    </row>
    <row r="171" spans="1:97" s="3473" customFormat="1" ht="13.5" customHeight="1">
      <c r="A171" s="5579" t="s">
        <v>724</v>
      </c>
      <c r="B171" s="5600">
        <v>741</v>
      </c>
      <c r="C171" s="5601" t="s">
        <v>11705</v>
      </c>
      <c r="D171" s="5600" t="s">
        <v>11702</v>
      </c>
      <c r="E171" s="5600" t="s">
        <v>141</v>
      </c>
      <c r="F171" s="5602">
        <f>SUM(F172)</f>
        <v>1.32</v>
      </c>
      <c r="G171" s="5603"/>
      <c r="H171" s="5604">
        <f>ROUND(F171*G171,2)</f>
        <v>0</v>
      </c>
      <c r="I171" s="5605" t="s">
        <v>60</v>
      </c>
      <c r="J171" s="2460"/>
      <c r="K171" s="2461"/>
      <c r="L171" s="2462"/>
      <c r="M171" s="2462"/>
      <c r="N171" s="2462"/>
      <c r="O171" s="2462"/>
      <c r="P171" s="2462"/>
      <c r="Q171" s="2462"/>
      <c r="R171" s="2462"/>
      <c r="S171" s="2462"/>
      <c r="T171" s="2462"/>
      <c r="U171" s="2462"/>
      <c r="V171" s="2462"/>
      <c r="W171" s="2463"/>
    </row>
    <row r="172" spans="1:97" s="3473" customFormat="1" ht="13.5" customHeight="1">
      <c r="A172" s="5579"/>
      <c r="B172" s="5600"/>
      <c r="C172" s="5600"/>
      <c r="D172" s="5600" t="s">
        <v>7338</v>
      </c>
      <c r="E172" s="5600"/>
      <c r="F172" s="5606">
        <f>(1.2)*1.1</f>
        <v>1.32</v>
      </c>
      <c r="G172" s="5603"/>
      <c r="H172" s="5607"/>
      <c r="I172" s="5605"/>
      <c r="J172" s="2464"/>
      <c r="K172" s="2465"/>
      <c r="L172" s="2466"/>
      <c r="M172" s="2466"/>
      <c r="O172" s="2467"/>
      <c r="P172" s="2466"/>
      <c r="Q172" s="2466"/>
      <c r="R172" s="2466"/>
      <c r="S172" s="2466"/>
      <c r="T172" s="2466"/>
      <c r="U172" s="2466"/>
      <c r="V172" s="2466"/>
      <c r="W172" s="2468"/>
    </row>
    <row r="173" spans="1:97" s="3473" customFormat="1" ht="13.5" customHeight="1">
      <c r="A173" s="5579"/>
      <c r="B173" s="5600"/>
      <c r="C173" s="5600"/>
      <c r="D173" s="5600" t="s">
        <v>7154</v>
      </c>
      <c r="E173" s="5600"/>
      <c r="F173" s="5602"/>
      <c r="G173" s="5603"/>
      <c r="H173" s="5607"/>
      <c r="I173" s="5605"/>
      <c r="J173" s="3495"/>
      <c r="K173" s="3490"/>
      <c r="L173" s="3490"/>
      <c r="M173" s="3490"/>
      <c r="N173" s="3490"/>
      <c r="O173" s="3490"/>
      <c r="P173" s="3490"/>
    </row>
    <row r="174" spans="1:97" s="3473" customFormat="1" ht="13.5" customHeight="1">
      <c r="A174" s="3484">
        <v>46</v>
      </c>
      <c r="B174" s="3463">
        <v>741</v>
      </c>
      <c r="C174" s="3240" t="s">
        <v>7322</v>
      </c>
      <c r="D174" s="3241" t="s">
        <v>7158</v>
      </c>
      <c r="E174" s="3463" t="s">
        <v>155</v>
      </c>
      <c r="F174" s="3481">
        <f>SUM(F175)</f>
        <v>12</v>
      </c>
      <c r="G174" s="3468"/>
      <c r="H174" s="3942">
        <f>ROUND(F174*G174,2)</f>
        <v>0</v>
      </c>
      <c r="I174" s="3239" t="s">
        <v>60</v>
      </c>
      <c r="W174" s="2468"/>
    </row>
    <row r="175" spans="1:97" s="3473" customFormat="1" ht="13.5" customHeight="1">
      <c r="A175" s="3484"/>
      <c r="B175" s="3463"/>
      <c r="C175" s="3240"/>
      <c r="D175" s="3474" t="s">
        <v>7159</v>
      </c>
      <c r="E175" s="3463"/>
      <c r="F175" s="3475">
        <v>12</v>
      </c>
      <c r="G175" s="3468"/>
      <c r="H175" s="4119"/>
      <c r="I175" s="3239"/>
      <c r="J175" s="2460"/>
      <c r="K175" s="2461"/>
      <c r="L175" s="2462"/>
      <c r="M175" s="2462"/>
      <c r="N175" s="2462"/>
      <c r="O175" s="2462"/>
      <c r="P175" s="2462"/>
      <c r="Q175" s="2462"/>
      <c r="R175" s="2462"/>
      <c r="S175" s="2462"/>
      <c r="T175" s="2462"/>
      <c r="U175" s="2462"/>
      <c r="V175" s="2462"/>
      <c r="W175" s="2463"/>
    </row>
    <row r="176" spans="1:97" s="3498" customFormat="1" ht="13.5" customHeight="1">
      <c r="A176" s="3484"/>
      <c r="B176" s="3463"/>
      <c r="C176" s="3463"/>
      <c r="D176" s="3474" t="s">
        <v>7154</v>
      </c>
      <c r="E176" s="3463"/>
      <c r="F176" s="3496"/>
      <c r="G176" s="3468"/>
      <c r="H176" s="4119"/>
      <c r="I176" s="3239"/>
      <c r="J176" s="2464"/>
      <c r="K176" s="2465"/>
      <c r="L176" s="2466"/>
      <c r="M176" s="2466"/>
      <c r="N176" s="2466"/>
      <c r="O176" s="2467"/>
      <c r="P176" s="2466"/>
      <c r="Q176" s="2466"/>
      <c r="R176" s="2467"/>
      <c r="S176" s="2466"/>
      <c r="T176" s="2466"/>
      <c r="U176" s="2466"/>
      <c r="V176" s="2466"/>
      <c r="W176" s="2468"/>
      <c r="X176" s="3473"/>
      <c r="Y176" s="3473"/>
      <c r="Z176" s="3473"/>
      <c r="AA176" s="3473"/>
      <c r="AB176" s="3473"/>
      <c r="AC176" s="3410"/>
      <c r="AD176" s="3410"/>
      <c r="AE176" s="3410"/>
      <c r="AF176" s="3410"/>
      <c r="AG176" s="3410"/>
      <c r="AH176" s="3410"/>
      <c r="AI176" s="3410"/>
      <c r="AJ176" s="3410"/>
      <c r="AK176" s="3410"/>
      <c r="AL176" s="3410"/>
      <c r="AM176" s="3410"/>
      <c r="AN176" s="3410"/>
      <c r="AO176" s="3410"/>
      <c r="AP176" s="3410"/>
      <c r="AQ176" s="3410"/>
      <c r="AR176" s="3410"/>
      <c r="AS176" s="3410"/>
      <c r="AT176" s="3410"/>
      <c r="AU176" s="3410"/>
      <c r="AV176" s="3410"/>
      <c r="AW176" s="3410"/>
      <c r="AX176" s="3410"/>
      <c r="AY176" s="3410"/>
      <c r="AZ176" s="3410"/>
      <c r="BA176" s="3410"/>
      <c r="BB176" s="3410"/>
      <c r="BC176" s="3410"/>
      <c r="BD176" s="3410"/>
      <c r="BE176" s="3410"/>
      <c r="BF176" s="3410"/>
      <c r="BG176" s="3410"/>
      <c r="BH176" s="3410"/>
      <c r="BI176" s="3410"/>
      <c r="BJ176" s="3410"/>
      <c r="BK176" s="3410"/>
      <c r="BL176" s="3410"/>
      <c r="BM176" s="3410"/>
      <c r="BN176" s="3410"/>
      <c r="BO176" s="3410"/>
      <c r="BP176" s="3410"/>
      <c r="BQ176" s="3410"/>
      <c r="BR176" s="3410"/>
      <c r="BS176" s="3410"/>
      <c r="BT176" s="3410"/>
      <c r="BU176" s="3410"/>
      <c r="BV176" s="3410"/>
      <c r="BW176" s="3410"/>
      <c r="BX176" s="3410"/>
      <c r="BY176" s="3410"/>
      <c r="BZ176" s="3410"/>
      <c r="CA176" s="3410"/>
      <c r="CB176" s="3410"/>
      <c r="CC176" s="3410"/>
      <c r="CD176" s="3410"/>
      <c r="CE176" s="3410"/>
      <c r="CF176" s="3410"/>
      <c r="CG176" s="3410"/>
      <c r="CH176" s="3410"/>
      <c r="CI176" s="3410"/>
      <c r="CJ176" s="3410"/>
      <c r="CK176" s="3410"/>
      <c r="CL176" s="3410"/>
      <c r="CM176" s="3410"/>
      <c r="CN176" s="3410"/>
      <c r="CO176" s="3410"/>
      <c r="CP176" s="3410"/>
      <c r="CQ176" s="3410"/>
      <c r="CR176" s="3410"/>
      <c r="CS176" s="3410"/>
    </row>
    <row r="177" spans="1:97" s="2473" customFormat="1" ht="13.5" customHeight="1">
      <c r="A177" s="3242">
        <v>47</v>
      </c>
      <c r="B177" s="3240">
        <v>741</v>
      </c>
      <c r="C177" s="3240" t="s">
        <v>7326</v>
      </c>
      <c r="D177" s="3243" t="s">
        <v>7161</v>
      </c>
      <c r="E177" s="3240" t="s">
        <v>23</v>
      </c>
      <c r="F177" s="3481">
        <f>SUM(F178)</f>
        <v>1</v>
      </c>
      <c r="G177" s="3476"/>
      <c r="H177" s="3942">
        <f>ROUND(F177*G177,2)</f>
        <v>0</v>
      </c>
      <c r="I177" s="3239" t="s">
        <v>60</v>
      </c>
      <c r="J177" s="2472"/>
      <c r="S177" s="2474"/>
    </row>
    <row r="178" spans="1:97" s="2473" customFormat="1" ht="13.5" customHeight="1">
      <c r="A178" s="3242"/>
      <c r="B178" s="3240"/>
      <c r="C178" s="3240"/>
      <c r="D178" s="3244" t="s">
        <v>10122</v>
      </c>
      <c r="E178" s="3240"/>
      <c r="F178" s="3245">
        <v>1</v>
      </c>
      <c r="G178" s="3476"/>
      <c r="H178" s="4119"/>
      <c r="I178" s="3239"/>
      <c r="J178" s="2472"/>
      <c r="S178" s="2474"/>
    </row>
    <row r="179" spans="1:97" s="2473" customFormat="1" ht="13.5" customHeight="1">
      <c r="A179" s="3242">
        <v>48</v>
      </c>
      <c r="B179" s="3240">
        <v>741</v>
      </c>
      <c r="C179" s="3240" t="s">
        <v>7329</v>
      </c>
      <c r="D179" s="3243" t="s">
        <v>7163</v>
      </c>
      <c r="E179" s="3240" t="s">
        <v>23</v>
      </c>
      <c r="F179" s="3481">
        <f>SUM(F180)</f>
        <v>1</v>
      </c>
      <c r="G179" s="3476"/>
      <c r="H179" s="3942">
        <f>ROUND(F179*G179,2)</f>
        <v>0</v>
      </c>
      <c r="I179" s="3239" t="s">
        <v>60</v>
      </c>
      <c r="J179" s="2472"/>
      <c r="S179" s="2474"/>
    </row>
    <row r="180" spans="1:97" s="2466" customFormat="1" ht="13.5" customHeight="1">
      <c r="A180" s="3246"/>
      <c r="B180" s="3247"/>
      <c r="C180" s="3247"/>
      <c r="D180" s="3244" t="s">
        <v>10123</v>
      </c>
      <c r="E180" s="3247"/>
      <c r="F180" s="3245">
        <v>1</v>
      </c>
      <c r="G180" s="3248"/>
      <c r="H180" s="4196"/>
      <c r="I180" s="3248"/>
      <c r="J180" s="2472"/>
      <c r="K180" s="2475"/>
      <c r="L180" s="2475"/>
    </row>
    <row r="181" spans="1:97" s="2473" customFormat="1" ht="13.5" customHeight="1">
      <c r="A181" s="3242">
        <v>49</v>
      </c>
      <c r="B181" s="3240">
        <v>741</v>
      </c>
      <c r="C181" s="3240" t="s">
        <v>7393</v>
      </c>
      <c r="D181" s="3243" t="s">
        <v>7166</v>
      </c>
      <c r="E181" s="3240" t="s">
        <v>23</v>
      </c>
      <c r="F181" s="3249">
        <v>3</v>
      </c>
      <c r="G181" s="3476"/>
      <c r="H181" s="3942">
        <f>ROUND(F181*G181,2)</f>
        <v>0</v>
      </c>
      <c r="I181" s="3239" t="s">
        <v>60</v>
      </c>
      <c r="J181" s="2472"/>
      <c r="S181" s="2474"/>
    </row>
    <row r="182" spans="1:97" s="1494" customFormat="1" ht="13.5" customHeight="1">
      <c r="A182" s="3237">
        <v>50</v>
      </c>
      <c r="B182" s="3250">
        <v>741</v>
      </c>
      <c r="C182" s="3463" t="s">
        <v>7339</v>
      </c>
      <c r="D182" s="3251" t="s">
        <v>7167</v>
      </c>
      <c r="E182" s="3251" t="s">
        <v>23</v>
      </c>
      <c r="F182" s="3080">
        <f>ROUND(SUM(F184),3)</f>
        <v>1</v>
      </c>
      <c r="G182" s="3082"/>
      <c r="H182" s="3942">
        <f>ROUND(F182*G182,2)</f>
        <v>0</v>
      </c>
      <c r="I182" s="3465" t="s">
        <v>60</v>
      </c>
      <c r="J182" s="2460"/>
      <c r="K182" s="2461"/>
      <c r="L182" s="3473"/>
      <c r="M182" s="3473"/>
      <c r="N182" s="3473"/>
      <c r="O182" s="3473"/>
      <c r="P182" s="3473"/>
      <c r="Q182" s="2463"/>
      <c r="R182" s="3473"/>
      <c r="S182" s="3473"/>
      <c r="T182" s="3473"/>
      <c r="U182" s="3499"/>
      <c r="V182" s="3473"/>
      <c r="W182" s="3473"/>
      <c r="X182" s="3473"/>
      <c r="Y182" s="3473"/>
      <c r="Z182" s="3473"/>
      <c r="AA182" s="3473"/>
      <c r="AB182" s="3473"/>
      <c r="AC182" s="3473"/>
      <c r="AD182" s="3473"/>
      <c r="AE182" s="3473"/>
      <c r="AF182" s="3473"/>
      <c r="AG182" s="3473"/>
    </row>
    <row r="183" spans="1:97" s="1494" customFormat="1" ht="27" customHeight="1">
      <c r="A183" s="3237"/>
      <c r="B183" s="3250"/>
      <c r="C183" s="3251"/>
      <c r="D183" s="3474" t="s">
        <v>7168</v>
      </c>
      <c r="E183" s="3464"/>
      <c r="F183" s="3475"/>
      <c r="G183" s="3500"/>
      <c r="H183" s="4119"/>
      <c r="I183" s="3465"/>
      <c r="J183" s="2460"/>
      <c r="K183" s="2461"/>
      <c r="Q183" s="2463"/>
    </row>
    <row r="184" spans="1:97" s="1487" customFormat="1" ht="13.5" customHeight="1">
      <c r="A184" s="3237"/>
      <c r="B184" s="3251"/>
      <c r="C184" s="3251"/>
      <c r="D184" s="3287" t="s">
        <v>7381</v>
      </c>
      <c r="E184" s="3501"/>
      <c r="F184" s="3475">
        <v>1</v>
      </c>
      <c r="G184" s="3500"/>
      <c r="H184" s="4119"/>
      <c r="I184" s="3465"/>
      <c r="J184" s="2460"/>
      <c r="K184" s="2461"/>
      <c r="L184" s="1494"/>
      <c r="M184" s="1494"/>
      <c r="N184" s="1494"/>
      <c r="O184" s="1494"/>
      <c r="P184" s="1494"/>
      <c r="Q184" s="2463"/>
    </row>
    <row r="185" spans="1:97" s="1487" customFormat="1" ht="13.5" customHeight="1">
      <c r="A185" s="3237"/>
      <c r="B185" s="3251"/>
      <c r="C185" s="3251"/>
      <c r="D185" s="3514" t="s">
        <v>7169</v>
      </c>
      <c r="E185" s="3491"/>
      <c r="F185" s="3478"/>
      <c r="G185" s="3500"/>
      <c r="H185" s="4119"/>
      <c r="I185" s="3502"/>
      <c r="J185" s="2522"/>
    </row>
    <row r="186" spans="1:97" s="2560" customFormat="1" ht="81" customHeight="1">
      <c r="A186" s="3242"/>
      <c r="B186" s="3240"/>
      <c r="C186" s="3240"/>
      <c r="D186" s="3252" t="s">
        <v>10129</v>
      </c>
      <c r="E186" s="3240"/>
      <c r="F186" s="3253"/>
      <c r="G186" s="3238"/>
      <c r="H186" s="4098"/>
      <c r="I186" s="3502"/>
      <c r="J186" s="2522"/>
      <c r="K186" s="2563"/>
    </row>
    <row r="187" spans="1:97" s="3473" customFormat="1" ht="13.7" customHeight="1">
      <c r="A187" s="3237">
        <v>51</v>
      </c>
      <c r="B187" s="3250">
        <v>741</v>
      </c>
      <c r="C187" s="3463" t="s">
        <v>7340</v>
      </c>
      <c r="D187" s="3464" t="s">
        <v>7170</v>
      </c>
      <c r="E187" s="3464" t="s">
        <v>23</v>
      </c>
      <c r="F187" s="3080">
        <f>ROUND(SUM(F188),3)</f>
        <v>1</v>
      </c>
      <c r="G187" s="3283"/>
      <c r="H187" s="3942">
        <f>ROUND(F187*G187,2)</f>
        <v>0</v>
      </c>
      <c r="I187" s="3465" t="s">
        <v>60</v>
      </c>
    </row>
    <row r="188" spans="1:97" s="3473" customFormat="1" ht="13.7" customHeight="1">
      <c r="A188" s="3237"/>
      <c r="B188" s="3250"/>
      <c r="C188" s="3251"/>
      <c r="D188" s="3287" t="s">
        <v>7381</v>
      </c>
      <c r="E188" s="3501"/>
      <c r="F188" s="3475">
        <v>1</v>
      </c>
      <c r="G188" s="3500"/>
      <c r="H188" s="4119"/>
      <c r="I188" s="3462"/>
    </row>
    <row r="189" spans="1:97" s="3473" customFormat="1" ht="27" customHeight="1">
      <c r="A189" s="3237"/>
      <c r="B189" s="3250"/>
      <c r="C189" s="3251"/>
      <c r="D189" s="3503" t="s">
        <v>7171</v>
      </c>
      <c r="E189" s="3491"/>
      <c r="F189" s="3475"/>
      <c r="G189" s="3500"/>
      <c r="H189" s="4119"/>
      <c r="I189" s="3502"/>
      <c r="J189" s="3504"/>
    </row>
    <row r="190" spans="1:97" s="3508" customFormat="1" ht="13.5" customHeight="1">
      <c r="A190" s="3484">
        <v>52</v>
      </c>
      <c r="B190" s="3463">
        <v>741</v>
      </c>
      <c r="C190" s="3463">
        <v>998741201</v>
      </c>
      <c r="D190" s="3463" t="s">
        <v>7172</v>
      </c>
      <c r="E190" s="3463" t="s">
        <v>8</v>
      </c>
      <c r="F190" s="3505">
        <v>0.7</v>
      </c>
      <c r="G190" s="3468"/>
      <c r="H190" s="3942">
        <f>ROUND(F190*G190,2)</f>
        <v>0</v>
      </c>
      <c r="I190" s="3465" t="s">
        <v>863</v>
      </c>
      <c r="J190" s="3506"/>
      <c r="K190" s="3507"/>
      <c r="L190" s="3286"/>
      <c r="M190" s="3470"/>
      <c r="N190" s="3286"/>
      <c r="O190" s="3286"/>
      <c r="P190" s="3286"/>
      <c r="Q190" s="3286"/>
      <c r="R190" s="3286"/>
      <c r="S190" s="3286"/>
      <c r="T190" s="3286"/>
      <c r="U190" s="3286"/>
      <c r="V190" s="3286"/>
      <c r="W190" s="3286"/>
      <c r="X190" s="3286"/>
      <c r="Y190" s="3286"/>
      <c r="Z190" s="3286"/>
      <c r="AA190" s="3286"/>
      <c r="AB190" s="3286"/>
      <c r="AC190" s="3286"/>
      <c r="AD190" s="3286"/>
      <c r="AE190" s="3286"/>
      <c r="AF190" s="3286"/>
      <c r="AG190" s="3286"/>
      <c r="AH190" s="3286"/>
      <c r="AI190" s="3286"/>
      <c r="AJ190" s="3286"/>
      <c r="AK190" s="3286"/>
      <c r="AL190" s="3286"/>
      <c r="AM190" s="3286"/>
      <c r="AN190" s="3286"/>
      <c r="AO190" s="3286"/>
      <c r="AP190" s="3286"/>
      <c r="AQ190" s="3286"/>
      <c r="AR190" s="3286"/>
      <c r="AS190" s="3286"/>
      <c r="AT190" s="3286"/>
      <c r="AU190" s="3286"/>
      <c r="AV190" s="3286"/>
      <c r="AW190" s="3286"/>
      <c r="AX190" s="3286"/>
      <c r="AY190" s="3286"/>
      <c r="AZ190" s="3286"/>
      <c r="BA190" s="3286"/>
      <c r="BB190" s="3286"/>
      <c r="BC190" s="3286"/>
      <c r="BD190" s="3286"/>
      <c r="BE190" s="3286"/>
      <c r="BF190" s="3286"/>
      <c r="BG190" s="3286"/>
      <c r="BH190" s="3286"/>
      <c r="BI190" s="3286"/>
      <c r="BJ190" s="3286"/>
      <c r="BK190" s="3286"/>
      <c r="BL190" s="3286"/>
      <c r="BM190" s="3286"/>
      <c r="BN190" s="3286"/>
      <c r="BO190" s="3286"/>
      <c r="BP190" s="3286"/>
      <c r="BQ190" s="3286"/>
      <c r="BR190" s="3286"/>
      <c r="BS190" s="3286"/>
      <c r="BT190" s="3286"/>
      <c r="BU190" s="3286"/>
      <c r="BV190" s="3286"/>
      <c r="BW190" s="3286"/>
      <c r="BX190" s="3286"/>
      <c r="BY190" s="3286"/>
      <c r="BZ190" s="3286"/>
      <c r="CA190" s="3286"/>
      <c r="CB190" s="3286"/>
      <c r="CC190" s="3286"/>
      <c r="CD190" s="3286"/>
      <c r="CE190" s="3286"/>
      <c r="CF190" s="3286"/>
      <c r="CG190" s="3286"/>
      <c r="CH190" s="3286"/>
      <c r="CI190" s="3286"/>
      <c r="CJ190" s="3286"/>
      <c r="CK190" s="3286"/>
      <c r="CL190" s="3286"/>
      <c r="CM190" s="3286"/>
      <c r="CN190" s="3286"/>
      <c r="CO190" s="3286"/>
      <c r="CP190" s="3286"/>
      <c r="CQ190" s="3286"/>
      <c r="CR190" s="3286"/>
      <c r="CS190" s="3286"/>
    </row>
    <row r="191" spans="1:97" s="3498" customFormat="1" ht="13.5" customHeight="1">
      <c r="A191" s="3484">
        <v>53</v>
      </c>
      <c r="B191" s="3463" t="s">
        <v>188</v>
      </c>
      <c r="C191" s="3463" t="s">
        <v>189</v>
      </c>
      <c r="D191" s="3463" t="s">
        <v>190</v>
      </c>
      <c r="E191" s="3463" t="s">
        <v>191</v>
      </c>
      <c r="F191" s="3080">
        <f>ROUND(SUM(F192),3)</f>
        <v>10</v>
      </c>
      <c r="G191" s="3468"/>
      <c r="H191" s="3942">
        <f>ROUND(F191*G191,2)</f>
        <v>0</v>
      </c>
      <c r="I191" s="3465" t="s">
        <v>863</v>
      </c>
      <c r="J191" s="3495"/>
      <c r="K191" s="3410"/>
      <c r="L191" s="3410"/>
      <c r="M191" s="3509"/>
      <c r="N191" s="3410"/>
      <c r="O191" s="3410"/>
      <c r="P191" s="3410"/>
      <c r="Q191" s="3410"/>
      <c r="R191" s="3410"/>
      <c r="S191" s="3410"/>
      <c r="T191" s="3410"/>
      <c r="U191" s="3410"/>
      <c r="V191" s="3410"/>
      <c r="W191" s="3410"/>
      <c r="X191" s="3410"/>
      <c r="Y191" s="3410"/>
      <c r="Z191" s="3410"/>
      <c r="AA191" s="3410"/>
      <c r="AB191" s="3410"/>
      <c r="AC191" s="3410"/>
      <c r="AD191" s="3410"/>
      <c r="AE191" s="3410"/>
      <c r="AF191" s="3410"/>
      <c r="AG191" s="3410"/>
      <c r="AH191" s="3410"/>
      <c r="AI191" s="3410"/>
      <c r="AJ191" s="3410"/>
      <c r="AK191" s="3410"/>
      <c r="AL191" s="3410"/>
      <c r="AM191" s="3410"/>
      <c r="AN191" s="3410"/>
      <c r="AO191" s="3410"/>
      <c r="AP191" s="3410"/>
      <c r="AQ191" s="3410"/>
      <c r="AR191" s="3410"/>
      <c r="AS191" s="3410"/>
      <c r="AT191" s="3410"/>
      <c r="AU191" s="3410"/>
      <c r="AV191" s="3410"/>
      <c r="AW191" s="3410"/>
      <c r="AX191" s="3410"/>
      <c r="AY191" s="3410"/>
      <c r="AZ191" s="3410"/>
      <c r="BA191" s="3410"/>
      <c r="BB191" s="3410"/>
      <c r="BC191" s="3410"/>
      <c r="BD191" s="3410"/>
      <c r="BE191" s="3410"/>
      <c r="BF191" s="3410"/>
      <c r="BG191" s="3410"/>
      <c r="BH191" s="3410"/>
      <c r="BI191" s="3410"/>
      <c r="BJ191" s="3410"/>
      <c r="BK191" s="3410"/>
      <c r="BL191" s="3410"/>
      <c r="BM191" s="3410"/>
      <c r="BN191" s="3410"/>
      <c r="BO191" s="3410"/>
      <c r="BP191" s="3410"/>
      <c r="BQ191" s="3410"/>
      <c r="BR191" s="3410"/>
      <c r="BS191" s="3410"/>
      <c r="BT191" s="3410"/>
      <c r="BU191" s="3410"/>
      <c r="BV191" s="3410"/>
      <c r="BW191" s="3410"/>
      <c r="BX191" s="3410"/>
      <c r="BY191" s="3410"/>
      <c r="BZ191" s="3410"/>
      <c r="CA191" s="3410"/>
      <c r="CB191" s="3410"/>
      <c r="CC191" s="3410"/>
      <c r="CD191" s="3410"/>
      <c r="CE191" s="3410"/>
      <c r="CF191" s="3410"/>
      <c r="CG191" s="3410"/>
      <c r="CH191" s="3410"/>
      <c r="CI191" s="3410"/>
      <c r="CJ191" s="3410"/>
      <c r="CK191" s="3410"/>
      <c r="CL191" s="3410"/>
      <c r="CM191" s="3410"/>
      <c r="CN191" s="3410"/>
      <c r="CO191" s="3410"/>
      <c r="CP191" s="3410"/>
      <c r="CQ191" s="3410"/>
      <c r="CR191" s="3410"/>
      <c r="CS191" s="3410"/>
    </row>
    <row r="192" spans="1:97" s="3498" customFormat="1" ht="13.5" customHeight="1">
      <c r="A192" s="3484"/>
      <c r="B192" s="3463"/>
      <c r="C192" s="3463"/>
      <c r="D192" s="3474" t="s">
        <v>7173</v>
      </c>
      <c r="E192" s="3463"/>
      <c r="F192" s="3475">
        <v>10</v>
      </c>
      <c r="G192" s="3468"/>
      <c r="H192" s="4119"/>
      <c r="I192" s="3465"/>
      <c r="J192" s="3410"/>
      <c r="K192" s="3410"/>
      <c r="L192" s="3410"/>
      <c r="M192" s="3509"/>
      <c r="N192" s="3410"/>
      <c r="O192" s="3410"/>
      <c r="P192" s="3410"/>
      <c r="Q192" s="3410"/>
      <c r="R192" s="3410"/>
      <c r="S192" s="3410"/>
      <c r="T192" s="3410"/>
      <c r="U192" s="3410"/>
      <c r="V192" s="3410"/>
      <c r="W192" s="3410"/>
      <c r="X192" s="3410"/>
      <c r="Y192" s="3410"/>
      <c r="Z192" s="3410"/>
      <c r="AA192" s="3410"/>
      <c r="AB192" s="3410"/>
      <c r="AC192" s="3410"/>
      <c r="AD192" s="3410"/>
      <c r="AE192" s="3410"/>
      <c r="AF192" s="3410"/>
      <c r="AG192" s="3410"/>
      <c r="AH192" s="3410"/>
      <c r="AI192" s="3410"/>
      <c r="AJ192" s="3410"/>
      <c r="AK192" s="3410"/>
      <c r="AL192" s="3410"/>
      <c r="AM192" s="3410"/>
      <c r="AN192" s="3410"/>
      <c r="AO192" s="3410"/>
      <c r="AP192" s="3410"/>
      <c r="AQ192" s="3410"/>
      <c r="AR192" s="3410"/>
      <c r="AS192" s="3410"/>
      <c r="AT192" s="3410"/>
      <c r="AU192" s="3410"/>
      <c r="AV192" s="3410"/>
      <c r="AW192" s="3410"/>
      <c r="AX192" s="3410"/>
      <c r="AY192" s="3410"/>
      <c r="AZ192" s="3410"/>
      <c r="BA192" s="3410"/>
      <c r="BB192" s="3410"/>
      <c r="BC192" s="3410"/>
      <c r="BD192" s="3410"/>
      <c r="BE192" s="3410"/>
      <c r="BF192" s="3410"/>
      <c r="BG192" s="3410"/>
      <c r="BH192" s="3410"/>
      <c r="BI192" s="3410"/>
      <c r="BJ192" s="3410"/>
      <c r="BK192" s="3410"/>
      <c r="BL192" s="3410"/>
      <c r="BM192" s="3410"/>
      <c r="BN192" s="3410"/>
      <c r="BO192" s="3410"/>
      <c r="BP192" s="3410"/>
      <c r="BQ192" s="3410"/>
      <c r="BR192" s="3410"/>
      <c r="BS192" s="3410"/>
      <c r="BT192" s="3410"/>
      <c r="BU192" s="3410"/>
      <c r="BV192" s="3410"/>
      <c r="BW192" s="3410"/>
      <c r="BX192" s="3410"/>
      <c r="BY192" s="3410"/>
      <c r="BZ192" s="3410"/>
      <c r="CA192" s="3410"/>
      <c r="CB192" s="3410"/>
      <c r="CC192" s="3410"/>
      <c r="CD192" s="3410"/>
      <c r="CE192" s="3410"/>
      <c r="CF192" s="3410"/>
      <c r="CG192" s="3410"/>
      <c r="CH192" s="3410"/>
      <c r="CI192" s="3410"/>
      <c r="CJ192" s="3410"/>
      <c r="CK192" s="3410"/>
      <c r="CL192" s="3410"/>
      <c r="CM192" s="3410"/>
      <c r="CN192" s="3410"/>
      <c r="CO192" s="3410"/>
      <c r="CP192" s="3410"/>
      <c r="CQ192" s="3410"/>
      <c r="CR192" s="3410"/>
      <c r="CS192" s="3410"/>
    </row>
    <row r="193" spans="1:97" s="3498" customFormat="1" ht="27" customHeight="1">
      <c r="A193" s="3484"/>
      <c r="B193" s="3463"/>
      <c r="C193" s="3463"/>
      <c r="D193" s="3474" t="s">
        <v>7174</v>
      </c>
      <c r="E193" s="3463"/>
      <c r="F193" s="3505"/>
      <c r="G193" s="3468"/>
      <c r="H193" s="4119"/>
      <c r="I193" s="3465"/>
      <c r="J193" s="3410"/>
      <c r="K193" s="3410"/>
      <c r="L193" s="3410"/>
      <c r="M193" s="3509"/>
      <c r="N193" s="3509"/>
      <c r="O193" s="3410"/>
      <c r="P193" s="3410"/>
      <c r="Q193" s="3410"/>
      <c r="R193" s="3410"/>
      <c r="S193" s="3410"/>
      <c r="T193" s="3410"/>
      <c r="U193" s="3410"/>
      <c r="V193" s="3410"/>
      <c r="W193" s="3410"/>
      <c r="X193" s="3410"/>
      <c r="Y193" s="3410"/>
      <c r="Z193" s="3410"/>
      <c r="AA193" s="3410"/>
      <c r="AB193" s="3410"/>
      <c r="AC193" s="3410"/>
      <c r="AD193" s="3410"/>
      <c r="AE193" s="3410"/>
      <c r="AF193" s="3410"/>
      <c r="AG193" s="3410"/>
      <c r="AH193" s="3410"/>
      <c r="AI193" s="3410"/>
      <c r="AJ193" s="3410"/>
      <c r="AK193" s="3410"/>
      <c r="AL193" s="3410"/>
      <c r="AM193" s="3410"/>
      <c r="AN193" s="3410"/>
      <c r="AO193" s="3410"/>
      <c r="AP193" s="3410"/>
      <c r="AQ193" s="3410"/>
      <c r="AR193" s="3410"/>
      <c r="AS193" s="3410"/>
      <c r="AT193" s="3410"/>
      <c r="AU193" s="3410"/>
      <c r="AV193" s="3410"/>
      <c r="AW193" s="3410"/>
      <c r="AX193" s="3410"/>
      <c r="AY193" s="3410"/>
      <c r="AZ193" s="3410"/>
      <c r="BA193" s="3410"/>
      <c r="BB193" s="3410"/>
      <c r="BC193" s="3410"/>
      <c r="BD193" s="3410"/>
      <c r="BE193" s="3410"/>
      <c r="BF193" s="3410"/>
      <c r="BG193" s="3410"/>
      <c r="BH193" s="3410"/>
      <c r="BI193" s="3410"/>
      <c r="BJ193" s="3410"/>
      <c r="BK193" s="3410"/>
      <c r="BL193" s="3410"/>
      <c r="BM193" s="3410"/>
      <c r="BN193" s="3410"/>
      <c r="BO193" s="3410"/>
      <c r="BP193" s="3410"/>
      <c r="BQ193" s="3410"/>
      <c r="BR193" s="3410"/>
      <c r="BS193" s="3410"/>
      <c r="BT193" s="3410"/>
      <c r="BU193" s="3410"/>
      <c r="BV193" s="3410"/>
      <c r="BW193" s="3410"/>
      <c r="BX193" s="3410"/>
      <c r="BY193" s="3410"/>
      <c r="BZ193" s="3410"/>
      <c r="CA193" s="3410"/>
      <c r="CB193" s="3410"/>
      <c r="CC193" s="3410"/>
      <c r="CD193" s="3410"/>
      <c r="CE193" s="3410"/>
      <c r="CF193" s="3410"/>
      <c r="CG193" s="3410"/>
      <c r="CH193" s="3410"/>
      <c r="CI193" s="3410"/>
      <c r="CJ193" s="3410"/>
      <c r="CK193" s="3410"/>
      <c r="CL193" s="3410"/>
      <c r="CM193" s="3410"/>
      <c r="CN193" s="3410"/>
      <c r="CO193" s="3410"/>
      <c r="CP193" s="3410"/>
      <c r="CQ193" s="3410"/>
      <c r="CR193" s="3410"/>
      <c r="CS193" s="3410"/>
    </row>
    <row r="194" spans="1:97" ht="13.5" customHeight="1">
      <c r="A194" s="3254"/>
      <c r="B194" s="3233"/>
      <c r="C194" s="3233">
        <v>790</v>
      </c>
      <c r="D194" s="3233" t="s">
        <v>7175</v>
      </c>
      <c r="E194" s="3233"/>
      <c r="F194" s="3234"/>
      <c r="G194" s="3255"/>
      <c r="H194" s="4197">
        <f>SUM(H195:H205)</f>
        <v>0</v>
      </c>
      <c r="I194" s="3256"/>
      <c r="J194" s="2476"/>
      <c r="K194" s="2477"/>
      <c r="L194" s="2477"/>
      <c r="M194" s="595"/>
    </row>
    <row r="195" spans="1:97" s="2479" customFormat="1" ht="13.5" customHeight="1">
      <c r="A195" s="3257">
        <v>54</v>
      </c>
      <c r="B195" s="3258">
        <v>790</v>
      </c>
      <c r="C195" s="3259" t="s">
        <v>7176</v>
      </c>
      <c r="D195" s="3258" t="s">
        <v>7385</v>
      </c>
      <c r="E195" s="3258" t="s">
        <v>155</v>
      </c>
      <c r="F195" s="3080">
        <f>ROUND(SUM(F196),3)</f>
        <v>4</v>
      </c>
      <c r="G195" s="3260"/>
      <c r="H195" s="3942">
        <f>ROUND(F195*G195,2)</f>
        <v>0</v>
      </c>
      <c r="I195" s="3256" t="s">
        <v>60</v>
      </c>
      <c r="J195" s="2478"/>
    </row>
    <row r="196" spans="1:97" s="595" customFormat="1" ht="13.5" customHeight="1">
      <c r="A196" s="3261"/>
      <c r="B196" s="3262"/>
      <c r="C196" s="3262"/>
      <c r="D196" s="3093" t="s">
        <v>7386</v>
      </c>
      <c r="E196" s="3262"/>
      <c r="F196" s="3226">
        <v>4</v>
      </c>
      <c r="G196" s="3263"/>
      <c r="H196" s="4198"/>
      <c r="I196" s="3236"/>
      <c r="J196" s="337"/>
      <c r="O196" s="2480"/>
      <c r="R196" s="2524"/>
    </row>
    <row r="197" spans="1:97" s="595" customFormat="1" ht="27" customHeight="1">
      <c r="A197" s="3261"/>
      <c r="B197" s="3262"/>
      <c r="C197" s="3262"/>
      <c r="D197" s="3093" t="s">
        <v>7387</v>
      </c>
      <c r="E197" s="3262"/>
      <c r="F197" s="3226"/>
      <c r="G197" s="3263"/>
      <c r="H197" s="4198"/>
      <c r="I197" s="3236"/>
      <c r="R197" s="2524"/>
    </row>
    <row r="198" spans="1:97" s="2479" customFormat="1" ht="13.5" customHeight="1">
      <c r="A198" s="3257">
        <v>55</v>
      </c>
      <c r="B198" s="3258">
        <v>790</v>
      </c>
      <c r="C198" s="3259" t="s">
        <v>7180</v>
      </c>
      <c r="D198" s="3258" t="s">
        <v>7388</v>
      </c>
      <c r="E198" s="3258" t="s">
        <v>23</v>
      </c>
      <c r="F198" s="3080">
        <f>ROUND(SUM(F200),3)</f>
        <v>1</v>
      </c>
      <c r="G198" s="3260"/>
      <c r="H198" s="3942">
        <f>ROUND(F198*G198,2)</f>
        <v>0</v>
      </c>
      <c r="I198" s="3256" t="s">
        <v>60</v>
      </c>
      <c r="J198" s="2478"/>
      <c r="M198" s="2481"/>
      <c r="R198" s="2523"/>
    </row>
    <row r="199" spans="1:97" s="595" customFormat="1" ht="13.5" customHeight="1">
      <c r="A199" s="3261"/>
      <c r="B199" s="3262"/>
      <c r="C199" s="3262"/>
      <c r="D199" s="3093" t="s">
        <v>7389</v>
      </c>
      <c r="E199" s="3262"/>
      <c r="F199" s="3264"/>
      <c r="G199" s="3263"/>
      <c r="H199" s="4198"/>
      <c r="I199" s="3265"/>
      <c r="J199" s="337"/>
      <c r="M199" s="2482"/>
      <c r="O199" s="2480"/>
    </row>
    <row r="200" spans="1:97" s="595" customFormat="1" ht="13.5" customHeight="1">
      <c r="A200" s="3261"/>
      <c r="B200" s="3262"/>
      <c r="C200" s="3262"/>
      <c r="D200" s="3093" t="s">
        <v>7390</v>
      </c>
      <c r="E200" s="3262"/>
      <c r="F200" s="3226">
        <v>1</v>
      </c>
      <c r="G200" s="3263"/>
      <c r="H200" s="4198"/>
      <c r="I200" s="3265"/>
      <c r="J200" s="1224"/>
      <c r="O200" s="2480"/>
    </row>
    <row r="201" spans="1:97" s="595" customFormat="1" ht="27" customHeight="1">
      <c r="A201" s="3261"/>
      <c r="B201" s="3262"/>
      <c r="C201" s="3262"/>
      <c r="D201" s="3093" t="s">
        <v>7391</v>
      </c>
      <c r="E201" s="3262"/>
      <c r="F201" s="3226"/>
      <c r="G201" s="3263"/>
      <c r="H201" s="4198"/>
      <c r="I201" s="3265"/>
      <c r="J201" s="1224"/>
      <c r="L201" s="1224"/>
    </row>
    <row r="202" spans="1:97" s="3268" customFormat="1" ht="13.5" customHeight="1">
      <c r="A202" s="3257">
        <v>56</v>
      </c>
      <c r="B202" s="3259" t="s">
        <v>3028</v>
      </c>
      <c r="C202" s="3259" t="s">
        <v>7186</v>
      </c>
      <c r="D202" s="3259" t="s">
        <v>7187</v>
      </c>
      <c r="E202" s="3259" t="s">
        <v>8</v>
      </c>
      <c r="F202" s="3266">
        <v>1.05</v>
      </c>
      <c r="G202" s="3260"/>
      <c r="H202" s="3942">
        <f>ROUND(F202*G202,2)</f>
        <v>0</v>
      </c>
      <c r="I202" s="3256" t="s">
        <v>60</v>
      </c>
      <c r="J202" s="2525"/>
      <c r="K202" s="2483"/>
      <c r="L202" s="2484"/>
      <c r="M202" s="3267"/>
      <c r="N202" s="3267"/>
      <c r="O202" s="3267"/>
      <c r="P202" s="3267"/>
      <c r="Q202" s="3267"/>
      <c r="R202" s="3267"/>
      <c r="S202" s="3267"/>
      <c r="T202" s="3267"/>
      <c r="U202" s="3267"/>
    </row>
    <row r="203" spans="1:97" s="3268" customFormat="1" ht="13.5" customHeight="1">
      <c r="A203" s="3257">
        <v>57</v>
      </c>
      <c r="B203" s="3259" t="s">
        <v>188</v>
      </c>
      <c r="C203" s="3259" t="s">
        <v>3076</v>
      </c>
      <c r="D203" s="3259" t="s">
        <v>3077</v>
      </c>
      <c r="E203" s="3259" t="s">
        <v>191</v>
      </c>
      <c r="F203" s="3080">
        <f>ROUND(SUM(F204),3)</f>
        <v>15</v>
      </c>
      <c r="G203" s="3260"/>
      <c r="H203" s="3942">
        <f>ROUND(F203*G203,2)</f>
        <v>0</v>
      </c>
      <c r="I203" s="3256" t="s">
        <v>863</v>
      </c>
      <c r="J203" s="1224"/>
      <c r="K203" s="2485"/>
      <c r="L203" s="2485"/>
    </row>
    <row r="204" spans="1:97" s="595" customFormat="1" ht="13.5" customHeight="1">
      <c r="A204" s="3269"/>
      <c r="B204" s="3270"/>
      <c r="C204" s="3270"/>
      <c r="D204" s="3271" t="s">
        <v>7188</v>
      </c>
      <c r="E204" s="3270"/>
      <c r="F204" s="3272">
        <v>15</v>
      </c>
      <c r="G204" s="3088"/>
      <c r="H204" s="4200"/>
      <c r="I204" s="3273"/>
      <c r="J204" s="2486"/>
      <c r="K204" s="2485"/>
      <c r="L204" s="2485"/>
    </row>
    <row r="205" spans="1:97" s="595" customFormat="1" ht="13.5" customHeight="1">
      <c r="A205" s="3269"/>
      <c r="B205" s="3270"/>
      <c r="C205" s="3270"/>
      <c r="D205" s="3271" t="s">
        <v>2821</v>
      </c>
      <c r="E205" s="3270"/>
      <c r="F205" s="3274"/>
      <c r="G205" s="3088"/>
      <c r="H205" s="4200"/>
      <c r="I205" s="3273"/>
      <c r="J205" s="2487"/>
      <c r="K205" s="2485"/>
      <c r="L205" s="2485"/>
    </row>
    <row r="206" spans="1:97" s="460" customFormat="1" ht="21" customHeight="1">
      <c r="A206" s="1661"/>
      <c r="B206" s="1662"/>
      <c r="C206" s="1662"/>
      <c r="D206" s="1662" t="s">
        <v>0</v>
      </c>
      <c r="E206" s="1662"/>
      <c r="F206" s="1663"/>
      <c r="G206" s="1664"/>
      <c r="H206" s="1664">
        <f>H97+H9</f>
        <v>0</v>
      </c>
      <c r="J206" s="1674"/>
    </row>
    <row r="207" spans="1:97" s="3275" customFormat="1" ht="12" customHeight="1">
      <c r="A207" s="1665"/>
      <c r="B207" s="1666"/>
      <c r="C207" s="1666"/>
      <c r="D207" s="1666"/>
      <c r="E207" s="1666"/>
      <c r="F207" s="1667"/>
      <c r="G207" s="1668"/>
      <c r="H207" s="1668"/>
    </row>
    <row r="208" spans="1:97" s="460" customFormat="1" ht="13.5" customHeight="1">
      <c r="A208" s="5755" t="s">
        <v>99</v>
      </c>
      <c r="B208" s="5756"/>
      <c r="C208" s="5757"/>
      <c r="D208" s="1670" t="s">
        <v>10529</v>
      </c>
      <c r="E208" s="1671"/>
      <c r="F208" s="1672"/>
      <c r="G208" s="1673"/>
      <c r="H208" s="4158">
        <f>H206</f>
        <v>0</v>
      </c>
      <c r="K208" s="1674"/>
    </row>
    <row r="209" spans="1:9" s="460" customFormat="1" ht="13.5" customHeight="1">
      <c r="A209" s="1675"/>
      <c r="B209" s="1676"/>
      <c r="C209" s="1676"/>
      <c r="D209" s="1677"/>
      <c r="E209" s="1678"/>
      <c r="F209" s="1679"/>
      <c r="G209" s="1680"/>
      <c r="H209" s="1681"/>
    </row>
    <row r="210" spans="1:9" s="459" customFormat="1" ht="13.5" customHeight="1">
      <c r="A210" s="5650" t="s">
        <v>1</v>
      </c>
      <c r="B210" s="5752"/>
      <c r="C210" s="5752"/>
      <c r="D210" s="5752"/>
      <c r="E210" s="5752"/>
      <c r="F210" s="5752"/>
      <c r="G210" s="5752"/>
      <c r="H210" s="318"/>
      <c r="I210" s="318"/>
    </row>
    <row r="211" spans="1:9" s="460" customFormat="1" ht="27" customHeight="1">
      <c r="A211" s="5650" t="s">
        <v>308</v>
      </c>
      <c r="B211" s="5758"/>
      <c r="C211" s="5758"/>
      <c r="D211" s="5758"/>
      <c r="E211" s="5758"/>
      <c r="F211" s="5758"/>
      <c r="G211" s="5758"/>
      <c r="H211" s="48"/>
    </row>
    <row r="212" spans="1:9" s="48" customFormat="1" ht="102.75" customHeight="1">
      <c r="A212" s="5650" t="s">
        <v>26</v>
      </c>
      <c r="B212" s="5759"/>
      <c r="C212" s="5759"/>
      <c r="D212" s="5759"/>
      <c r="E212" s="5759"/>
      <c r="F212" s="5759"/>
      <c r="G212" s="5759"/>
    </row>
    <row r="213" spans="1:9" s="459" customFormat="1" ht="13.5" customHeight="1">
      <c r="A213" s="5650" t="s">
        <v>27</v>
      </c>
      <c r="B213" s="5752"/>
      <c r="C213" s="5752"/>
      <c r="D213" s="5752"/>
      <c r="E213" s="5752"/>
      <c r="F213" s="5752"/>
      <c r="G213" s="5752"/>
      <c r="H213" s="318"/>
      <c r="I213" s="318"/>
    </row>
    <row r="214" spans="1:9" s="459" customFormat="1" ht="13.5" customHeight="1">
      <c r="A214" s="5650" t="s">
        <v>28</v>
      </c>
      <c r="B214" s="5752"/>
      <c r="C214" s="5752"/>
      <c r="D214" s="5752"/>
      <c r="E214" s="5752"/>
      <c r="F214" s="5752"/>
      <c r="G214" s="5752"/>
      <c r="H214" s="318"/>
      <c r="I214" s="318"/>
    </row>
    <row r="215" spans="1:9" s="3276" customFormat="1" ht="40.5" customHeight="1">
      <c r="A215" s="5652" t="s">
        <v>61</v>
      </c>
      <c r="B215" s="5652"/>
      <c r="C215" s="5652"/>
      <c r="D215" s="5652"/>
      <c r="E215" s="5652"/>
      <c r="F215" s="5652"/>
      <c r="G215" s="5652"/>
      <c r="I215" s="3510"/>
    </row>
  </sheetData>
  <mergeCells count="11">
    <mergeCell ref="A213:G213"/>
    <mergeCell ref="A214:G214"/>
    <mergeCell ref="A215:G215"/>
    <mergeCell ref="A2:I2"/>
    <mergeCell ref="A3:D3"/>
    <mergeCell ref="J117:N117"/>
    <mergeCell ref="A208:C208"/>
    <mergeCell ref="A210:G210"/>
    <mergeCell ref="A211:G211"/>
    <mergeCell ref="A212:G212"/>
    <mergeCell ref="G168:H168"/>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18" t="s">
        <v>112</v>
      </c>
      <c r="B2" s="5730"/>
      <c r="C2" s="5730"/>
      <c r="D2" s="5730"/>
      <c r="E2" s="5730"/>
      <c r="F2" s="5730"/>
      <c r="G2" s="5730"/>
      <c r="H2" s="5730"/>
      <c r="I2" s="5730"/>
      <c r="J2" s="320"/>
    </row>
    <row r="3" spans="1:256" s="1015" customFormat="1" ht="13.5" customHeight="1">
      <c r="A3" s="5734" t="s">
        <v>125</v>
      </c>
      <c r="B3" s="5768"/>
      <c r="C3" s="5768"/>
      <c r="D3" s="5768"/>
      <c r="E3" s="1010"/>
      <c r="F3" s="1011"/>
      <c r="G3" s="1011"/>
      <c r="H3" s="1012"/>
      <c r="I3" s="1013"/>
      <c r="J3" s="1014"/>
      <c r="K3" s="1009"/>
      <c r="M3" s="1016"/>
    </row>
    <row r="4" spans="1:256" s="1015" customFormat="1" ht="13.5" customHeight="1">
      <c r="A4" s="5743" t="s">
        <v>2335</v>
      </c>
      <c r="B4" s="5768"/>
      <c r="C4" s="5768"/>
      <c r="D4" s="5768"/>
      <c r="E4" s="5743"/>
      <c r="F4" s="5768"/>
      <c r="G4" s="5768"/>
      <c r="H4" s="5768"/>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10501</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 t="shared" ref="H75:H77" si="1">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 t="shared" si="1"/>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 t="shared" si="1"/>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 t="shared" ref="H84:H85" si="2">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 t="shared" si="2"/>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3">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3"/>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3"/>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3"/>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3"/>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3"/>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4">(15.51)*1.1</f>
        <v>17.061</v>
      </c>
      <c r="G109" s="392"/>
      <c r="H109" s="4064">
        <f t="shared" ref="H109:H114" si="5">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4"/>
        <v>17.061</v>
      </c>
      <c r="G110" s="1266"/>
      <c r="H110" s="4064">
        <f t="shared" si="5"/>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4"/>
        <v>17.061</v>
      </c>
      <c r="G111" s="1266"/>
      <c r="H111" s="4064">
        <f t="shared" si="5"/>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4"/>
        <v>17.061</v>
      </c>
      <c r="G112" s="1266"/>
      <c r="H112" s="4064">
        <f t="shared" si="5"/>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4"/>
        <v>17.061</v>
      </c>
      <c r="G113" s="392"/>
      <c r="H113" s="4064">
        <f t="shared" si="5"/>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4"/>
        <v>17.061</v>
      </c>
      <c r="G114" s="392"/>
      <c r="H114" s="4064">
        <f t="shared" si="5"/>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6">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6"/>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6"/>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6"/>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6"/>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6"/>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6"/>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6"/>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 t="shared" ref="H183:H186" si="7">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 t="shared" si="7"/>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 t="shared" si="7"/>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 t="shared" si="7"/>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 t="shared" ref="H191:H194" si="8">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 t="shared" si="8"/>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 t="shared" si="8"/>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 t="shared" si="8"/>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 t="shared" ref="H199:H202" si="9">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 t="shared" si="9"/>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 t="shared" si="9"/>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 t="shared" si="9"/>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769" t="s">
        <v>99</v>
      </c>
      <c r="B213" s="5770"/>
      <c r="C213" s="5771"/>
      <c r="D213" s="1168" t="s">
        <v>10537</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650" t="s">
        <v>308</v>
      </c>
      <c r="B216" s="5772"/>
      <c r="C216" s="5772"/>
      <c r="D216" s="5772"/>
      <c r="E216" s="5772"/>
      <c r="F216" s="5772"/>
      <c r="G216" s="5772"/>
      <c r="H216" s="48"/>
    </row>
    <row r="217" spans="1:62" s="48" customFormat="1" ht="93.75" customHeight="1">
      <c r="A217" s="5650" t="s">
        <v>26</v>
      </c>
      <c r="B217" s="5759"/>
      <c r="C217" s="5759"/>
      <c r="D217" s="5759"/>
      <c r="E217" s="5759"/>
      <c r="F217" s="5759"/>
      <c r="G217" s="5759"/>
    </row>
    <row r="218" spans="1:62" s="1188" customFormat="1" ht="13.5" customHeight="1">
      <c r="A218" s="5650" t="s">
        <v>27</v>
      </c>
      <c r="B218" s="5767"/>
      <c r="C218" s="5767"/>
      <c r="D218" s="5767"/>
      <c r="E218" s="5767"/>
      <c r="F218" s="5767"/>
      <c r="G218" s="5767"/>
      <c r="H218" s="318"/>
      <c r="I218" s="318"/>
    </row>
    <row r="219" spans="1:62" s="1188" customFormat="1" ht="13.5" customHeight="1">
      <c r="A219" s="5650" t="s">
        <v>28</v>
      </c>
      <c r="B219" s="5767"/>
      <c r="C219" s="5767"/>
      <c r="D219" s="5767"/>
      <c r="E219" s="5767"/>
      <c r="F219" s="5767"/>
      <c r="G219" s="5767"/>
      <c r="H219" s="318"/>
      <c r="I219" s="318"/>
    </row>
    <row r="220" spans="1:62" ht="40.5" customHeight="1">
      <c r="A220" s="5652" t="s">
        <v>61</v>
      </c>
      <c r="B220" s="5652"/>
      <c r="C220" s="5652"/>
      <c r="D220" s="5652"/>
      <c r="E220" s="5652"/>
      <c r="F220" s="5652"/>
      <c r="G220" s="5652"/>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718" t="s">
        <v>112</v>
      </c>
      <c r="B2" s="5773"/>
      <c r="C2" s="5773"/>
      <c r="D2" s="5773"/>
      <c r="E2" s="5773"/>
      <c r="F2" s="5773"/>
      <c r="G2" s="5773"/>
      <c r="H2" s="5773"/>
      <c r="I2" s="5773"/>
      <c r="J2" s="320"/>
    </row>
    <row r="3" spans="1:13" s="660" customFormat="1" ht="13.5" customHeight="1">
      <c r="A3" s="5734" t="s">
        <v>125</v>
      </c>
      <c r="B3" s="5774"/>
      <c r="C3" s="5774"/>
      <c r="D3" s="5774"/>
      <c r="E3" s="78"/>
      <c r="F3" s="79"/>
      <c r="G3" s="79"/>
      <c r="H3" s="80"/>
      <c r="I3" s="658"/>
      <c r="J3" s="659"/>
      <c r="K3" s="81"/>
      <c r="M3" s="661"/>
    </row>
    <row r="4" spans="1:13" s="660" customFormat="1" ht="13.5" customHeight="1">
      <c r="A4" s="5743" t="s">
        <v>2232</v>
      </c>
      <c r="B4" s="5774"/>
      <c r="C4" s="5774"/>
      <c r="D4" s="5774"/>
      <c r="E4" s="5743"/>
      <c r="F4" s="5775"/>
      <c r="G4" s="5775"/>
      <c r="H4" s="5775"/>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10502</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 t="shared" ref="H70:H72" si="1">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 t="shared" si="1"/>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 t="shared" si="1"/>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 t="shared" ref="H79:H80" si="2">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 t="shared" si="2"/>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3">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3"/>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3"/>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3"/>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3"/>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3"/>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776" t="s">
        <v>99</v>
      </c>
      <c r="B169" s="5777"/>
      <c r="C169" s="5778"/>
      <c r="D169" s="1244" t="s">
        <v>10538</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650" t="s">
        <v>308</v>
      </c>
      <c r="B172" s="5650"/>
      <c r="C172" s="5650"/>
      <c r="D172" s="5650"/>
      <c r="E172" s="5650"/>
      <c r="F172" s="5650"/>
      <c r="G172" s="5650"/>
      <c r="H172" s="48"/>
      <c r="I172" s="1205"/>
    </row>
    <row r="173" spans="1:12" ht="93.75" customHeight="1">
      <c r="A173" s="5650" t="s">
        <v>26</v>
      </c>
      <c r="B173" s="5650"/>
      <c r="C173" s="5650"/>
      <c r="D173" s="5650"/>
      <c r="E173" s="5650"/>
      <c r="F173" s="5650"/>
      <c r="G173" s="5650"/>
      <c r="H173" s="48"/>
      <c r="I173" s="48"/>
    </row>
    <row r="174" spans="1:12" ht="13.5" customHeight="1">
      <c r="A174" s="5650" t="s">
        <v>27</v>
      </c>
      <c r="B174" s="5650"/>
      <c r="C174" s="5650"/>
      <c r="D174" s="5650"/>
      <c r="E174" s="5650"/>
      <c r="F174" s="5650"/>
      <c r="G174" s="5650"/>
      <c r="H174" s="318"/>
      <c r="I174" s="318"/>
    </row>
    <row r="175" spans="1:12" ht="13.5" customHeight="1">
      <c r="A175" s="5650" t="s">
        <v>28</v>
      </c>
      <c r="B175" s="5650"/>
      <c r="C175" s="5650"/>
      <c r="D175" s="5650"/>
      <c r="E175" s="5650"/>
      <c r="F175" s="5650"/>
      <c r="G175" s="5650"/>
      <c r="H175" s="318"/>
      <c r="I175" s="318"/>
    </row>
    <row r="176" spans="1:12" s="88" customFormat="1" ht="40.5" customHeight="1">
      <c r="A176" s="5652" t="s">
        <v>61</v>
      </c>
      <c r="B176" s="5652"/>
      <c r="C176" s="5652"/>
      <c r="D176" s="5652"/>
      <c r="E176" s="5652"/>
      <c r="F176" s="5652"/>
      <c r="G176" s="5652"/>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18" t="s">
        <v>112</v>
      </c>
      <c r="B2" s="5730"/>
      <c r="C2" s="5730"/>
      <c r="D2" s="5730"/>
      <c r="E2" s="5730"/>
      <c r="F2" s="5730"/>
      <c r="G2" s="5730"/>
      <c r="H2" s="5730"/>
      <c r="I2" s="5730"/>
      <c r="J2" s="320"/>
    </row>
    <row r="3" spans="1:256" s="1015" customFormat="1" ht="13.5" customHeight="1">
      <c r="A3" s="5734" t="s">
        <v>125</v>
      </c>
      <c r="B3" s="5768"/>
      <c r="C3" s="5768"/>
      <c r="D3" s="5768"/>
      <c r="E3" s="1010"/>
      <c r="F3" s="1011"/>
      <c r="G3" s="1011"/>
      <c r="H3" s="1012"/>
      <c r="I3" s="1013"/>
      <c r="J3" s="1014"/>
      <c r="K3" s="1009"/>
      <c r="M3" s="1016"/>
    </row>
    <row r="4" spans="1:256" s="1015" customFormat="1" ht="13.5" customHeight="1">
      <c r="A4" s="5743" t="s">
        <v>2086</v>
      </c>
      <c r="B4" s="5768"/>
      <c r="C4" s="5768"/>
      <c r="D4" s="5768"/>
      <c r="E4" s="5743"/>
      <c r="F4" s="5768"/>
      <c r="G4" s="5768"/>
      <c r="H4" s="5768"/>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10501</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 t="shared" ref="H97:H99" si="1">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 t="shared" si="1"/>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 t="shared" si="1"/>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 t="shared" ref="H106:H107" si="2">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 t="shared" si="2"/>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3">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3"/>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3"/>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3"/>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3"/>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3"/>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4">(9)*1.1</f>
        <v>9.9</v>
      </c>
      <c r="G142" s="392"/>
      <c r="H142" s="4064">
        <f t="shared" ref="H142:H147" si="5">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4"/>
        <v>9.9</v>
      </c>
      <c r="G143" s="1109"/>
      <c r="H143" s="4064">
        <f t="shared" si="5"/>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4"/>
        <v>9.9</v>
      </c>
      <c r="G144" s="1109"/>
      <c r="H144" s="4064">
        <f t="shared" si="5"/>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4"/>
        <v>9.9</v>
      </c>
      <c r="G145" s="1109"/>
      <c r="H145" s="4064">
        <f t="shared" si="5"/>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4"/>
        <v>9.9</v>
      </c>
      <c r="G146" s="392"/>
      <c r="H146" s="4064">
        <f t="shared" si="5"/>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4"/>
        <v>9.9</v>
      </c>
      <c r="G147" s="392"/>
      <c r="H147" s="4064">
        <f t="shared" si="5"/>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10130</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 t="shared" ref="H201:H204" si="6">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 t="shared" si="6"/>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 t="shared" si="6"/>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 t="shared" si="6"/>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 t="shared" ref="H209:H212" si="7">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 t="shared" si="7"/>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 t="shared" si="7"/>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 t="shared" si="7"/>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 t="shared" ref="H217:H220" si="8">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 t="shared" si="8"/>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 t="shared" si="8"/>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 t="shared" si="8"/>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769" t="s">
        <v>99</v>
      </c>
      <c r="B240" s="5770"/>
      <c r="C240" s="5771"/>
      <c r="D240" s="1168" t="s">
        <v>10539</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650" t="s">
        <v>308</v>
      </c>
      <c r="B243" s="5772"/>
      <c r="C243" s="5772"/>
      <c r="D243" s="5772"/>
      <c r="E243" s="5772"/>
      <c r="F243" s="5772"/>
      <c r="G243" s="5772"/>
      <c r="H243" s="48"/>
    </row>
    <row r="244" spans="1:62" s="48" customFormat="1" ht="93.75" customHeight="1">
      <c r="A244" s="5650" t="s">
        <v>26</v>
      </c>
      <c r="B244" s="5759"/>
      <c r="C244" s="5759"/>
      <c r="D244" s="5759"/>
      <c r="E244" s="5759"/>
      <c r="F244" s="5759"/>
      <c r="G244" s="5759"/>
    </row>
    <row r="245" spans="1:62" s="1188" customFormat="1" ht="13.5" customHeight="1">
      <c r="A245" s="5650" t="s">
        <v>27</v>
      </c>
      <c r="B245" s="5767"/>
      <c r="C245" s="5767"/>
      <c r="D245" s="5767"/>
      <c r="E245" s="5767"/>
      <c r="F245" s="5767"/>
      <c r="G245" s="5767"/>
      <c r="H245" s="318"/>
      <c r="I245" s="318"/>
    </row>
    <row r="246" spans="1:62" s="1188" customFormat="1" ht="13.5" customHeight="1">
      <c r="A246" s="5650" t="s">
        <v>28</v>
      </c>
      <c r="B246" s="5767"/>
      <c r="C246" s="5767"/>
      <c r="D246" s="5767"/>
      <c r="E246" s="5767"/>
      <c r="F246" s="5767"/>
      <c r="G246" s="5767"/>
      <c r="H246" s="318"/>
      <c r="I246" s="318"/>
    </row>
    <row r="247" spans="1:62" ht="40.5" customHeight="1">
      <c r="A247" s="5652" t="s">
        <v>61</v>
      </c>
      <c r="B247" s="5652"/>
      <c r="C247" s="5652"/>
      <c r="D247" s="5652"/>
      <c r="E247" s="5652"/>
      <c r="F247" s="5652"/>
      <c r="G247" s="5652"/>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743" t="s">
        <v>112</v>
      </c>
      <c r="B2" s="5743"/>
      <c r="C2" s="5743"/>
      <c r="D2" s="82"/>
      <c r="E2" s="78"/>
      <c r="F2" s="78"/>
      <c r="G2" s="79"/>
      <c r="H2" s="79"/>
      <c r="I2" s="80"/>
    </row>
    <row r="3" spans="1:256" s="81" customFormat="1" ht="13.5" customHeight="1">
      <c r="A3" s="5743" t="s">
        <v>113</v>
      </c>
      <c r="B3" s="5743"/>
      <c r="C3" s="5743"/>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10501</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18" t="s">
        <v>112</v>
      </c>
      <c r="B2" s="5773"/>
      <c r="C2" s="5773"/>
      <c r="D2" s="5773"/>
      <c r="E2" s="5773"/>
      <c r="F2" s="5773"/>
      <c r="G2" s="5773"/>
      <c r="H2" s="5773"/>
      <c r="I2" s="5773"/>
      <c r="J2" s="320"/>
    </row>
    <row r="3" spans="1:255" s="660" customFormat="1" ht="13.5" customHeight="1">
      <c r="A3" s="5734" t="s">
        <v>125</v>
      </c>
      <c r="B3" s="5774"/>
      <c r="C3" s="5774"/>
      <c r="D3" s="5774"/>
      <c r="E3" s="78"/>
      <c r="F3" s="79"/>
      <c r="G3" s="79"/>
      <c r="H3" s="80"/>
      <c r="I3" s="658"/>
      <c r="J3" s="659"/>
      <c r="K3" s="81"/>
      <c r="M3" s="661"/>
    </row>
    <row r="4" spans="1:255" s="660" customFormat="1" ht="13.5" customHeight="1">
      <c r="A4" s="5743" t="s">
        <v>1082</v>
      </c>
      <c r="B4" s="5774"/>
      <c r="C4" s="5774"/>
      <c r="D4" s="5774"/>
      <c r="E4" s="5743"/>
      <c r="F4" s="5775"/>
      <c r="G4" s="5775"/>
      <c r="H4" s="5775"/>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10501</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 t="shared" ref="H21" si="1">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 t="shared" ref="H26" si="2">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 t="shared" ref="H31" si="3">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 t="shared" ref="H59" si="4">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 t="shared" ref="H87" si="5">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 t="shared" ref="H115" si="6">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 t="shared" ref="H143" si="7">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 t="shared" ref="H147" si="8">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 t="shared" ref="H151" si="9">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 t="shared" ref="H153" si="10">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 t="shared" ref="H169" si="11">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 t="shared" ref="H183:H185" si="12">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 t="shared" si="12"/>
        <v>0</v>
      </c>
      <c r="I184" s="336" t="s">
        <v>142</v>
      </c>
    </row>
    <row r="185" spans="1:23" s="120" customFormat="1" ht="13.5" customHeight="1">
      <c r="A185" s="115">
        <v>21</v>
      </c>
      <c r="B185" s="121" t="s">
        <v>850</v>
      </c>
      <c r="C185" s="121">
        <v>151811132</v>
      </c>
      <c r="D185" s="121" t="s">
        <v>1216</v>
      </c>
      <c r="E185" s="121" t="s">
        <v>611</v>
      </c>
      <c r="F185" s="686">
        <f>ROUND(SUM(F187),3)</f>
        <v>31.5</v>
      </c>
      <c r="G185" s="137"/>
      <c r="H185" s="3789">
        <f t="shared" si="12"/>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 t="shared" ref="H188:H189" si="13">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 t="shared" si="13"/>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 t="shared" ref="H192" si="14">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 t="shared" ref="H229" si="15">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 t="shared" ref="H240" si="16">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 t="shared" ref="H251" si="17">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 t="shared" ref="H268" si="18">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 t="shared" ref="H285" si="19">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 t="shared" ref="H291:H295" si="20">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 t="shared" si="20"/>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 t="shared" si="20"/>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 t="shared" si="20"/>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 t="shared" si="20"/>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 t="shared" ref="H297" si="21">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 t="shared" ref="H303:H306" si="22">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 t="shared" si="22"/>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 t="shared" si="22"/>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 t="shared" si="22"/>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 t="shared" ref="H308" si="23">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24">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24"/>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24"/>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24"/>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24"/>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24"/>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 t="shared" ref="H327" si="25">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 t="shared" ref="H329" si="26">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 t="shared" ref="H348" si="27">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 t="shared" ref="H351" si="28">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 t="shared" ref="H361" si="29">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 t="shared" ref="H372" si="30">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 t="shared" ref="H376" si="31">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 t="shared" ref="H380" si="32">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 t="shared" ref="H384" si="33">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 t="shared" ref="H388" si="34">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 t="shared" ref="H392" si="35">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 t="shared" ref="H396" si="36">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 t="shared" ref="H400" si="37">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 t="shared" ref="H404" si="38">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 t="shared" ref="H408" si="39">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 t="shared" ref="H413" si="40">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 t="shared" ref="H419" si="41">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 t="shared" ref="H431" si="42">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 t="shared" ref="H436" si="43">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 t="shared" ref="H440" si="44">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 t="shared" ref="H445:H446" si="45">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 t="shared" si="45"/>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 t="shared" ref="H450" si="46">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 t="shared" ref="H454" si="47">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 t="shared" ref="H457" si="48">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780" t="s">
        <v>99</v>
      </c>
      <c r="B461" s="5781"/>
      <c r="C461" s="5782"/>
      <c r="D461" s="796" t="s">
        <v>10540</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650" t="s">
        <v>308</v>
      </c>
      <c r="B464" s="5783"/>
      <c r="C464" s="5783"/>
      <c r="D464" s="5783"/>
      <c r="E464" s="5783"/>
      <c r="F464" s="5783"/>
      <c r="G464" s="5783"/>
      <c r="H464" s="48"/>
    </row>
    <row r="465" spans="1:9" s="48" customFormat="1" ht="93.75" customHeight="1">
      <c r="A465" s="5650" t="s">
        <v>26</v>
      </c>
      <c r="B465" s="5759"/>
      <c r="C465" s="5759"/>
      <c r="D465" s="5759"/>
      <c r="E465" s="5759"/>
      <c r="F465" s="5759"/>
      <c r="G465" s="5759"/>
    </row>
    <row r="466" spans="1:9" s="808" customFormat="1" ht="13.5" customHeight="1">
      <c r="A466" s="5650" t="s">
        <v>27</v>
      </c>
      <c r="B466" s="5779"/>
      <c r="C466" s="5779"/>
      <c r="D466" s="5779"/>
      <c r="E466" s="5779"/>
      <c r="F466" s="5779"/>
      <c r="G466" s="5779"/>
      <c r="H466" s="318"/>
      <c r="I466" s="318"/>
    </row>
    <row r="467" spans="1:9" s="808" customFormat="1" ht="13.5" customHeight="1">
      <c r="A467" s="5650" t="s">
        <v>28</v>
      </c>
      <c r="B467" s="5779"/>
      <c r="C467" s="5779"/>
      <c r="D467" s="5779"/>
      <c r="E467" s="5779"/>
      <c r="F467" s="5779"/>
      <c r="G467" s="5779"/>
      <c r="H467" s="318"/>
      <c r="I467" s="318"/>
    </row>
    <row r="468" spans="1:9" s="88" customFormat="1" ht="40.5" customHeight="1">
      <c r="A468" s="5652" t="s">
        <v>61</v>
      </c>
      <c r="B468" s="5652"/>
      <c r="C468" s="5652"/>
      <c r="D468" s="5652"/>
      <c r="E468" s="5652"/>
      <c r="F468" s="5652"/>
      <c r="G468" s="5652"/>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18" t="s">
        <v>112</v>
      </c>
      <c r="B2" s="5773"/>
      <c r="C2" s="5773"/>
      <c r="D2" s="5773"/>
      <c r="E2" s="5773"/>
      <c r="F2" s="5773"/>
      <c r="G2" s="5773"/>
      <c r="H2" s="5773"/>
      <c r="I2" s="5773"/>
      <c r="J2" s="320"/>
    </row>
    <row r="3" spans="1:255" s="660" customFormat="1" ht="13.5" customHeight="1">
      <c r="A3" s="5734" t="s">
        <v>125</v>
      </c>
      <c r="B3" s="5774"/>
      <c r="C3" s="5774"/>
      <c r="D3" s="5774"/>
      <c r="E3" s="78"/>
      <c r="F3" s="79"/>
      <c r="G3" s="79"/>
      <c r="H3" s="80"/>
      <c r="I3" s="658"/>
      <c r="J3" s="659"/>
      <c r="K3" s="81"/>
      <c r="M3" s="661"/>
    </row>
    <row r="4" spans="1:255" s="660" customFormat="1" ht="13.5" customHeight="1">
      <c r="A4" s="5743" t="s">
        <v>1461</v>
      </c>
      <c r="B4" s="5774"/>
      <c r="C4" s="5774"/>
      <c r="D4" s="5774"/>
      <c r="E4" s="5743"/>
      <c r="F4" s="5775"/>
      <c r="G4" s="5775"/>
      <c r="H4" s="5775"/>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10501</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 t="shared" ref="H21" si="1">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 t="shared" ref="H26" si="2">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 t="shared" ref="H59" si="3">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 t="shared" ref="H92" si="4">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 t="shared" ref="H125" si="5">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 t="shared" ref="H158" si="6">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 t="shared" ref="H160" si="7">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 t="shared" ref="H186" si="8">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 t="shared" ref="H195:H197" si="9">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 t="shared" si="9"/>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 t="shared" si="9"/>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 t="shared" ref="H238" si="10">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 t="shared" ref="H248" si="11">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 t="shared" ref="H259" si="12">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 t="shared" ref="H281" si="13">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 t="shared" ref="H303" si="14">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 t="shared" ref="H309:H313" si="15">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 t="shared" si="15"/>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 t="shared" si="15"/>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 t="shared" si="15"/>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 t="shared" si="15"/>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 t="shared" ref="H315" si="16">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 t="shared" ref="H321:H324" si="17">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 t="shared" si="17"/>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 t="shared" si="17"/>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 t="shared" si="17"/>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 t="shared" ref="H326" si="18">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9">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9"/>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9"/>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9"/>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9"/>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9"/>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 t="shared" ref="H343" si="20">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 t="shared" ref="H369" si="21">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 t="shared" ref="H373" si="22">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 t="shared" ref="H391" si="23">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 t="shared" ref="H395" si="24">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 t="shared" ref="H401" si="25">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 t="shared" ref="H405" si="26">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 t="shared" ref="H409" si="27">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 t="shared" ref="H413" si="28">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 t="shared" ref="H417" si="29">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 t="shared" ref="H421" si="30">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 t="shared" ref="H425" si="31">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 t="shared" ref="H429" si="32">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 t="shared" ref="H433" si="33">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 t="shared" ref="H437" si="34">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 t="shared" ref="H445" si="35">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 t="shared" ref="H457" si="36">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 t="shared" ref="H461" si="37">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 t="shared" ref="H464" si="38">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 t="shared" ref="H469" si="39">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 t="shared" ref="H476:H477" si="40">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 t="shared" si="40"/>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 t="shared" ref="H481" si="41">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 t="shared" ref="H484" si="42">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 t="shared" ref="H488" si="43">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 t="shared" ref="H491" si="44">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 t="shared" ref="H493" si="45">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 t="shared" ref="H496" si="46">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 t="shared" ref="H498" si="47">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780" t="s">
        <v>99</v>
      </c>
      <c r="B502" s="5781"/>
      <c r="C502" s="5782"/>
      <c r="D502" s="796" t="s">
        <v>10541</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650" t="s">
        <v>308</v>
      </c>
      <c r="B505" s="5783"/>
      <c r="C505" s="5783"/>
      <c r="D505" s="5783"/>
      <c r="E505" s="5783"/>
      <c r="F505" s="5783"/>
      <c r="G505" s="5783"/>
      <c r="H505" s="48"/>
    </row>
    <row r="506" spans="1:10" s="48" customFormat="1" ht="93.75" customHeight="1">
      <c r="A506" s="5650" t="s">
        <v>26</v>
      </c>
      <c r="B506" s="5759"/>
      <c r="C506" s="5759"/>
      <c r="D506" s="5759"/>
      <c r="E506" s="5759"/>
      <c r="F506" s="5759"/>
      <c r="G506" s="5759"/>
    </row>
    <row r="507" spans="1:10" s="808" customFormat="1" ht="13.5" customHeight="1">
      <c r="A507" s="5650" t="s">
        <v>27</v>
      </c>
      <c r="B507" s="5779"/>
      <c r="C507" s="5779"/>
      <c r="D507" s="5779"/>
      <c r="E507" s="5779"/>
      <c r="F507" s="5779"/>
      <c r="G507" s="5779"/>
      <c r="H507" s="318"/>
      <c r="I507" s="318"/>
    </row>
    <row r="508" spans="1:10" s="808" customFormat="1" ht="13.5" customHeight="1">
      <c r="A508" s="5650" t="s">
        <v>28</v>
      </c>
      <c r="B508" s="5779"/>
      <c r="C508" s="5779"/>
      <c r="D508" s="5779"/>
      <c r="E508" s="5779"/>
      <c r="F508" s="5779"/>
      <c r="G508" s="5779"/>
      <c r="H508" s="318"/>
      <c r="I508" s="318"/>
    </row>
    <row r="509" spans="1:10" s="88" customFormat="1" ht="40.5" customHeight="1">
      <c r="A509" s="5652" t="s">
        <v>61</v>
      </c>
      <c r="B509" s="5652"/>
      <c r="C509" s="5652"/>
      <c r="D509" s="5652"/>
      <c r="E509" s="5652"/>
      <c r="F509" s="5652"/>
      <c r="G509" s="5652"/>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18" t="s">
        <v>112</v>
      </c>
      <c r="B2" s="5773"/>
      <c r="C2" s="5773"/>
      <c r="D2" s="5773"/>
      <c r="E2" s="5773"/>
      <c r="F2" s="5773"/>
      <c r="G2" s="5773"/>
      <c r="H2" s="5773"/>
      <c r="I2" s="5773"/>
      <c r="J2" s="320"/>
    </row>
    <row r="3" spans="1:255" s="660" customFormat="1" ht="13.5" customHeight="1">
      <c r="A3" s="5734" t="s">
        <v>125</v>
      </c>
      <c r="B3" s="5774"/>
      <c r="C3" s="5774"/>
      <c r="D3" s="5774"/>
      <c r="E3" s="78"/>
      <c r="F3" s="79"/>
      <c r="G3" s="79"/>
      <c r="H3" s="80"/>
      <c r="I3" s="658"/>
      <c r="J3" s="659"/>
      <c r="K3" s="81"/>
      <c r="M3" s="661"/>
    </row>
    <row r="4" spans="1:255" s="660" customFormat="1" ht="13.5" customHeight="1">
      <c r="A4" s="5743" t="s">
        <v>1796</v>
      </c>
      <c r="B4" s="5774"/>
      <c r="C4" s="5774"/>
      <c r="D4" s="5774"/>
      <c r="E4" s="5743"/>
      <c r="F4" s="5775"/>
      <c r="G4" s="5775"/>
      <c r="H4" s="577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10501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 t="shared" ref="H22" si="1">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 t="shared" ref="H27" si="2">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 t="shared" ref="H32" si="3">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 t="shared" ref="H34" si="4">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 t="shared" ref="H36" si="5">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 t="shared" ref="H44" si="6">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 t="shared" ref="H47" si="7">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 t="shared" ref="H50" si="8">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 t="shared" ref="H53" si="9">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 t="shared" ref="H59:H63" si="10">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 t="shared" si="10"/>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 t="shared" si="10"/>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 t="shared" si="10"/>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 t="shared" si="10"/>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 t="shared" ref="H66" si="11">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 t="shared" ref="H72:H75" si="12">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 t="shared" si="12"/>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 t="shared" si="12"/>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 t="shared" si="12"/>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 t="shared" ref="H78" si="13">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4">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4"/>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4"/>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4"/>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4"/>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4"/>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 t="shared" ref="H95" si="15">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 t="shared" ref="H98" si="16">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 t="shared" ref="H102" si="17">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 t="shared" ref="H105" si="18">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 t="shared" ref="H109" si="19">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 t="shared" ref="H113" si="20">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 t="shared" ref="H120" si="21">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 t="shared" ref="H122" si="22">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 t="shared" ref="H126" si="23">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 t="shared" ref="H129:H130" si="24">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 t="shared" si="24"/>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 t="shared" ref="H132:H133" si="25">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 t="shared" si="25"/>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 t="shared" ref="H136" si="26">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 t="shared" ref="H139:H140" si="27">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 t="shared" si="27"/>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7262</v>
      </c>
      <c r="D142" s="524" t="s">
        <v>1897</v>
      </c>
      <c r="E142" s="527" t="s">
        <v>611</v>
      </c>
      <c r="F142" s="283">
        <f>F136</f>
        <v>3.5059999999999998</v>
      </c>
      <c r="G142" s="284"/>
      <c r="H142" s="4267">
        <f t="shared" ref="H142:H143" si="28">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 t="shared" si="28"/>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 t="shared" ref="H147:H148" si="29">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 t="shared" si="29"/>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784" t="s">
        <v>99</v>
      </c>
      <c r="B153" s="5785"/>
      <c r="C153" s="5786"/>
      <c r="D153" s="972" t="s">
        <v>10542</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650" t="s">
        <v>308</v>
      </c>
      <c r="B156" s="5650"/>
      <c r="C156" s="5650"/>
      <c r="D156" s="5650"/>
      <c r="E156" s="5650"/>
      <c r="F156" s="5650"/>
      <c r="G156" s="5650"/>
      <c r="H156" s="48"/>
      <c r="I156" s="863"/>
    </row>
    <row r="157" spans="1:23" ht="93.75" customHeight="1">
      <c r="A157" s="5650" t="s">
        <v>26</v>
      </c>
      <c r="B157" s="5650"/>
      <c r="C157" s="5650"/>
      <c r="D157" s="5650"/>
      <c r="E157" s="5650"/>
      <c r="F157" s="5650"/>
      <c r="G157" s="5650"/>
      <c r="H157" s="48"/>
      <c r="I157" s="48"/>
    </row>
    <row r="158" spans="1:23" ht="13.5" customHeight="1">
      <c r="A158" s="5650" t="s">
        <v>27</v>
      </c>
      <c r="B158" s="5650"/>
      <c r="C158" s="5650"/>
      <c r="D158" s="5650"/>
      <c r="E158" s="5650"/>
      <c r="F158" s="5650"/>
      <c r="G158" s="5650"/>
      <c r="H158" s="318"/>
      <c r="I158" s="318"/>
    </row>
    <row r="159" spans="1:23" ht="13.5" customHeight="1">
      <c r="A159" s="5650" t="s">
        <v>28</v>
      </c>
      <c r="B159" s="5650"/>
      <c r="C159" s="5650"/>
      <c r="D159" s="5650"/>
      <c r="E159" s="5650"/>
      <c r="F159" s="5650"/>
      <c r="G159" s="5650"/>
      <c r="H159" s="318"/>
      <c r="I159" s="318"/>
    </row>
    <row r="160" spans="1:23" s="88" customFormat="1" ht="40.5" customHeight="1">
      <c r="A160" s="5652" t="s">
        <v>61</v>
      </c>
      <c r="B160" s="5652"/>
      <c r="C160" s="5652"/>
      <c r="D160" s="5652"/>
      <c r="E160" s="5652"/>
      <c r="F160" s="5652"/>
      <c r="G160" s="5652"/>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18" t="s">
        <v>112</v>
      </c>
      <c r="B2" s="5773"/>
      <c r="C2" s="5773"/>
      <c r="D2" s="5773"/>
      <c r="E2" s="5773"/>
      <c r="F2" s="5773"/>
      <c r="G2" s="5773"/>
      <c r="H2" s="5773"/>
      <c r="I2" s="5773"/>
      <c r="J2" s="320"/>
    </row>
    <row r="3" spans="1:255" s="660" customFormat="1" ht="13.5" customHeight="1">
      <c r="A3" s="5734" t="s">
        <v>125</v>
      </c>
      <c r="B3" s="5774"/>
      <c r="C3" s="5774"/>
      <c r="D3" s="5774"/>
      <c r="E3" s="78"/>
      <c r="F3" s="79"/>
      <c r="G3" s="79"/>
      <c r="H3" s="80"/>
      <c r="I3" s="658"/>
      <c r="J3" s="659"/>
      <c r="K3" s="81"/>
      <c r="M3" s="661"/>
    </row>
    <row r="4" spans="1:255" s="660" customFormat="1" ht="13.5" customHeight="1">
      <c r="A4" s="5743" t="s">
        <v>1906</v>
      </c>
      <c r="B4" s="5774"/>
      <c r="C4" s="5774"/>
      <c r="D4" s="5774"/>
      <c r="E4" s="5743"/>
      <c r="F4" s="5775"/>
      <c r="G4" s="5775"/>
      <c r="H4" s="577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10501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 t="shared" ref="H22" si="1">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 t="shared" ref="H27" si="2">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 t="shared" ref="H32" si="3">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 t="shared" ref="H34" si="4">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 t="shared" ref="H37:H38" si="5">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 t="shared" si="5"/>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 t="shared" ref="H41" si="6">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 t="shared" ref="H48" si="7">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 t="shared" ref="H52" si="8">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 t="shared" ref="H58:H62" si="9">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 t="shared" si="9"/>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 t="shared" si="9"/>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 t="shared" si="9"/>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 t="shared" si="9"/>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 t="shared" ref="H65" si="10">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 t="shared" ref="H71:H74" si="11">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 t="shared" si="11"/>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 t="shared" si="11"/>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 t="shared" si="11"/>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 t="shared" ref="H77" si="12">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3">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3"/>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3"/>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3"/>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3"/>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3"/>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 t="shared" ref="H94" si="14">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 t="shared" ref="H97" si="15">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 t="shared" ref="H99" si="16">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 t="shared" ref="H102" si="17">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 t="shared" ref="H106" si="18">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 t="shared" ref="H109" si="19">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 t="shared" ref="H114" si="20">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 t="shared" ref="H119" si="21">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 t="shared" ref="H124" si="22">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 t="shared" ref="H129" si="23">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 t="shared" ref="H133" si="24">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 t="shared" ref="H137" si="25">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 t="shared" ref="H141" si="26">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 t="shared" ref="H144" si="27">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 t="shared" ref="H151:H153" si="28">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 t="shared" si="28"/>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784" t="s">
        <v>99</v>
      </c>
      <c r="B157" s="5785"/>
      <c r="C157" s="5786"/>
      <c r="D157" s="972" t="s">
        <v>10543</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50" t="s">
        <v>308</v>
      </c>
      <c r="B160" s="5650"/>
      <c r="C160" s="5650"/>
      <c r="D160" s="5650"/>
      <c r="E160" s="5650"/>
      <c r="F160" s="5650"/>
      <c r="G160" s="5650"/>
      <c r="H160" s="48"/>
      <c r="I160" s="863"/>
    </row>
    <row r="161" spans="1:9" ht="93.75" customHeight="1">
      <c r="A161" s="5650" t="s">
        <v>26</v>
      </c>
      <c r="B161" s="5650"/>
      <c r="C161" s="5650"/>
      <c r="D161" s="5650"/>
      <c r="E161" s="5650"/>
      <c r="F161" s="5650"/>
      <c r="G161" s="5650"/>
      <c r="H161" s="48"/>
      <c r="I161" s="48"/>
    </row>
    <row r="162" spans="1:9" ht="13.5" customHeight="1">
      <c r="A162" s="5650" t="s">
        <v>27</v>
      </c>
      <c r="B162" s="5650"/>
      <c r="C162" s="5650"/>
      <c r="D162" s="5650"/>
      <c r="E162" s="5650"/>
      <c r="F162" s="5650"/>
      <c r="G162" s="5650"/>
      <c r="H162" s="318"/>
      <c r="I162" s="318"/>
    </row>
    <row r="163" spans="1:9" ht="13.5" customHeight="1">
      <c r="A163" s="5650" t="s">
        <v>28</v>
      </c>
      <c r="B163" s="5650"/>
      <c r="C163" s="5650"/>
      <c r="D163" s="5650"/>
      <c r="E163" s="5650"/>
      <c r="F163" s="5650"/>
      <c r="G163" s="5650"/>
      <c r="H163" s="318"/>
      <c r="I163" s="318"/>
    </row>
    <row r="164" spans="1:9" s="88" customFormat="1" ht="40.5" customHeight="1">
      <c r="A164" s="5652" t="s">
        <v>61</v>
      </c>
      <c r="B164" s="5652"/>
      <c r="C164" s="5652"/>
      <c r="D164" s="5652"/>
      <c r="E164" s="5652"/>
      <c r="F164" s="5652"/>
      <c r="G164" s="5652"/>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18" t="s">
        <v>112</v>
      </c>
      <c r="B2" s="5773"/>
      <c r="C2" s="5773"/>
      <c r="D2" s="5773"/>
      <c r="E2" s="5773"/>
      <c r="F2" s="5773"/>
      <c r="G2" s="5773"/>
      <c r="H2" s="5773"/>
      <c r="I2" s="5773"/>
      <c r="J2" s="320"/>
    </row>
    <row r="3" spans="1:255" s="660" customFormat="1" ht="13.5" customHeight="1">
      <c r="A3" s="5734" t="s">
        <v>125</v>
      </c>
      <c r="B3" s="5774"/>
      <c r="C3" s="5774"/>
      <c r="D3" s="5774"/>
      <c r="E3" s="78"/>
      <c r="F3" s="79"/>
      <c r="G3" s="79"/>
      <c r="H3" s="80"/>
      <c r="I3" s="658"/>
      <c r="J3" s="659"/>
      <c r="K3" s="81"/>
      <c r="M3" s="661"/>
    </row>
    <row r="4" spans="1:255" s="660" customFormat="1" ht="13.5" customHeight="1">
      <c r="A4" s="5743" t="s">
        <v>1994</v>
      </c>
      <c r="B4" s="5774"/>
      <c r="C4" s="5774"/>
      <c r="D4" s="5774"/>
      <c r="E4" s="5743"/>
      <c r="F4" s="5775"/>
      <c r="G4" s="5775"/>
      <c r="H4" s="577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10501</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 t="shared" ref="H24" si="1">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 t="shared" ref="H31" si="2">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 t="shared" ref="H38" si="3">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 t="shared" ref="H40" si="4">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 t="shared" ref="H44" si="5">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 t="shared" ref="H59" si="6">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 t="shared" ref="H63" si="7">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 t="shared" ref="H67" si="8">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 t="shared" ref="H71" si="9">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 t="shared" ref="H77:H81" si="10">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 t="shared" si="10"/>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 t="shared" si="10"/>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 t="shared" si="10"/>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 t="shared" si="10"/>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 t="shared" ref="H84" si="11">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 t="shared" ref="H90:H93" si="12">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 t="shared" si="12"/>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 t="shared" si="12"/>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 t="shared" si="12"/>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 t="shared" ref="H96" si="13">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4">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4"/>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4"/>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4"/>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4"/>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4"/>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 t="shared" ref="H113" si="15">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 t="shared" ref="H118" si="16">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 t="shared" ref="H122" si="17">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 t="shared" ref="H126" si="18">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 t="shared" ref="H131" si="19">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 t="shared" ref="H136" si="20">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 t="shared" ref="H141" si="21">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 t="shared" ref="H151" si="22">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 t="shared" ref="H153" si="23">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784" t="s">
        <v>99</v>
      </c>
      <c r="B157" s="5785"/>
      <c r="C157" s="5786"/>
      <c r="D157" s="972" t="s">
        <v>10544</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50" t="s">
        <v>308</v>
      </c>
      <c r="B160" s="5650"/>
      <c r="C160" s="5650"/>
      <c r="D160" s="5650"/>
      <c r="E160" s="5650"/>
      <c r="F160" s="5650"/>
      <c r="G160" s="5650"/>
      <c r="H160" s="48"/>
      <c r="I160" s="863"/>
    </row>
    <row r="161" spans="1:9" ht="93.75" customHeight="1">
      <c r="A161" s="5650" t="s">
        <v>26</v>
      </c>
      <c r="B161" s="5650"/>
      <c r="C161" s="5650"/>
      <c r="D161" s="5650"/>
      <c r="E161" s="5650"/>
      <c r="F161" s="5650"/>
      <c r="G161" s="5650"/>
      <c r="H161" s="48"/>
      <c r="I161" s="48"/>
    </row>
    <row r="162" spans="1:9" ht="13.5" customHeight="1">
      <c r="A162" s="5650" t="s">
        <v>27</v>
      </c>
      <c r="B162" s="5650"/>
      <c r="C162" s="5650"/>
      <c r="D162" s="5650"/>
      <c r="E162" s="5650"/>
      <c r="F162" s="5650"/>
      <c r="G162" s="5650"/>
      <c r="H162" s="318"/>
      <c r="I162" s="318"/>
    </row>
    <row r="163" spans="1:9" ht="13.5" customHeight="1">
      <c r="A163" s="5650" t="s">
        <v>28</v>
      </c>
      <c r="B163" s="5650"/>
      <c r="C163" s="5650"/>
      <c r="D163" s="5650"/>
      <c r="E163" s="5650"/>
      <c r="F163" s="5650"/>
      <c r="G163" s="5650"/>
      <c r="H163" s="318"/>
      <c r="I163" s="318"/>
    </row>
    <row r="164" spans="1:9" s="88" customFormat="1" ht="40.5" customHeight="1">
      <c r="A164" s="5652" t="s">
        <v>61</v>
      </c>
      <c r="B164" s="5652"/>
      <c r="C164" s="5652"/>
      <c r="D164" s="5652"/>
      <c r="E164" s="5652"/>
      <c r="F164" s="5652"/>
      <c r="G164" s="5652"/>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787" t="s">
        <v>112</v>
      </c>
      <c r="B2" s="5788"/>
      <c r="C2" s="5788"/>
      <c r="D2" s="5788"/>
      <c r="E2" s="5788"/>
      <c r="F2" s="5788"/>
      <c r="G2" s="5788"/>
      <c r="H2" s="5788"/>
      <c r="I2" s="5788"/>
    </row>
    <row r="3" spans="1:121" s="187" customFormat="1" ht="13.5" customHeight="1">
      <c r="A3" s="5734" t="s">
        <v>125</v>
      </c>
      <c r="B3" s="5774"/>
      <c r="C3" s="5774"/>
      <c r="D3" s="5774"/>
      <c r="E3" s="85"/>
      <c r="F3" s="86"/>
      <c r="G3" s="86"/>
      <c r="H3" s="87"/>
      <c r="I3" s="483"/>
      <c r="J3" s="225"/>
      <c r="K3" s="484"/>
      <c r="M3" s="5514"/>
    </row>
    <row r="4" spans="1:121" s="485" customFormat="1" ht="13.5" customHeight="1">
      <c r="A4" s="5787" t="s">
        <v>846</v>
      </c>
      <c r="B4" s="5789"/>
      <c r="C4" s="5789"/>
      <c r="D4" s="5789"/>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10501</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11605</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11606</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 t="shared" ref="H39:H41" si="1">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 t="shared" si="1"/>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 t="shared" si="1"/>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 t="shared" ref="H48:H49" si="2">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 t="shared" si="2"/>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3">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3"/>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3"/>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3"/>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3"/>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3"/>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 t="shared" ref="H69:H73" si="4">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 t="shared" si="4"/>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11604</v>
      </c>
      <c r="E71" s="527" t="s">
        <v>221</v>
      </c>
      <c r="F71" s="283">
        <f>((0.5*0.6*0.25)*2)*1.05</f>
        <v>0.1575</v>
      </c>
      <c r="G71" s="284"/>
      <c r="H71" s="4283">
        <f t="shared" si="4"/>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 t="shared" si="4"/>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 t="shared" si="4"/>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5">ROUND(F83*G83,2)</f>
        <v>0</v>
      </c>
      <c r="I83" s="230" t="s">
        <v>644</v>
      </c>
    </row>
    <row r="84" spans="1:18" s="120" customFormat="1" ht="13.5" customHeight="1">
      <c r="A84" s="391" t="s">
        <v>941</v>
      </c>
      <c r="B84" s="115"/>
      <c r="C84" s="227" t="s">
        <v>942</v>
      </c>
      <c r="D84" s="163" t="s">
        <v>943</v>
      </c>
      <c r="E84" s="227" t="s">
        <v>155</v>
      </c>
      <c r="F84" s="164">
        <v>1</v>
      </c>
      <c r="G84" s="565"/>
      <c r="H84" s="4283">
        <f t="shared" si="5"/>
        <v>0</v>
      </c>
      <c r="I84" s="230" t="s">
        <v>644</v>
      </c>
    </row>
    <row r="85" spans="1:18" s="120" customFormat="1" ht="13.5" customHeight="1">
      <c r="A85" s="391" t="s">
        <v>944</v>
      </c>
      <c r="B85" s="115"/>
      <c r="C85" s="227" t="s">
        <v>945</v>
      </c>
      <c r="D85" s="163" t="s">
        <v>946</v>
      </c>
      <c r="E85" s="227" t="s">
        <v>155</v>
      </c>
      <c r="F85" s="164">
        <v>2</v>
      </c>
      <c r="G85" s="565"/>
      <c r="H85" s="4283">
        <f t="shared" si="5"/>
        <v>0</v>
      </c>
      <c r="I85" s="230" t="s">
        <v>644</v>
      </c>
    </row>
    <row r="86" spans="1:18" s="120" customFormat="1" ht="13.5" customHeight="1">
      <c r="A86" s="391" t="s">
        <v>947</v>
      </c>
      <c r="B86" s="115"/>
      <c r="C86" s="227" t="s">
        <v>948</v>
      </c>
      <c r="D86" s="163" t="s">
        <v>949</v>
      </c>
      <c r="E86" s="227" t="s">
        <v>155</v>
      </c>
      <c r="F86" s="164">
        <v>1</v>
      </c>
      <c r="G86" s="565"/>
      <c r="H86" s="4283">
        <f t="shared" si="5"/>
        <v>0</v>
      </c>
      <c r="I86" s="230" t="s">
        <v>644</v>
      </c>
    </row>
    <row r="87" spans="1:18" s="120" customFormat="1" ht="13.5" customHeight="1">
      <c r="A87" s="391" t="s">
        <v>950</v>
      </c>
      <c r="B87" s="115"/>
      <c r="C87" s="227" t="s">
        <v>951</v>
      </c>
      <c r="D87" s="163" t="s">
        <v>952</v>
      </c>
      <c r="E87" s="227" t="s">
        <v>155</v>
      </c>
      <c r="F87" s="164">
        <v>1</v>
      </c>
      <c r="G87" s="565"/>
      <c r="H87" s="4283">
        <f t="shared" si="5"/>
        <v>0</v>
      </c>
      <c r="I87" s="230" t="s">
        <v>644</v>
      </c>
      <c r="P87" s="562"/>
    </row>
    <row r="88" spans="1:18" s="120" customFormat="1" ht="13.5" customHeight="1">
      <c r="A88" s="391" t="s">
        <v>953</v>
      </c>
      <c r="B88" s="115"/>
      <c r="C88" s="227" t="s">
        <v>954</v>
      </c>
      <c r="D88" s="163" t="s">
        <v>955</v>
      </c>
      <c r="E88" s="227" t="s">
        <v>155</v>
      </c>
      <c r="F88" s="164">
        <v>1</v>
      </c>
      <c r="G88" s="565"/>
      <c r="H88" s="4283">
        <f t="shared" si="5"/>
        <v>0</v>
      </c>
      <c r="I88" s="230" t="s">
        <v>644</v>
      </c>
      <c r="P88" s="562"/>
    </row>
    <row r="89" spans="1:18" s="120" customFormat="1" ht="13.5" customHeight="1">
      <c r="A89" s="391" t="s">
        <v>956</v>
      </c>
      <c r="B89" s="115"/>
      <c r="C89" s="227" t="s">
        <v>957</v>
      </c>
      <c r="D89" s="163" t="s">
        <v>958</v>
      </c>
      <c r="E89" s="227" t="s">
        <v>155</v>
      </c>
      <c r="F89" s="164">
        <v>1</v>
      </c>
      <c r="G89" s="565"/>
      <c r="H89" s="4283">
        <f t="shared" si="5"/>
        <v>0</v>
      </c>
      <c r="I89" s="230" t="s">
        <v>644</v>
      </c>
      <c r="Q89" s="4969"/>
      <c r="R89" s="4971"/>
    </row>
    <row r="90" spans="1:18" s="120" customFormat="1" ht="13.5" customHeight="1">
      <c r="A90" s="391" t="s">
        <v>959</v>
      </c>
      <c r="B90" s="115"/>
      <c r="C90" s="227" t="s">
        <v>960</v>
      </c>
      <c r="D90" s="163" t="s">
        <v>961</v>
      </c>
      <c r="E90" s="227" t="s">
        <v>155</v>
      </c>
      <c r="F90" s="164">
        <v>1</v>
      </c>
      <c r="G90" s="565"/>
      <c r="H90" s="4283">
        <f t="shared" si="5"/>
        <v>0</v>
      </c>
      <c r="I90" s="230" t="s">
        <v>644</v>
      </c>
    </row>
    <row r="91" spans="1:18" s="120" customFormat="1" ht="13.5" customHeight="1">
      <c r="A91" s="391" t="s">
        <v>962</v>
      </c>
      <c r="B91" s="115"/>
      <c r="C91" s="227" t="s">
        <v>963</v>
      </c>
      <c r="D91" s="163" t="s">
        <v>964</v>
      </c>
      <c r="E91" s="227" t="s">
        <v>155</v>
      </c>
      <c r="F91" s="164">
        <v>1</v>
      </c>
      <c r="G91" s="565"/>
      <c r="H91" s="4283">
        <f t="shared" si="5"/>
        <v>0</v>
      </c>
      <c r="I91" s="230" t="s">
        <v>644</v>
      </c>
    </row>
    <row r="92" spans="1:18" s="120" customFormat="1" ht="13.5" customHeight="1">
      <c r="A92" s="391" t="s">
        <v>965</v>
      </c>
      <c r="B92" s="115"/>
      <c r="C92" s="227" t="s">
        <v>966</v>
      </c>
      <c r="D92" s="163" t="s">
        <v>967</v>
      </c>
      <c r="E92" s="227" t="s">
        <v>155</v>
      </c>
      <c r="F92" s="164">
        <v>1</v>
      </c>
      <c r="G92" s="565"/>
      <c r="H92" s="4283">
        <f t="shared" si="5"/>
        <v>0</v>
      </c>
      <c r="I92" s="230" t="s">
        <v>644</v>
      </c>
      <c r="K92" s="5525"/>
    </row>
    <row r="93" spans="1:18" s="120" customFormat="1" ht="13.5" customHeight="1">
      <c r="A93" s="391" t="s">
        <v>968</v>
      </c>
      <c r="B93" s="115"/>
      <c r="C93" s="227" t="s">
        <v>969</v>
      </c>
      <c r="D93" s="163" t="s">
        <v>970</v>
      </c>
      <c r="E93" s="227" t="s">
        <v>155</v>
      </c>
      <c r="F93" s="164">
        <v>1</v>
      </c>
      <c r="G93" s="565"/>
      <c r="H93" s="4283">
        <f t="shared" si="5"/>
        <v>0</v>
      </c>
      <c r="I93" s="230" t="s">
        <v>644</v>
      </c>
      <c r="K93" s="5525"/>
    </row>
    <row r="94" spans="1:18" s="120" customFormat="1" ht="27" customHeight="1">
      <c r="A94" s="391" t="s">
        <v>971</v>
      </c>
      <c r="B94" s="115"/>
      <c r="C94" s="227" t="s">
        <v>972</v>
      </c>
      <c r="D94" s="163" t="s">
        <v>973</v>
      </c>
      <c r="E94" s="227" t="s">
        <v>155</v>
      </c>
      <c r="F94" s="164">
        <v>1</v>
      </c>
      <c r="G94" s="565"/>
      <c r="H94" s="4283">
        <f t="shared" si="5"/>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11607</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790" t="s">
        <v>99</v>
      </c>
      <c r="B208" s="5791"/>
      <c r="C208" s="5792"/>
      <c r="D208" s="627" t="s">
        <v>10545</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744" t="s">
        <v>308</v>
      </c>
      <c r="B211" s="5744"/>
      <c r="C211" s="5744"/>
      <c r="D211" s="5744"/>
      <c r="E211" s="5744"/>
      <c r="F211" s="5744"/>
      <c r="G211" s="5744"/>
      <c r="H211" s="639"/>
      <c r="I211" s="106"/>
    </row>
    <row r="212" spans="1:9" ht="93.75" customHeight="1">
      <c r="A212" s="5744" t="s">
        <v>26</v>
      </c>
      <c r="B212" s="5744"/>
      <c r="C212" s="5744"/>
      <c r="D212" s="5744"/>
      <c r="E212" s="5744"/>
      <c r="F212" s="5744"/>
      <c r="G212" s="5744"/>
      <c r="H212" s="639"/>
      <c r="I212" s="639"/>
    </row>
    <row r="213" spans="1:9" ht="13.5" customHeight="1">
      <c r="A213" s="5744" t="s">
        <v>27</v>
      </c>
      <c r="B213" s="5744"/>
      <c r="C213" s="5744"/>
      <c r="D213" s="5744"/>
      <c r="E213" s="5744"/>
      <c r="F213" s="5744"/>
      <c r="G213" s="5744"/>
      <c r="H213" s="640"/>
      <c r="I213" s="640"/>
    </row>
    <row r="214" spans="1:9" ht="13.5" customHeight="1">
      <c r="A214" s="5744" t="s">
        <v>28</v>
      </c>
      <c r="B214" s="5744"/>
      <c r="C214" s="5744"/>
      <c r="D214" s="5744"/>
      <c r="E214" s="5744"/>
      <c r="F214" s="5744"/>
      <c r="G214" s="5744"/>
      <c r="H214" s="640"/>
      <c r="I214" s="640"/>
    </row>
    <row r="215" spans="1:9" s="88" customFormat="1" ht="40.5" customHeight="1">
      <c r="A215" s="5652" t="s">
        <v>61</v>
      </c>
      <c r="B215" s="5652"/>
      <c r="C215" s="5652"/>
      <c r="D215" s="5652"/>
      <c r="E215" s="5652"/>
      <c r="F215" s="5652"/>
      <c r="G215" s="5652"/>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topLeftCell="A7" zoomScaleNormal="100" workbookViewId="0">
      <selection activeCell="K28" sqref="K28"/>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718" t="s">
        <v>112</v>
      </c>
      <c r="B2" s="5719"/>
      <c r="C2" s="5719"/>
      <c r="D2" s="5719"/>
      <c r="E2" s="5719"/>
      <c r="F2" s="5719"/>
      <c r="G2" s="5719"/>
      <c r="H2" s="5719"/>
      <c r="I2" s="5719"/>
    </row>
    <row r="3" spans="1:19" ht="13.5" customHeight="1">
      <c r="A3" s="5734" t="s">
        <v>125</v>
      </c>
      <c r="B3" s="5774"/>
      <c r="C3" s="5774"/>
      <c r="D3" s="5774"/>
      <c r="E3" s="85"/>
      <c r="F3" s="86"/>
      <c r="G3" s="86"/>
      <c r="H3" s="87"/>
      <c r="I3" s="87"/>
    </row>
    <row r="4" spans="1:19" s="107" customFormat="1" ht="13.5" customHeight="1">
      <c r="A4" s="5743" t="s">
        <v>744</v>
      </c>
      <c r="B4" s="5774"/>
      <c r="C4" s="5774"/>
      <c r="D4" s="5774"/>
      <c r="E4" s="5743"/>
      <c r="F4" s="5774"/>
      <c r="G4" s="5774"/>
      <c r="H4" s="5774"/>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10501</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H10+H89</f>
        <v>0</v>
      </c>
      <c r="I9" s="119"/>
    </row>
    <row r="10" spans="1:19" s="120" customFormat="1" ht="13.5" customHeight="1">
      <c r="A10" s="115"/>
      <c r="B10" s="121"/>
      <c r="C10" s="116" t="s">
        <v>137</v>
      </c>
      <c r="D10" s="116" t="s">
        <v>138</v>
      </c>
      <c r="E10" s="116"/>
      <c r="F10" s="117"/>
      <c r="G10" s="118"/>
      <c r="H10" s="4243">
        <f>SUM(H11:H88)</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19" s="145" customFormat="1" ht="13.5" customHeight="1">
      <c r="A17" s="123"/>
      <c r="B17" s="140"/>
      <c r="C17" s="140"/>
      <c r="D17" s="146" t="s">
        <v>745</v>
      </c>
      <c r="E17" s="140"/>
      <c r="F17" s="147"/>
      <c r="G17" s="142"/>
      <c r="H17" s="3888"/>
      <c r="I17" s="143"/>
      <c r="J17" s="144"/>
    </row>
    <row r="18" spans="1:19" s="145" customFormat="1" ht="13.5" customHeight="1">
      <c r="A18" s="123"/>
      <c r="B18" s="140"/>
      <c r="C18" s="140"/>
      <c r="D18" s="146" t="s">
        <v>748</v>
      </c>
      <c r="E18" s="140"/>
      <c r="F18" s="147">
        <f>((42.4)*0.95)*1.05</f>
        <v>42.293999999999997</v>
      </c>
      <c r="G18" s="142"/>
      <c r="H18" s="3888"/>
      <c r="I18" s="143"/>
      <c r="J18" s="144"/>
    </row>
    <row r="19" spans="1:19" s="145" customFormat="1" ht="13.5" customHeight="1">
      <c r="A19" s="123"/>
      <c r="B19" s="140"/>
      <c r="C19" s="140"/>
      <c r="D19" s="146" t="s">
        <v>749</v>
      </c>
      <c r="E19" s="140"/>
      <c r="F19" s="147">
        <f>((8.4)*0.95)*1.05</f>
        <v>8.3789999999999996</v>
      </c>
      <c r="G19" s="142"/>
      <c r="H19" s="3888"/>
      <c r="I19" s="143"/>
      <c r="J19" s="144"/>
    </row>
    <row r="20" spans="1:19" s="145" customFormat="1" ht="13.5" customHeight="1">
      <c r="A20" s="123"/>
      <c r="B20" s="140"/>
      <c r="C20" s="140"/>
      <c r="D20" s="146" t="s">
        <v>152</v>
      </c>
      <c r="E20" s="140"/>
      <c r="F20" s="147"/>
      <c r="G20" s="142"/>
      <c r="H20" s="3888"/>
      <c r="I20" s="143"/>
      <c r="J20" s="144"/>
    </row>
    <row r="21" spans="1:19"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236"/>
      <c r="I22" s="122"/>
      <c r="J22" s="138"/>
    </row>
    <row r="23" spans="1:19" s="120" customFormat="1" ht="13.5" customHeight="1">
      <c r="A23" s="123"/>
      <c r="B23" s="121"/>
      <c r="C23" s="121"/>
      <c r="D23" s="135" t="s">
        <v>752</v>
      </c>
      <c r="E23" s="121"/>
      <c r="F23" s="136">
        <f>(2.5)</f>
        <v>2.5</v>
      </c>
      <c r="G23" s="137"/>
      <c r="H23" s="4236"/>
      <c r="I23" s="122"/>
      <c r="J23" s="478"/>
    </row>
    <row r="24" spans="1:19" s="120" customFormat="1" ht="13.5" customHeight="1">
      <c r="A24" s="123"/>
      <c r="B24" s="121"/>
      <c r="C24" s="121"/>
      <c r="D24" s="135" t="s">
        <v>753</v>
      </c>
      <c r="E24" s="121"/>
      <c r="F24" s="136">
        <f>(2.5)</f>
        <v>2.5</v>
      </c>
      <c r="G24" s="137"/>
      <c r="H24" s="4236"/>
      <c r="I24" s="122"/>
      <c r="J24" s="478"/>
    </row>
    <row r="25" spans="1:19" s="120" customFormat="1" ht="13.5" customHeight="1">
      <c r="A25" s="123"/>
      <c r="B25" s="121"/>
      <c r="C25" s="121"/>
      <c r="D25" s="135" t="s">
        <v>146</v>
      </c>
      <c r="E25" s="121"/>
      <c r="F25" s="136"/>
      <c r="G25" s="137"/>
      <c r="H25" s="4236"/>
      <c r="I25" s="122"/>
      <c r="J25" s="138"/>
    </row>
    <row r="26" spans="1:19" s="145" customFormat="1" ht="13.5" customHeight="1">
      <c r="A26" s="5580">
        <v>4</v>
      </c>
      <c r="B26" s="140" t="s">
        <v>147</v>
      </c>
      <c r="C26" s="140" t="s">
        <v>754</v>
      </c>
      <c r="D26" s="140" t="s">
        <v>755</v>
      </c>
      <c r="E26" s="140" t="s">
        <v>149</v>
      </c>
      <c r="F26" s="141">
        <f>ROUND(SUM(F28:F29),3)</f>
        <v>2.1</v>
      </c>
      <c r="G26" s="5793" t="s">
        <v>11578</v>
      </c>
      <c r="H26" s="5794"/>
      <c r="I26" s="143" t="s">
        <v>644</v>
      </c>
      <c r="J26" s="144"/>
    </row>
    <row r="27" spans="1:19" s="145" customFormat="1" ht="13.5" customHeight="1">
      <c r="A27" s="139"/>
      <c r="B27" s="140"/>
      <c r="C27" s="140"/>
      <c r="D27" s="146" t="s">
        <v>756</v>
      </c>
      <c r="E27" s="140"/>
      <c r="F27" s="147"/>
      <c r="G27" s="142"/>
      <c r="H27" s="3888"/>
      <c r="I27" s="143"/>
      <c r="J27" s="144"/>
    </row>
    <row r="28" spans="1:19" s="145" customFormat="1" ht="13.5" customHeight="1">
      <c r="A28" s="139"/>
      <c r="B28" s="140"/>
      <c r="C28" s="140"/>
      <c r="D28" s="146" t="s">
        <v>757</v>
      </c>
      <c r="E28" s="140"/>
      <c r="F28" s="147">
        <f>((2.5)*0.4)*1.05</f>
        <v>1.05</v>
      </c>
      <c r="G28" s="142"/>
      <c r="H28" s="3888"/>
      <c r="I28" s="143"/>
      <c r="J28" s="144"/>
    </row>
    <row r="29" spans="1:19" s="145" customFormat="1" ht="13.5" customHeight="1">
      <c r="A29" s="139"/>
      <c r="B29" s="140"/>
      <c r="C29" s="140"/>
      <c r="D29" s="146" t="s">
        <v>758</v>
      </c>
      <c r="E29" s="140"/>
      <c r="F29" s="147">
        <f>((2.5)*0.4)*1.05</f>
        <v>1.05</v>
      </c>
      <c r="G29" s="142"/>
      <c r="H29" s="3888"/>
      <c r="I29" s="143"/>
      <c r="J29" s="144"/>
    </row>
    <row r="30" spans="1:19" s="145" customFormat="1" ht="13.5" customHeight="1">
      <c r="A30" s="139"/>
      <c r="B30" s="140"/>
      <c r="C30" s="140"/>
      <c r="D30" s="146" t="s">
        <v>759</v>
      </c>
      <c r="E30" s="140"/>
      <c r="F30" s="147"/>
      <c r="G30" s="142"/>
      <c r="H30" s="3888"/>
      <c r="I30" s="143"/>
      <c r="J30" s="148"/>
      <c r="K30" s="479"/>
      <c r="L30" s="480"/>
      <c r="M30" s="480"/>
      <c r="N30" s="480"/>
      <c r="O30" s="480"/>
    </row>
    <row r="31" spans="1:19" s="145" customFormat="1" ht="13.5" customHeight="1">
      <c r="A31" s="5580" t="s">
        <v>11684</v>
      </c>
      <c r="B31" s="5581" t="s">
        <v>147</v>
      </c>
      <c r="C31" s="5581">
        <v>35441073</v>
      </c>
      <c r="D31" s="5581" t="s">
        <v>11688</v>
      </c>
      <c r="E31" s="5581" t="s">
        <v>149</v>
      </c>
      <c r="F31" s="5582">
        <f>ROUND(SUM(F33:F34),3)</f>
        <v>3.2549999999999999</v>
      </c>
      <c r="G31" s="5583"/>
      <c r="H31" s="5584">
        <f>ROUND(F31*G31,2)</f>
        <v>0</v>
      </c>
      <c r="I31" s="5585" t="s">
        <v>142</v>
      </c>
      <c r="J31" s="144"/>
    </row>
    <row r="32" spans="1:19" s="145" customFormat="1" ht="13.5" customHeight="1">
      <c r="A32" s="5580"/>
      <c r="B32" s="5581"/>
      <c r="C32" s="5581"/>
      <c r="D32" s="5586" t="s">
        <v>756</v>
      </c>
      <c r="E32" s="5581"/>
      <c r="F32" s="5587"/>
      <c r="G32" s="5583"/>
      <c r="H32" s="5588"/>
      <c r="I32" s="5585"/>
      <c r="J32" s="144"/>
    </row>
    <row r="33" spans="1:27" s="145" customFormat="1" ht="13.5" customHeight="1">
      <c r="A33" s="5580"/>
      <c r="B33" s="5581"/>
      <c r="C33" s="5581"/>
      <c r="D33" s="5586" t="s">
        <v>11687</v>
      </c>
      <c r="E33" s="5581"/>
      <c r="F33" s="5587">
        <f>((2.5)*0.62)*1.05</f>
        <v>1.6275000000000002</v>
      </c>
      <c r="G33" s="5583"/>
      <c r="H33" s="5588"/>
      <c r="I33" s="5585"/>
      <c r="J33" s="144"/>
    </row>
    <row r="34" spans="1:27" s="145" customFormat="1" ht="13.5" customHeight="1">
      <c r="A34" s="5580"/>
      <c r="B34" s="5581"/>
      <c r="C34" s="5581"/>
      <c r="D34" s="5586" t="s">
        <v>11686</v>
      </c>
      <c r="E34" s="5581"/>
      <c r="F34" s="5587">
        <f>((2.5)*0.62)*1.05</f>
        <v>1.6275000000000002</v>
      </c>
      <c r="G34" s="5583"/>
      <c r="H34" s="5588"/>
      <c r="I34" s="5585"/>
      <c r="J34" s="144"/>
    </row>
    <row r="35" spans="1:27" s="145" customFormat="1" ht="13.5" customHeight="1">
      <c r="A35" s="5580"/>
      <c r="B35" s="5581"/>
      <c r="C35" s="5581"/>
      <c r="D35" s="5586" t="s">
        <v>11685</v>
      </c>
      <c r="E35" s="5581"/>
      <c r="F35" s="5587"/>
      <c r="G35" s="5583"/>
      <c r="H35" s="5588"/>
      <c r="I35" s="5585"/>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89">
        <f>ROUND(F36*G36,2)</f>
        <v>0</v>
      </c>
      <c r="I36" s="122" t="s">
        <v>60</v>
      </c>
      <c r="J36" s="138"/>
      <c r="U36" s="149"/>
    </row>
    <row r="37" spans="1:27" s="329" customFormat="1" ht="13.5" customHeight="1">
      <c r="A37" s="150"/>
      <c r="B37" s="124"/>
      <c r="C37" s="151"/>
      <c r="D37" s="135" t="s">
        <v>156</v>
      </c>
      <c r="E37" s="330"/>
      <c r="F37" s="136">
        <v>20</v>
      </c>
      <c r="G37" s="331"/>
      <c r="H37" s="4067"/>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67"/>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89">
        <f>ROUND(F39*G39,2)</f>
        <v>0</v>
      </c>
      <c r="I39" s="122" t="s">
        <v>60</v>
      </c>
      <c r="J39" s="172"/>
    </row>
    <row r="40" spans="1:27" s="158" customFormat="1" ht="13.5" customHeight="1">
      <c r="A40" s="160"/>
      <c r="B40" s="161"/>
      <c r="C40" s="162"/>
      <c r="D40" s="135" t="s">
        <v>761</v>
      </c>
      <c r="E40" s="163"/>
      <c r="F40" s="164"/>
      <c r="G40" s="165"/>
      <c r="H40" s="3792"/>
      <c r="I40" s="167"/>
      <c r="J40" s="157"/>
      <c r="U40" s="159"/>
      <c r="W40" s="159"/>
    </row>
    <row r="41" spans="1:27" s="158" customFormat="1" ht="13.5" customHeight="1">
      <c r="A41" s="160"/>
      <c r="B41" s="161"/>
      <c r="C41" s="162"/>
      <c r="D41" s="135" t="s">
        <v>762</v>
      </c>
      <c r="E41" s="163"/>
      <c r="F41" s="164">
        <f>(42.4)*1.1</f>
        <v>46.64</v>
      </c>
      <c r="G41" s="165"/>
      <c r="H41" s="3792"/>
      <c r="I41" s="167"/>
      <c r="J41" s="157"/>
      <c r="U41" s="159"/>
      <c r="W41" s="159"/>
    </row>
    <row r="42" spans="1:27" s="158" customFormat="1" ht="13.5" customHeight="1">
      <c r="A42" s="160"/>
      <c r="B42" s="161"/>
      <c r="C42" s="162"/>
      <c r="D42" s="135" t="s">
        <v>763</v>
      </c>
      <c r="E42" s="163"/>
      <c r="F42" s="164">
        <f>(3)*1.1</f>
        <v>3.3000000000000003</v>
      </c>
      <c r="G42" s="165"/>
      <c r="H42" s="3792"/>
      <c r="I42" s="167"/>
      <c r="J42" s="157"/>
      <c r="U42" s="159"/>
      <c r="W42" s="159"/>
    </row>
    <row r="43" spans="1:27" s="158" customFormat="1" ht="13.5" customHeight="1">
      <c r="A43" s="160"/>
      <c r="B43" s="161"/>
      <c r="C43" s="162"/>
      <c r="D43" s="135" t="s">
        <v>764</v>
      </c>
      <c r="E43" s="163"/>
      <c r="F43" s="164"/>
      <c r="G43" s="165"/>
      <c r="H43" s="3792"/>
      <c r="I43" s="167"/>
      <c r="J43" s="157"/>
      <c r="U43" s="159"/>
      <c r="W43" s="159"/>
    </row>
    <row r="44" spans="1:27" s="158" customFormat="1" ht="13.5" customHeight="1">
      <c r="A44" s="160"/>
      <c r="B44" s="161"/>
      <c r="C44" s="162"/>
      <c r="D44" s="135" t="s">
        <v>765</v>
      </c>
      <c r="E44" s="163"/>
      <c r="F44" s="164">
        <f>(49.8)*1.1</f>
        <v>54.78</v>
      </c>
      <c r="G44" s="165"/>
      <c r="H44" s="3792"/>
      <c r="I44" s="167"/>
      <c r="U44" s="159"/>
      <c r="W44" s="159"/>
    </row>
    <row r="45" spans="1:27" s="158" customFormat="1" ht="13.5" customHeight="1">
      <c r="A45" s="160"/>
      <c r="B45" s="161"/>
      <c r="C45" s="162"/>
      <c r="D45" s="135" t="s">
        <v>766</v>
      </c>
      <c r="E45" s="163"/>
      <c r="F45" s="164">
        <f>(3)*1.1</f>
        <v>3.3000000000000003</v>
      </c>
      <c r="G45" s="165"/>
      <c r="H45" s="3792"/>
      <c r="I45" s="167"/>
      <c r="J45" s="157"/>
      <c r="U45" s="159"/>
      <c r="W45" s="159"/>
    </row>
    <row r="46" spans="1:27" s="158" customFormat="1" ht="27" customHeight="1">
      <c r="A46" s="160"/>
      <c r="B46" s="161"/>
      <c r="C46" s="162"/>
      <c r="D46" s="162" t="s">
        <v>164</v>
      </c>
      <c r="E46" s="162"/>
      <c r="F46" s="169"/>
      <c r="G46" s="165"/>
      <c r="H46" s="3792"/>
      <c r="I46" s="170"/>
      <c r="J46" s="171"/>
      <c r="U46" s="159"/>
      <c r="W46" s="159"/>
    </row>
    <row r="47" spans="1:27" s="120" customFormat="1" ht="13.5" customHeight="1">
      <c r="A47" s="123">
        <v>7</v>
      </c>
      <c r="B47" s="121" t="s">
        <v>139</v>
      </c>
      <c r="C47" s="121" t="s">
        <v>429</v>
      </c>
      <c r="D47" s="121" t="s">
        <v>767</v>
      </c>
      <c r="E47" s="121" t="s">
        <v>23</v>
      </c>
      <c r="F47" s="128">
        <f>ROUND(SUM(F49:F50),3)</f>
        <v>2</v>
      </c>
      <c r="G47" s="137"/>
      <c r="H47" s="3789">
        <f>ROUND(F47*G47,2)</f>
        <v>0</v>
      </c>
      <c r="I47" s="122" t="s">
        <v>60</v>
      </c>
      <c r="J47" s="138"/>
    </row>
    <row r="48" spans="1:27" s="120" customFormat="1" ht="13.5" customHeight="1">
      <c r="A48" s="123"/>
      <c r="B48" s="121"/>
      <c r="C48" s="121"/>
      <c r="D48" s="135" t="s">
        <v>768</v>
      </c>
      <c r="E48" s="121"/>
      <c r="F48" s="173"/>
      <c r="G48" s="137"/>
      <c r="H48" s="4236"/>
      <c r="I48" s="122"/>
      <c r="J48" s="138"/>
    </row>
    <row r="49" spans="1:256" s="120" customFormat="1" ht="13.5" customHeight="1">
      <c r="A49" s="123"/>
      <c r="B49" s="121"/>
      <c r="C49" s="121"/>
      <c r="D49" s="135" t="s">
        <v>769</v>
      </c>
      <c r="E49" s="121"/>
      <c r="F49" s="136">
        <v>1</v>
      </c>
      <c r="G49" s="137"/>
      <c r="H49" s="4236"/>
      <c r="I49" s="122"/>
      <c r="J49" s="138"/>
    </row>
    <row r="50" spans="1:256" s="120" customFormat="1" ht="13.5" customHeight="1">
      <c r="A50" s="123"/>
      <c r="B50" s="121"/>
      <c r="C50" s="121"/>
      <c r="D50" s="135" t="s">
        <v>770</v>
      </c>
      <c r="E50" s="121"/>
      <c r="F50" s="136">
        <v>1</v>
      </c>
      <c r="G50" s="137"/>
      <c r="H50" s="4236"/>
      <c r="I50" s="122"/>
      <c r="J50" s="368"/>
    </row>
    <row r="51" spans="1:256" s="182" customFormat="1" ht="54" customHeight="1">
      <c r="A51" s="174"/>
      <c r="B51" s="175"/>
      <c r="C51" s="176"/>
      <c r="D51" s="177" t="s">
        <v>771</v>
      </c>
      <c r="E51" s="178"/>
      <c r="F51" s="179"/>
      <c r="G51" s="180"/>
      <c r="H51" s="3804"/>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89">
        <f>ROUND(F52*G52,2)</f>
        <v>0</v>
      </c>
      <c r="I52" s="122" t="s">
        <v>60</v>
      </c>
      <c r="J52" s="138"/>
    </row>
    <row r="53" spans="1:256" s="120" customFormat="1" ht="13.5" customHeight="1">
      <c r="A53" s="123"/>
      <c r="B53" s="121"/>
      <c r="C53" s="121"/>
      <c r="D53" s="135" t="s">
        <v>774</v>
      </c>
      <c r="E53" s="121"/>
      <c r="F53" s="173"/>
      <c r="G53" s="137"/>
      <c r="H53" s="4236"/>
      <c r="I53" s="122"/>
      <c r="J53" s="138"/>
    </row>
    <row r="54" spans="1:256" s="120" customFormat="1" ht="27" customHeight="1">
      <c r="A54" s="123"/>
      <c r="B54" s="121"/>
      <c r="C54" s="121"/>
      <c r="D54" s="135" t="s">
        <v>775</v>
      </c>
      <c r="E54" s="121"/>
      <c r="F54" s="136">
        <v>1</v>
      </c>
      <c r="G54" s="137"/>
      <c r="H54" s="4236"/>
      <c r="I54" s="122"/>
      <c r="J54" s="368"/>
    </row>
    <row r="55" spans="1:256" s="182" customFormat="1" ht="67.5" customHeight="1">
      <c r="A55" s="174"/>
      <c r="B55" s="175"/>
      <c r="C55" s="176"/>
      <c r="D55" s="177" t="s">
        <v>776</v>
      </c>
      <c r="E55" s="178"/>
      <c r="F55" s="179"/>
      <c r="G55" s="180"/>
      <c r="H55" s="3804"/>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89">
        <f>ROUND(F56*G56,2)</f>
        <v>0</v>
      </c>
      <c r="I56" s="122" t="s">
        <v>60</v>
      </c>
      <c r="J56" s="138"/>
      <c r="K56" s="368"/>
    </row>
    <row r="57" spans="1:256" s="120" customFormat="1" ht="13.5" customHeight="1">
      <c r="A57" s="123"/>
      <c r="B57" s="121"/>
      <c r="C57" s="121"/>
      <c r="D57" s="135" t="s">
        <v>779</v>
      </c>
      <c r="E57" s="121"/>
      <c r="F57" s="173"/>
      <c r="G57" s="137"/>
      <c r="H57" s="4236"/>
      <c r="I57" s="122"/>
      <c r="J57" s="138"/>
    </row>
    <row r="58" spans="1:256" s="120" customFormat="1" ht="13.5" customHeight="1">
      <c r="A58" s="123"/>
      <c r="B58" s="121"/>
      <c r="C58" s="121"/>
      <c r="D58" s="135" t="s">
        <v>780</v>
      </c>
      <c r="E58" s="121"/>
      <c r="F58" s="136">
        <v>1</v>
      </c>
      <c r="G58" s="137"/>
      <c r="H58" s="4236"/>
      <c r="I58" s="122"/>
      <c r="J58" s="138"/>
    </row>
    <row r="59" spans="1:256" s="158" customFormat="1" ht="40.5" customHeight="1">
      <c r="A59" s="160"/>
      <c r="B59" s="161"/>
      <c r="C59" s="162"/>
      <c r="D59" s="162" t="s">
        <v>781</v>
      </c>
      <c r="E59" s="162"/>
      <c r="F59" s="169"/>
      <c r="G59" s="165"/>
      <c r="H59" s="3792"/>
      <c r="I59" s="170"/>
      <c r="J59" s="171"/>
      <c r="U59" s="159"/>
      <c r="W59" s="159"/>
    </row>
    <row r="60" spans="1:256" s="120" customFormat="1" ht="13.5" customHeight="1">
      <c r="A60" s="123">
        <v>10</v>
      </c>
      <c r="B60" s="121" t="s">
        <v>139</v>
      </c>
      <c r="C60" s="121" t="s">
        <v>782</v>
      </c>
      <c r="D60" s="121" t="s">
        <v>783</v>
      </c>
      <c r="E60" s="121" t="s">
        <v>23</v>
      </c>
      <c r="F60" s="128">
        <f>ROUND(SUM(F62),3)</f>
        <v>1</v>
      </c>
      <c r="G60" s="137"/>
      <c r="H60" s="3789">
        <f>ROUND(F60*G60,2)</f>
        <v>0</v>
      </c>
      <c r="I60" s="122" t="s">
        <v>60</v>
      </c>
      <c r="J60" s="138"/>
      <c r="K60" s="368"/>
    </row>
    <row r="61" spans="1:256" s="120" customFormat="1" ht="13.5" customHeight="1">
      <c r="A61" s="123"/>
      <c r="B61" s="121"/>
      <c r="C61" s="121"/>
      <c r="D61" s="135" t="s">
        <v>784</v>
      </c>
      <c r="E61" s="121"/>
      <c r="F61" s="173"/>
      <c r="G61" s="137"/>
      <c r="H61" s="4236"/>
      <c r="I61" s="122"/>
      <c r="J61" s="138"/>
    </row>
    <row r="62" spans="1:256" s="120" customFormat="1" ht="27" customHeight="1">
      <c r="A62" s="123"/>
      <c r="B62" s="121"/>
      <c r="C62" s="121"/>
      <c r="D62" s="135" t="s">
        <v>785</v>
      </c>
      <c r="E62" s="121"/>
      <c r="F62" s="136">
        <v>1</v>
      </c>
      <c r="G62" s="137"/>
      <c r="H62" s="4236"/>
      <c r="I62" s="122"/>
      <c r="J62" s="138"/>
    </row>
    <row r="63" spans="1:256" s="182" customFormat="1" ht="54" customHeight="1">
      <c r="A63" s="174"/>
      <c r="B63" s="175"/>
      <c r="C63" s="176"/>
      <c r="D63" s="177" t="s">
        <v>786</v>
      </c>
      <c r="E63" s="178"/>
      <c r="F63" s="179"/>
      <c r="G63" s="180"/>
      <c r="H63" s="3804"/>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89">
        <f>ROUND(F64*G64,2)</f>
        <v>0</v>
      </c>
      <c r="I64" s="122" t="s">
        <v>60</v>
      </c>
      <c r="J64" s="138"/>
    </row>
    <row r="65" spans="1:256" s="120" customFormat="1" ht="13.5" customHeight="1">
      <c r="A65" s="123"/>
      <c r="B65" s="121"/>
      <c r="C65" s="121"/>
      <c r="D65" s="135" t="s">
        <v>788</v>
      </c>
      <c r="E65" s="121"/>
      <c r="F65" s="173"/>
      <c r="G65" s="137"/>
      <c r="H65" s="4236"/>
      <c r="I65" s="122"/>
      <c r="J65" s="138"/>
    </row>
    <row r="66" spans="1:256" s="120" customFormat="1" ht="27" customHeight="1">
      <c r="A66" s="123"/>
      <c r="B66" s="121"/>
      <c r="C66" s="121"/>
      <c r="D66" s="135" t="s">
        <v>789</v>
      </c>
      <c r="E66" s="121"/>
      <c r="F66" s="136">
        <v>1</v>
      </c>
      <c r="G66" s="137"/>
      <c r="H66" s="4236"/>
      <c r="I66" s="122"/>
      <c r="J66" s="138"/>
    </row>
    <row r="67" spans="1:256" s="182" customFormat="1" ht="54" customHeight="1">
      <c r="A67" s="174"/>
      <c r="B67" s="175"/>
      <c r="C67" s="176"/>
      <c r="D67" s="177" t="s">
        <v>790</v>
      </c>
      <c r="E67" s="178"/>
      <c r="F67" s="179"/>
      <c r="G67" s="180"/>
      <c r="H67" s="3804"/>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89">
        <f>ROUND(F68*G68,2)</f>
        <v>0</v>
      </c>
      <c r="I68" s="122" t="s">
        <v>60</v>
      </c>
      <c r="J68" s="138"/>
    </row>
    <row r="69" spans="1:256" s="120" customFormat="1" ht="27" customHeight="1">
      <c r="A69" s="123"/>
      <c r="B69" s="121"/>
      <c r="C69" s="121"/>
      <c r="D69" s="135" t="s">
        <v>792</v>
      </c>
      <c r="E69" s="121"/>
      <c r="F69" s="173"/>
      <c r="G69" s="137"/>
      <c r="H69" s="4236"/>
      <c r="I69" s="122"/>
      <c r="J69" s="138"/>
    </row>
    <row r="70" spans="1:256" s="120" customFormat="1" ht="13.5" customHeight="1">
      <c r="A70" s="123"/>
      <c r="B70" s="121"/>
      <c r="C70" s="121"/>
      <c r="D70" s="135" t="s">
        <v>793</v>
      </c>
      <c r="E70" s="121"/>
      <c r="F70" s="136">
        <v>1</v>
      </c>
      <c r="G70" s="137"/>
      <c r="H70" s="4236"/>
      <c r="I70" s="122"/>
      <c r="J70" s="138"/>
    </row>
    <row r="71" spans="1:256" s="182" customFormat="1" ht="67.5" customHeight="1">
      <c r="A71" s="174"/>
      <c r="B71" s="175"/>
      <c r="C71" s="176"/>
      <c r="D71" s="177" t="s">
        <v>794</v>
      </c>
      <c r="E71" s="178"/>
      <c r="F71" s="179"/>
      <c r="G71" s="180"/>
      <c r="H71" s="3804"/>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89">
        <f>ROUND(F72*G72,2)</f>
        <v>0</v>
      </c>
      <c r="I72" s="122" t="s">
        <v>60</v>
      </c>
      <c r="J72" s="138"/>
    </row>
    <row r="73" spans="1:256" s="120" customFormat="1" ht="13.5" customHeight="1">
      <c r="A73" s="123"/>
      <c r="B73" s="121"/>
      <c r="C73" s="121"/>
      <c r="D73" s="135" t="s">
        <v>796</v>
      </c>
      <c r="E73" s="121"/>
      <c r="F73" s="173"/>
      <c r="G73" s="137"/>
      <c r="H73" s="4236"/>
      <c r="I73" s="122"/>
      <c r="J73" s="138"/>
    </row>
    <row r="74" spans="1:256" s="120" customFormat="1" ht="27" customHeight="1">
      <c r="A74" s="123"/>
      <c r="B74" s="121"/>
      <c r="C74" s="121"/>
      <c r="D74" s="135" t="s">
        <v>797</v>
      </c>
      <c r="E74" s="121"/>
      <c r="F74" s="136">
        <v>1</v>
      </c>
      <c r="G74" s="137"/>
      <c r="H74" s="4236"/>
      <c r="I74" s="122"/>
      <c r="J74" s="138"/>
    </row>
    <row r="75" spans="1:256" s="182" customFormat="1" ht="67.5" customHeight="1">
      <c r="A75" s="174"/>
      <c r="B75" s="175"/>
      <c r="C75" s="176"/>
      <c r="D75" s="177" t="s">
        <v>175</v>
      </c>
      <c r="E75" s="178"/>
      <c r="F75" s="179"/>
      <c r="G75" s="180"/>
      <c r="H75" s="3804"/>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89">
        <f>ROUND(F76*G76,2)</f>
        <v>0</v>
      </c>
      <c r="I76" s="122" t="s">
        <v>60</v>
      </c>
      <c r="J76" s="138"/>
      <c r="W76" s="369"/>
    </row>
    <row r="77" spans="1:256" s="120" customFormat="1" ht="13.5" customHeight="1">
      <c r="A77" s="123"/>
      <c r="B77" s="121"/>
      <c r="C77" s="121"/>
      <c r="D77" s="135" t="s">
        <v>800</v>
      </c>
      <c r="E77" s="121"/>
      <c r="F77" s="136"/>
      <c r="G77" s="137"/>
      <c r="H77" s="4236"/>
      <c r="I77" s="122"/>
      <c r="J77" s="138"/>
      <c r="W77" s="369"/>
    </row>
    <row r="78" spans="1:256" s="120" customFormat="1" ht="13.5" customHeight="1">
      <c r="A78" s="123"/>
      <c r="B78" s="121"/>
      <c r="C78" s="121"/>
      <c r="D78" s="135" t="s">
        <v>801</v>
      </c>
      <c r="E78" s="121"/>
      <c r="F78" s="136">
        <v>1</v>
      </c>
      <c r="G78" s="137"/>
      <c r="H78" s="4236"/>
      <c r="I78" s="122"/>
      <c r="J78" s="138"/>
      <c r="W78" s="369"/>
    </row>
    <row r="79" spans="1:256" s="182" customFormat="1" ht="54" customHeight="1">
      <c r="A79" s="174"/>
      <c r="B79" s="175"/>
      <c r="C79" s="176"/>
      <c r="D79" s="177" t="s">
        <v>802</v>
      </c>
      <c r="E79" s="178"/>
      <c r="F79" s="179"/>
      <c r="G79" s="180"/>
      <c r="H79" s="3804"/>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89">
        <f>ROUND(F80*G80,2)</f>
        <v>0</v>
      </c>
      <c r="I80" s="122" t="s">
        <v>60</v>
      </c>
      <c r="J80" s="184"/>
    </row>
    <row r="81" spans="1:255" s="329" customFormat="1" ht="27" customHeight="1">
      <c r="A81" s="150"/>
      <c r="B81" s="124"/>
      <c r="C81" s="151"/>
      <c r="D81" s="135" t="s">
        <v>181</v>
      </c>
      <c r="E81" s="330"/>
      <c r="F81" s="136">
        <v>1</v>
      </c>
      <c r="G81" s="331"/>
      <c r="H81" s="4067"/>
      <c r="I81" s="153"/>
      <c r="K81" s="333"/>
    </row>
    <row r="82" spans="1:255" s="329" customFormat="1" ht="13.5" customHeight="1">
      <c r="A82" s="150"/>
      <c r="B82" s="124"/>
      <c r="C82" s="151"/>
      <c r="D82" s="135" t="s">
        <v>182</v>
      </c>
      <c r="E82" s="330"/>
      <c r="F82" s="136"/>
      <c r="G82" s="331"/>
      <c r="H82" s="4067"/>
      <c r="I82" s="153"/>
      <c r="K82" s="333"/>
    </row>
    <row r="83" spans="1:255" s="120" customFormat="1" ht="13.5" customHeight="1">
      <c r="A83" s="123">
        <v>16</v>
      </c>
      <c r="B83" s="121" t="s">
        <v>139</v>
      </c>
      <c r="C83" s="121" t="s">
        <v>176</v>
      </c>
      <c r="D83" s="121" t="s">
        <v>183</v>
      </c>
      <c r="E83" s="121" t="s">
        <v>155</v>
      </c>
      <c r="F83" s="128">
        <f>ROUND(SUM(F84),3)</f>
        <v>1</v>
      </c>
      <c r="G83" s="137"/>
      <c r="H83" s="3789">
        <f>ROUND(F83*G83,2)</f>
        <v>0</v>
      </c>
      <c r="I83" s="122" t="s">
        <v>60</v>
      </c>
      <c r="J83" s="184"/>
    </row>
    <row r="84" spans="1:255" s="329" customFormat="1" ht="13.5" customHeight="1">
      <c r="A84" s="150"/>
      <c r="B84" s="124"/>
      <c r="C84" s="151"/>
      <c r="D84" s="135" t="s">
        <v>184</v>
      </c>
      <c r="E84" s="330"/>
      <c r="F84" s="136">
        <v>1</v>
      </c>
      <c r="G84" s="331"/>
      <c r="H84" s="4067"/>
      <c r="I84" s="153"/>
      <c r="K84" s="333"/>
    </row>
    <row r="85" spans="1:255" s="120" customFormat="1" ht="13.5" customHeight="1">
      <c r="A85" s="123">
        <v>17</v>
      </c>
      <c r="B85" s="121" t="s">
        <v>139</v>
      </c>
      <c r="C85" s="121" t="s">
        <v>185</v>
      </c>
      <c r="D85" s="121" t="s">
        <v>186</v>
      </c>
      <c r="E85" s="121" t="s">
        <v>23</v>
      </c>
      <c r="F85" s="128">
        <f>ROUND(SUM(F86),3)</f>
        <v>1</v>
      </c>
      <c r="G85" s="137"/>
      <c r="H85" s="3789">
        <f>ROUND(F85*G85,2)</f>
        <v>0</v>
      </c>
      <c r="I85" s="122" t="s">
        <v>60</v>
      </c>
      <c r="J85" s="184"/>
    </row>
    <row r="86" spans="1:255" s="329" customFormat="1" ht="13.5" customHeight="1">
      <c r="A86" s="150"/>
      <c r="B86" s="124"/>
      <c r="C86" s="151"/>
      <c r="D86" s="135" t="s">
        <v>187</v>
      </c>
      <c r="E86" s="330"/>
      <c r="F86" s="136">
        <v>1</v>
      </c>
      <c r="G86" s="331"/>
      <c r="H86" s="4067"/>
      <c r="I86" s="153"/>
      <c r="K86" s="333"/>
    </row>
    <row r="87" spans="1:255" s="120" customFormat="1" ht="13.5" customHeight="1">
      <c r="A87" s="123">
        <v>18</v>
      </c>
      <c r="B87" s="121" t="s">
        <v>188</v>
      </c>
      <c r="C87" s="121" t="s">
        <v>189</v>
      </c>
      <c r="D87" s="121" t="s">
        <v>190</v>
      </c>
      <c r="E87" s="121" t="s">
        <v>191</v>
      </c>
      <c r="F87" s="128">
        <f>ROUND(SUM(F88),3)</f>
        <v>5</v>
      </c>
      <c r="G87" s="137"/>
      <c r="H87" s="3789">
        <f>ROUND(F87*G87,2)</f>
        <v>0</v>
      </c>
      <c r="I87" s="122" t="s">
        <v>142</v>
      </c>
      <c r="J87" s="184"/>
    </row>
    <row r="88" spans="1:255" s="329" customFormat="1" ht="27" customHeight="1">
      <c r="A88" s="150"/>
      <c r="B88" s="124"/>
      <c r="C88" s="151"/>
      <c r="D88" s="135" t="s">
        <v>192</v>
      </c>
      <c r="E88" s="330"/>
      <c r="F88" s="136">
        <v>5</v>
      </c>
      <c r="G88" s="331"/>
      <c r="H88" s="4067"/>
      <c r="I88" s="153"/>
      <c r="K88" s="333"/>
    </row>
    <row r="89" spans="1:255" s="120" customFormat="1" ht="13.5" customHeight="1">
      <c r="A89" s="123"/>
      <c r="B89" s="121"/>
      <c r="C89" s="116" t="s">
        <v>193</v>
      </c>
      <c r="D89" s="116" t="s">
        <v>194</v>
      </c>
      <c r="E89" s="116"/>
      <c r="F89" s="185"/>
      <c r="G89" s="118"/>
      <c r="H89" s="4243">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89">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92"/>
      <c r="I91" s="167"/>
      <c r="J91" s="191"/>
      <c r="U91" s="159"/>
      <c r="W91" s="159"/>
    </row>
    <row r="92" spans="1:255" s="187" customFormat="1" ht="13.5" customHeight="1">
      <c r="A92" s="189">
        <v>20</v>
      </c>
      <c r="B92" s="190" t="s">
        <v>195</v>
      </c>
      <c r="C92" s="190">
        <v>460041111</v>
      </c>
      <c r="D92" s="190" t="s">
        <v>199</v>
      </c>
      <c r="E92" s="190" t="s">
        <v>191</v>
      </c>
      <c r="F92" s="128">
        <f>ROUND(SUM(F93),3)</f>
        <v>2</v>
      </c>
      <c r="G92" s="137"/>
      <c r="H92" s="3789">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92"/>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89">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92"/>
      <c r="I95" s="167"/>
      <c r="J95" s="191"/>
      <c r="U95" s="159"/>
      <c r="W95" s="159"/>
    </row>
    <row r="96" spans="1:255" s="158" customFormat="1" ht="13.5" customHeight="1">
      <c r="A96" s="160"/>
      <c r="B96" s="161"/>
      <c r="C96" s="162"/>
      <c r="D96" s="195" t="s">
        <v>805</v>
      </c>
      <c r="E96" s="163"/>
      <c r="F96" s="164">
        <f>(8.4)*0.05</f>
        <v>0.42000000000000004</v>
      </c>
      <c r="G96" s="165"/>
      <c r="H96" s="3792"/>
      <c r="I96" s="167"/>
      <c r="J96" s="191"/>
      <c r="U96" s="159"/>
      <c r="W96" s="159"/>
    </row>
    <row r="97" spans="1:255" s="158" customFormat="1" ht="27" customHeight="1">
      <c r="A97" s="160"/>
      <c r="B97" s="161"/>
      <c r="C97" s="162"/>
      <c r="D97" s="196" t="s">
        <v>204</v>
      </c>
      <c r="E97" s="163"/>
      <c r="F97" s="164"/>
      <c r="G97" s="165"/>
      <c r="H97" s="3792"/>
      <c r="I97" s="167"/>
      <c r="U97" s="159"/>
      <c r="W97" s="159"/>
    </row>
    <row r="98" spans="1:255" s="187" customFormat="1" ht="13.5" customHeight="1">
      <c r="A98" s="189">
        <v>22</v>
      </c>
      <c r="B98" s="190" t="s">
        <v>195</v>
      </c>
      <c r="C98" s="190">
        <v>460161652</v>
      </c>
      <c r="D98" s="190" t="s">
        <v>326</v>
      </c>
      <c r="E98" s="190" t="s">
        <v>141</v>
      </c>
      <c r="F98" s="128">
        <f>ROUND(SUM(F100),3)</f>
        <v>2.12</v>
      </c>
      <c r="G98" s="137"/>
      <c r="H98" s="3789">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92"/>
      <c r="I99" s="167"/>
      <c r="J99" s="191"/>
      <c r="U99" s="159"/>
      <c r="W99" s="159"/>
    </row>
    <row r="100" spans="1:255" s="158" customFormat="1" ht="13.5" customHeight="1">
      <c r="A100" s="160"/>
      <c r="B100" s="161"/>
      <c r="C100" s="162"/>
      <c r="D100" s="195" t="s">
        <v>807</v>
      </c>
      <c r="E100" s="163"/>
      <c r="F100" s="164">
        <f>(42.4)*0.05</f>
        <v>2.12</v>
      </c>
      <c r="G100" s="165"/>
      <c r="H100" s="3792"/>
      <c r="I100" s="167"/>
      <c r="J100" s="191"/>
      <c r="U100" s="159"/>
      <c r="W100" s="159"/>
    </row>
    <row r="101" spans="1:255" s="158" customFormat="1" ht="27" customHeight="1">
      <c r="A101" s="160"/>
      <c r="B101" s="161"/>
      <c r="C101" s="162"/>
      <c r="D101" s="196" t="s">
        <v>204</v>
      </c>
      <c r="E101" s="163"/>
      <c r="F101" s="164"/>
      <c r="G101" s="165"/>
      <c r="H101" s="3792"/>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89">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92"/>
      <c r="I103" s="167"/>
      <c r="J103" s="191"/>
      <c r="U103" s="159"/>
      <c r="W103" s="159"/>
    </row>
    <row r="104" spans="1:255" s="158" customFormat="1" ht="13.5" customHeight="1">
      <c r="A104" s="160"/>
      <c r="B104" s="161"/>
      <c r="C104" s="162"/>
      <c r="D104" s="195" t="s">
        <v>809</v>
      </c>
      <c r="E104" s="163"/>
      <c r="F104" s="164">
        <f>(8.4)*0.85</f>
        <v>7.14</v>
      </c>
      <c r="G104" s="165"/>
      <c r="H104" s="3792"/>
      <c r="I104" s="167"/>
      <c r="J104" s="191"/>
      <c r="U104" s="159"/>
      <c r="W104" s="159"/>
    </row>
    <row r="105" spans="1:255" s="158" customFormat="1" ht="27" customHeight="1">
      <c r="A105" s="160"/>
      <c r="B105" s="161"/>
      <c r="C105" s="162"/>
      <c r="D105" s="196" t="s">
        <v>204</v>
      </c>
      <c r="E105" s="163"/>
      <c r="F105" s="164"/>
      <c r="G105" s="165"/>
      <c r="H105" s="3792"/>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89">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92"/>
      <c r="I107" s="167"/>
      <c r="J107" s="191"/>
      <c r="U107" s="159"/>
      <c r="W107" s="159"/>
    </row>
    <row r="108" spans="1:255" s="158" customFormat="1" ht="13.5" customHeight="1">
      <c r="A108" s="160"/>
      <c r="B108" s="161"/>
      <c r="C108" s="162"/>
      <c r="D108" s="195" t="s">
        <v>811</v>
      </c>
      <c r="E108" s="163"/>
      <c r="F108" s="164">
        <f>(8.4)*0.1</f>
        <v>0.84000000000000008</v>
      </c>
      <c r="G108" s="165"/>
      <c r="H108" s="3792"/>
      <c r="I108" s="167"/>
      <c r="J108" s="191"/>
      <c r="U108" s="159"/>
      <c r="W108" s="159"/>
    </row>
    <row r="109" spans="1:255" s="158" customFormat="1" ht="27" customHeight="1">
      <c r="A109" s="160"/>
      <c r="B109" s="161"/>
      <c r="C109" s="162"/>
      <c r="D109" s="196" t="s">
        <v>204</v>
      </c>
      <c r="E109" s="163"/>
      <c r="F109" s="164"/>
      <c r="G109" s="165"/>
      <c r="H109" s="3792"/>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89">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92"/>
      <c r="I111" s="167"/>
      <c r="J111" s="191"/>
      <c r="U111" s="159"/>
      <c r="W111" s="159"/>
    </row>
    <row r="112" spans="1:255" s="158" customFormat="1" ht="13.5" customHeight="1">
      <c r="A112" s="160"/>
      <c r="B112" s="161"/>
      <c r="C112" s="162"/>
      <c r="D112" s="195" t="s">
        <v>813</v>
      </c>
      <c r="E112" s="163"/>
      <c r="F112" s="164">
        <f>(42.4)*0.85</f>
        <v>36.04</v>
      </c>
      <c r="G112" s="165"/>
      <c r="H112" s="3792"/>
      <c r="I112" s="167"/>
      <c r="J112" s="191"/>
      <c r="U112" s="159"/>
      <c r="W112" s="159"/>
    </row>
    <row r="113" spans="1:255" s="158" customFormat="1" ht="27" customHeight="1">
      <c r="A113" s="160"/>
      <c r="B113" s="161"/>
      <c r="C113" s="162"/>
      <c r="D113" s="193" t="s">
        <v>204</v>
      </c>
      <c r="E113" s="163"/>
      <c r="F113" s="164"/>
      <c r="G113" s="165"/>
      <c r="H113" s="3792"/>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89">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92"/>
      <c r="I115" s="167"/>
      <c r="J115" s="191"/>
      <c r="U115" s="159"/>
      <c r="W115" s="159"/>
    </row>
    <row r="116" spans="1:255" s="158" customFormat="1" ht="13.5" customHeight="1">
      <c r="A116" s="160"/>
      <c r="B116" s="161"/>
      <c r="C116" s="162"/>
      <c r="D116" s="195" t="s">
        <v>815</v>
      </c>
      <c r="E116" s="163"/>
      <c r="F116" s="164">
        <f>(42.4)*0.1</f>
        <v>4.24</v>
      </c>
      <c r="G116" s="165"/>
      <c r="H116" s="3792"/>
      <c r="I116" s="167"/>
      <c r="J116" s="171"/>
      <c r="U116" s="159"/>
      <c r="W116" s="159"/>
    </row>
    <row r="117" spans="1:255" s="158" customFormat="1" ht="27" customHeight="1">
      <c r="A117" s="160"/>
      <c r="B117" s="161"/>
      <c r="C117" s="162"/>
      <c r="D117" s="193" t="s">
        <v>204</v>
      </c>
      <c r="E117" s="163"/>
      <c r="F117" s="164"/>
      <c r="G117" s="165"/>
      <c r="H117" s="3792"/>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89">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92"/>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89">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92"/>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89">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92"/>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89">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92"/>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89">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92"/>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89">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236"/>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236"/>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92"/>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89">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236"/>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92"/>
      <c r="I134" s="167"/>
      <c r="J134" s="171"/>
      <c r="U134" s="159"/>
      <c r="W134" s="159"/>
    </row>
    <row r="135" spans="1:255" s="158" customFormat="1" ht="27" customHeight="1">
      <c r="A135" s="160"/>
      <c r="B135" s="161"/>
      <c r="C135" s="162"/>
      <c r="D135" s="193" t="s">
        <v>232</v>
      </c>
      <c r="E135" s="163"/>
      <c r="F135" s="164"/>
      <c r="G135" s="165"/>
      <c r="H135" s="3792"/>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89">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236"/>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92"/>
      <c r="I138" s="167"/>
      <c r="J138" s="171"/>
      <c r="U138" s="159"/>
      <c r="W138" s="159"/>
    </row>
    <row r="139" spans="1:255" s="158" customFormat="1" ht="27" customHeight="1">
      <c r="A139" s="160"/>
      <c r="B139" s="161"/>
      <c r="C139" s="162"/>
      <c r="D139" s="193" t="s">
        <v>232</v>
      </c>
      <c r="E139" s="163"/>
      <c r="F139" s="164"/>
      <c r="G139" s="165"/>
      <c r="H139" s="3792"/>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89">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236"/>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92"/>
      <c r="I142" s="167"/>
      <c r="J142" s="171"/>
      <c r="U142" s="159"/>
      <c r="W142" s="159"/>
    </row>
    <row r="143" spans="1:255" s="158" customFormat="1" ht="27" customHeight="1">
      <c r="A143" s="160"/>
      <c r="B143" s="161"/>
      <c r="C143" s="162"/>
      <c r="D143" s="193" t="s">
        <v>232</v>
      </c>
      <c r="E143" s="163"/>
      <c r="F143" s="164"/>
      <c r="G143" s="165"/>
      <c r="H143" s="3792"/>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92"/>
      <c r="I151" s="167"/>
      <c r="J151" s="171"/>
      <c r="U151" s="159"/>
      <c r="W151" s="159"/>
    </row>
    <row r="152" spans="1:255" s="158" customFormat="1" ht="13.5" customHeight="1">
      <c r="A152" s="160"/>
      <c r="B152" s="161"/>
      <c r="C152" s="162"/>
      <c r="D152" s="193" t="s">
        <v>243</v>
      </c>
      <c r="E152" s="163"/>
      <c r="F152" s="164"/>
      <c r="G152" s="165"/>
      <c r="H152" s="3792"/>
      <c r="I152" s="167"/>
      <c r="J152" s="171"/>
      <c r="U152" s="159"/>
      <c r="W152" s="159"/>
    </row>
    <row r="153" spans="1:255" s="158" customFormat="1" ht="27" customHeight="1">
      <c r="A153" s="160"/>
      <c r="B153" s="161"/>
      <c r="C153" s="162"/>
      <c r="D153" s="193" t="s">
        <v>244</v>
      </c>
      <c r="E153" s="163"/>
      <c r="F153" s="164"/>
      <c r="G153" s="165"/>
      <c r="H153" s="3792"/>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89">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236"/>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92"/>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89">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236"/>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92"/>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89">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92"/>
      <c r="I161" s="167"/>
      <c r="J161" s="144"/>
      <c r="K161" s="145"/>
      <c r="U161" s="155"/>
      <c r="W161" s="159"/>
    </row>
    <row r="162" spans="1:256" s="158" customFormat="1" ht="13.5" customHeight="1">
      <c r="A162" s="160"/>
      <c r="B162" s="161"/>
      <c r="C162" s="162"/>
      <c r="D162" s="203" t="s">
        <v>832</v>
      </c>
      <c r="E162" s="163"/>
      <c r="F162" s="164">
        <f>(2.5)*1.1</f>
        <v>2.75</v>
      </c>
      <c r="G162" s="165"/>
      <c r="H162" s="3792"/>
      <c r="I162" s="167"/>
      <c r="J162" s="171"/>
      <c r="U162" s="159"/>
      <c r="W162" s="159"/>
    </row>
    <row r="163" spans="1:256" s="158" customFormat="1" ht="13.5" customHeight="1">
      <c r="A163" s="160"/>
      <c r="B163" s="161"/>
      <c r="C163" s="162"/>
      <c r="D163" s="203" t="s">
        <v>833</v>
      </c>
      <c r="E163" s="163"/>
      <c r="F163" s="164">
        <f>((2.5)*2)*1.1</f>
        <v>5.5</v>
      </c>
      <c r="G163" s="165"/>
      <c r="H163" s="3792"/>
      <c r="I163" s="167"/>
      <c r="J163" s="171"/>
      <c r="U163" s="159"/>
      <c r="W163" s="159"/>
    </row>
    <row r="164" spans="1:256" s="158" customFormat="1" ht="13.5" customHeight="1">
      <c r="A164" s="160"/>
      <c r="B164" s="161"/>
      <c r="C164" s="162"/>
      <c r="D164" s="193" t="s">
        <v>258</v>
      </c>
      <c r="E164" s="163"/>
      <c r="F164" s="164"/>
      <c r="G164" s="165"/>
      <c r="H164" s="3792"/>
      <c r="I164" s="167"/>
      <c r="J164" s="171"/>
      <c r="P164" s="204"/>
      <c r="U164" s="159"/>
      <c r="W164" s="159"/>
    </row>
    <row r="165" spans="1:256" s="158" customFormat="1" ht="13.5" customHeight="1">
      <c r="A165" s="160"/>
      <c r="B165" s="161"/>
      <c r="C165" s="162"/>
      <c r="D165" s="193" t="s">
        <v>259</v>
      </c>
      <c r="E165" s="163"/>
      <c r="F165" s="164"/>
      <c r="G165" s="165"/>
      <c r="H165" s="3792"/>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89">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92"/>
      <c r="I167" s="167"/>
      <c r="J167" s="144"/>
      <c r="K167" s="145"/>
      <c r="U167" s="155"/>
      <c r="W167" s="159"/>
    </row>
    <row r="168" spans="1:256" s="158" customFormat="1" ht="13.5" customHeight="1">
      <c r="A168" s="160"/>
      <c r="B168" s="161"/>
      <c r="C168" s="162"/>
      <c r="D168" s="203" t="s">
        <v>834</v>
      </c>
      <c r="E168" s="163"/>
      <c r="F168" s="164">
        <f>(42.4)*1.1</f>
        <v>46.64</v>
      </c>
      <c r="G168" s="165"/>
      <c r="H168" s="3792"/>
      <c r="I168" s="167"/>
      <c r="J168" s="171"/>
      <c r="U168" s="159"/>
      <c r="W168" s="159"/>
    </row>
    <row r="169" spans="1:256" s="158" customFormat="1" ht="13.5" customHeight="1">
      <c r="A169" s="160"/>
      <c r="B169" s="161"/>
      <c r="C169" s="162"/>
      <c r="D169" s="203" t="s">
        <v>835</v>
      </c>
      <c r="E169" s="163"/>
      <c r="F169" s="164">
        <f>(49.8)*1.1</f>
        <v>54.78</v>
      </c>
      <c r="G169" s="165"/>
      <c r="H169" s="3792"/>
      <c r="I169" s="167"/>
      <c r="J169" s="171"/>
      <c r="U169" s="159"/>
      <c r="W169" s="159"/>
    </row>
    <row r="170" spans="1:256" s="158" customFormat="1" ht="13.5" customHeight="1">
      <c r="A170" s="160"/>
      <c r="B170" s="161"/>
      <c r="C170" s="162"/>
      <c r="D170" s="193" t="s">
        <v>258</v>
      </c>
      <c r="E170" s="163"/>
      <c r="F170" s="164"/>
      <c r="G170" s="165"/>
      <c r="H170" s="3792"/>
      <c r="I170" s="167"/>
      <c r="J170" s="171"/>
      <c r="P170" s="204"/>
      <c r="U170" s="159"/>
      <c r="W170" s="159"/>
    </row>
    <row r="171" spans="1:256" s="158" customFormat="1" ht="13.5" customHeight="1">
      <c r="A171" s="160"/>
      <c r="B171" s="161"/>
      <c r="C171" s="162"/>
      <c r="D171" s="193" t="s">
        <v>259</v>
      </c>
      <c r="E171" s="163"/>
      <c r="F171" s="164"/>
      <c r="G171" s="165"/>
      <c r="H171" s="3792"/>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89">
        <f>ROUND(F172*G172,2)</f>
        <v>0</v>
      </c>
      <c r="I172" s="153" t="s">
        <v>60</v>
      </c>
    </row>
    <row r="173" spans="1:256" s="187" customFormat="1" ht="13.5" customHeight="1">
      <c r="A173" s="206"/>
      <c r="B173" s="207"/>
      <c r="C173" s="151"/>
      <c r="D173" s="135" t="s">
        <v>262</v>
      </c>
      <c r="E173" s="151"/>
      <c r="F173" s="210"/>
      <c r="G173" s="209"/>
      <c r="H173" s="3796"/>
      <c r="I173" s="153"/>
      <c r="J173" s="211"/>
      <c r="K173" s="212"/>
      <c r="L173" s="212"/>
      <c r="M173" s="211"/>
      <c r="N173" s="213"/>
    </row>
    <row r="174" spans="1:256" s="333" customFormat="1" ht="13.5" customHeight="1">
      <c r="A174" s="338"/>
      <c r="B174" s="339"/>
      <c r="C174" s="151"/>
      <c r="D174" s="216" t="s">
        <v>263</v>
      </c>
      <c r="E174" s="340"/>
      <c r="F174" s="218">
        <f>SUM(F175)</f>
        <v>17.721</v>
      </c>
      <c r="G174" s="341"/>
      <c r="H174" s="3798"/>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96"/>
      <c r="I175" s="224"/>
      <c r="J175" s="225"/>
    </row>
    <row r="176" spans="1:256" s="333" customFormat="1" ht="13.5" customHeight="1">
      <c r="A176" s="338"/>
      <c r="B176" s="339"/>
      <c r="C176" s="151"/>
      <c r="D176" s="216" t="s">
        <v>265</v>
      </c>
      <c r="E176" s="340"/>
      <c r="F176" s="218">
        <f>SUM(F177)</f>
        <v>1.9690000000000003</v>
      </c>
      <c r="G176" s="341"/>
      <c r="H176" s="3798"/>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96"/>
      <c r="I177" s="224"/>
      <c r="J177" s="225"/>
    </row>
    <row r="178" spans="1:256" s="187" customFormat="1" ht="13.5" customHeight="1">
      <c r="A178" s="226" t="s">
        <v>372</v>
      </c>
      <c r="B178" s="151"/>
      <c r="C178" s="227">
        <v>460371121</v>
      </c>
      <c r="D178" s="135" t="s">
        <v>268</v>
      </c>
      <c r="E178" s="228" t="s">
        <v>221</v>
      </c>
      <c r="F178" s="136">
        <f>F174</f>
        <v>17.721</v>
      </c>
      <c r="G178" s="229"/>
      <c r="H178" s="4064">
        <f t="shared" ref="H178:H181" si="0">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64">
        <f t="shared" si="0"/>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64">
        <f t="shared" si="0"/>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64">
        <f t="shared" si="0"/>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800"/>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89">
        <f>ROUND(F183*G183,2)</f>
        <v>0</v>
      </c>
      <c r="I183" s="153" t="s">
        <v>60</v>
      </c>
    </row>
    <row r="184" spans="1:256" s="187" customFormat="1" ht="13.5" customHeight="1">
      <c r="A184" s="226"/>
      <c r="B184" s="151"/>
      <c r="C184" s="227"/>
      <c r="D184" s="135" t="s">
        <v>278</v>
      </c>
      <c r="E184" s="228"/>
      <c r="F184" s="136"/>
      <c r="G184" s="234"/>
      <c r="H184" s="3800"/>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98"/>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96"/>
      <c r="I186" s="224"/>
      <c r="J186" s="225"/>
    </row>
    <row r="187" spans="1:256" s="333" customFormat="1" ht="13.5" customHeight="1">
      <c r="A187" s="338"/>
      <c r="B187" s="339"/>
      <c r="C187" s="151"/>
      <c r="D187" s="216" t="s">
        <v>281</v>
      </c>
      <c r="E187" s="340"/>
      <c r="F187" s="218">
        <f>SUM(F188)</f>
        <v>1.9690000000000003</v>
      </c>
      <c r="G187" s="341"/>
      <c r="H187" s="3798"/>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96"/>
      <c r="I188" s="224"/>
      <c r="J188" s="225"/>
    </row>
    <row r="189" spans="1:256" s="187" customFormat="1" ht="13.5" customHeight="1">
      <c r="A189" s="226" t="s">
        <v>703</v>
      </c>
      <c r="B189" s="151"/>
      <c r="C189" s="227">
        <v>460371121</v>
      </c>
      <c r="D189" s="135" t="s">
        <v>268</v>
      </c>
      <c r="E189" s="228" t="s">
        <v>221</v>
      </c>
      <c r="F189" s="136">
        <f>F186</f>
        <v>17.721</v>
      </c>
      <c r="G189" s="229"/>
      <c r="H189" s="4064">
        <f t="shared" ref="H189:H191" si="1">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64">
        <f t="shared" si="1"/>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64">
        <f t="shared" si="1"/>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800"/>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89">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801"/>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92"/>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98"/>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92"/>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98"/>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64">
        <f t="shared" ref="H199:H204" si="2">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64">
        <f t="shared" si="2"/>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64">
        <f t="shared" si="2"/>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64">
        <f t="shared" si="2"/>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64">
        <f t="shared" si="2"/>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64">
        <f t="shared" si="2"/>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803"/>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804"/>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89">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92"/>
      <c r="I208" s="167"/>
      <c r="J208" s="171"/>
      <c r="U208" s="159"/>
      <c r="W208" s="159"/>
    </row>
    <row r="209" spans="1:23" s="158" customFormat="1" ht="13.5" customHeight="1">
      <c r="A209" s="160"/>
      <c r="B209" s="161"/>
      <c r="C209" s="162"/>
      <c r="D209" s="193" t="s">
        <v>845</v>
      </c>
      <c r="E209" s="163"/>
      <c r="F209" s="164">
        <f>31.74</f>
        <v>31.74</v>
      </c>
      <c r="G209" s="165"/>
      <c r="H209" s="3792"/>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89">
        <f>ROUND(F210*G210,2)</f>
        <v>0</v>
      </c>
      <c r="I210" s="122" t="s">
        <v>142</v>
      </c>
      <c r="J210" s="184"/>
    </row>
    <row r="211" spans="1:23" s="158" customFormat="1" ht="27" customHeight="1">
      <c r="A211" s="160"/>
      <c r="B211" s="161"/>
      <c r="C211" s="162"/>
      <c r="D211" s="193" t="s">
        <v>192</v>
      </c>
      <c r="E211" s="163"/>
      <c r="F211" s="164">
        <v>10</v>
      </c>
      <c r="G211" s="165"/>
      <c r="H211" s="3792"/>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720" t="s">
        <v>99</v>
      </c>
      <c r="B214" s="5721"/>
      <c r="C214" s="5722"/>
      <c r="D214" s="306" t="s">
        <v>10546</v>
      </c>
      <c r="E214" s="307"/>
      <c r="F214" s="308"/>
      <c r="G214" s="309"/>
      <c r="H214" s="4290">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650" t="s">
        <v>308</v>
      </c>
      <c r="B217" s="5650"/>
      <c r="C217" s="5650"/>
      <c r="D217" s="5650"/>
      <c r="E217" s="5650"/>
      <c r="F217" s="5650"/>
      <c r="G217" s="5650"/>
      <c r="H217" s="48"/>
      <c r="I217" s="87"/>
    </row>
    <row r="218" spans="1:23" ht="93.75" customHeight="1">
      <c r="A218" s="5650" t="s">
        <v>26</v>
      </c>
      <c r="B218" s="5650"/>
      <c r="C218" s="5650"/>
      <c r="D218" s="5650"/>
      <c r="E218" s="5650"/>
      <c r="F218" s="5650"/>
      <c r="G218" s="5650"/>
      <c r="H218" s="48"/>
      <c r="I218" s="48"/>
    </row>
    <row r="219" spans="1:23" ht="13.5" customHeight="1">
      <c r="A219" s="5650" t="s">
        <v>27</v>
      </c>
      <c r="B219" s="5650"/>
      <c r="C219" s="5650"/>
      <c r="D219" s="5650"/>
      <c r="E219" s="5650"/>
      <c r="F219" s="5650"/>
      <c r="G219" s="5650"/>
      <c r="H219" s="318"/>
      <c r="I219" s="318"/>
    </row>
    <row r="220" spans="1:23" ht="13.5" customHeight="1">
      <c r="A220" s="5650" t="s">
        <v>28</v>
      </c>
      <c r="B220" s="5650"/>
      <c r="C220" s="5650"/>
      <c r="D220" s="5650"/>
      <c r="E220" s="5650"/>
      <c r="F220" s="5650"/>
      <c r="G220" s="5650"/>
      <c r="H220" s="318"/>
      <c r="I220" s="318"/>
    </row>
    <row r="221" spans="1:23" ht="40.5" customHeight="1">
      <c r="A221" s="5652" t="s">
        <v>61</v>
      </c>
      <c r="B221" s="5652"/>
      <c r="C221" s="5652"/>
      <c r="D221" s="5652"/>
      <c r="E221" s="5652"/>
      <c r="F221" s="5652"/>
      <c r="G221" s="5652"/>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718" t="s">
        <v>112</v>
      </c>
      <c r="B2" s="5719"/>
      <c r="C2" s="5719"/>
      <c r="D2" s="5719"/>
      <c r="E2" s="5719"/>
      <c r="F2" s="5719"/>
      <c r="G2" s="5719"/>
      <c r="H2" s="5719"/>
      <c r="I2" s="5719"/>
    </row>
    <row r="3" spans="1:25" ht="13.5" customHeight="1">
      <c r="A3" s="5734" t="s">
        <v>125</v>
      </c>
      <c r="B3" s="5774"/>
      <c r="C3" s="5774"/>
      <c r="D3" s="5774"/>
      <c r="E3" s="85"/>
      <c r="F3" s="86"/>
      <c r="G3" s="86"/>
      <c r="H3" s="87"/>
      <c r="I3" s="87"/>
    </row>
    <row r="4" spans="1:25" s="107" customFormat="1" ht="13.5" customHeight="1">
      <c r="A4" s="5743" t="s">
        <v>596</v>
      </c>
      <c r="B4" s="5774"/>
      <c r="C4" s="5774"/>
      <c r="D4" s="5774"/>
      <c r="E4" s="5743"/>
      <c r="F4" s="5774"/>
      <c r="G4" s="5774"/>
      <c r="H4" s="5774"/>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10501</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 t="shared" ref="H141:H144" si="2">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 t="shared" si="2"/>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 t="shared" si="2"/>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 t="shared" si="2"/>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 t="shared" ref="H152:H154" si="3">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 t="shared" si="3"/>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 t="shared" si="3"/>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4">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4"/>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4"/>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4"/>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4"/>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4"/>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 t="shared" ref="H172:H175" si="5">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 t="shared" si="5"/>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 t="shared" si="5"/>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 t="shared" si="5"/>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 t="shared" ref="H179:H182" si="6">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 t="shared" si="6"/>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 t="shared" si="6"/>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 t="shared" si="6"/>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 t="shared" ref="H187:H190" si="7">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 t="shared" si="7"/>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 t="shared" si="7"/>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 t="shared" si="7"/>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720" t="s">
        <v>99</v>
      </c>
      <c r="B200" s="5721"/>
      <c r="C200" s="5722"/>
      <c r="D200" s="306" t="s">
        <v>10547</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650" t="s">
        <v>308</v>
      </c>
      <c r="B203" s="5650"/>
      <c r="C203" s="5650"/>
      <c r="D203" s="5650"/>
      <c r="E203" s="5650"/>
      <c r="F203" s="5650"/>
      <c r="G203" s="5650"/>
      <c r="H203" s="48"/>
      <c r="I203" s="87"/>
    </row>
    <row r="204" spans="1:23" ht="93.75" customHeight="1">
      <c r="A204" s="5650" t="s">
        <v>26</v>
      </c>
      <c r="B204" s="5650"/>
      <c r="C204" s="5650"/>
      <c r="D204" s="5650"/>
      <c r="E204" s="5650"/>
      <c r="F204" s="5650"/>
      <c r="G204" s="5650"/>
      <c r="H204" s="48"/>
      <c r="I204" s="48"/>
    </row>
    <row r="205" spans="1:23" ht="13.5" customHeight="1">
      <c r="A205" s="5650" t="s">
        <v>27</v>
      </c>
      <c r="B205" s="5650"/>
      <c r="C205" s="5650"/>
      <c r="D205" s="5650"/>
      <c r="E205" s="5650"/>
      <c r="F205" s="5650"/>
      <c r="G205" s="5650"/>
      <c r="H205" s="318"/>
      <c r="I205" s="318"/>
    </row>
    <row r="206" spans="1:23" ht="13.5" customHeight="1">
      <c r="A206" s="5650" t="s">
        <v>28</v>
      </c>
      <c r="B206" s="5650"/>
      <c r="C206" s="5650"/>
      <c r="D206" s="5650"/>
      <c r="E206" s="5650"/>
      <c r="F206" s="5650"/>
      <c r="G206" s="5650"/>
      <c r="H206" s="318"/>
      <c r="I206" s="318"/>
    </row>
    <row r="207" spans="1:23" ht="40.5" customHeight="1">
      <c r="A207" s="5652" t="s">
        <v>61</v>
      </c>
      <c r="B207" s="5652"/>
      <c r="C207" s="5652"/>
      <c r="D207" s="5652"/>
      <c r="E207" s="5652"/>
      <c r="F207" s="5652"/>
      <c r="G207" s="5652"/>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18" t="s">
        <v>112</v>
      </c>
      <c r="B2" s="5719"/>
      <c r="C2" s="5719"/>
      <c r="D2" s="5719"/>
      <c r="E2" s="5719"/>
      <c r="F2" s="5719"/>
      <c r="G2" s="5719"/>
      <c r="H2" s="5719"/>
      <c r="I2" s="5719"/>
    </row>
    <row r="3" spans="1:23" ht="13.5" customHeight="1">
      <c r="A3" s="5734" t="s">
        <v>125</v>
      </c>
      <c r="B3" s="5774"/>
      <c r="C3" s="5774"/>
      <c r="D3" s="5774"/>
      <c r="E3" s="85"/>
      <c r="F3" s="86"/>
      <c r="G3" s="86"/>
      <c r="H3" s="87"/>
      <c r="I3" s="87"/>
    </row>
    <row r="4" spans="1:23" s="107" customFormat="1" ht="13.5" customHeight="1">
      <c r="A4" s="5743" t="s">
        <v>547</v>
      </c>
      <c r="B4" s="5774"/>
      <c r="C4" s="5774"/>
      <c r="D4" s="5774"/>
      <c r="E4" s="5743"/>
      <c r="F4" s="5774"/>
      <c r="G4" s="5774"/>
      <c r="H4" s="577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10502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 t="shared" ref="H92:H95" si="0">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 t="shared" si="0"/>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 t="shared" si="0"/>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 t="shared" si="0"/>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 t="shared" ref="H103:H105" si="1">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 t="shared" si="1"/>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 t="shared" si="1"/>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2">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2"/>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2"/>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2"/>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2"/>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2"/>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720" t="s">
        <v>99</v>
      </c>
      <c r="B128" s="5721"/>
      <c r="C128" s="5722"/>
      <c r="D128" s="306" t="s">
        <v>10530</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650" t="s">
        <v>308</v>
      </c>
      <c r="B131" s="5650"/>
      <c r="C131" s="5650"/>
      <c r="D131" s="5650"/>
      <c r="E131" s="5650"/>
      <c r="F131" s="5650"/>
      <c r="G131" s="5650"/>
      <c r="H131" s="48"/>
      <c r="I131" s="87"/>
    </row>
    <row r="132" spans="1:9" ht="93.75" customHeight="1">
      <c r="A132" s="5650" t="s">
        <v>26</v>
      </c>
      <c r="B132" s="5650"/>
      <c r="C132" s="5650"/>
      <c r="D132" s="5650"/>
      <c r="E132" s="5650"/>
      <c r="F132" s="5650"/>
      <c r="G132" s="5650"/>
      <c r="H132" s="48"/>
      <c r="I132" s="48"/>
    </row>
    <row r="133" spans="1:9" ht="13.5" customHeight="1">
      <c r="A133" s="5650" t="s">
        <v>27</v>
      </c>
      <c r="B133" s="5650"/>
      <c r="C133" s="5650"/>
      <c r="D133" s="5650"/>
      <c r="E133" s="5650"/>
      <c r="F133" s="5650"/>
      <c r="G133" s="5650"/>
      <c r="H133" s="318"/>
      <c r="I133" s="318"/>
    </row>
    <row r="134" spans="1:9" ht="13.5" customHeight="1">
      <c r="A134" s="5650" t="s">
        <v>28</v>
      </c>
      <c r="B134" s="5650"/>
      <c r="C134" s="5650"/>
      <c r="D134" s="5650"/>
      <c r="E134" s="5650"/>
      <c r="F134" s="5650"/>
      <c r="G134" s="5650"/>
      <c r="H134" s="318"/>
      <c r="I134" s="318"/>
    </row>
    <row r="135" spans="1:9" ht="40.5" customHeight="1">
      <c r="A135" s="5652" t="s">
        <v>61</v>
      </c>
      <c r="B135" s="5652"/>
      <c r="C135" s="5652"/>
      <c r="D135" s="5652"/>
      <c r="E135" s="5652"/>
      <c r="F135" s="5652"/>
      <c r="G135" s="5652"/>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787" t="s">
        <v>112</v>
      </c>
      <c r="B2" s="5787"/>
      <c r="C2" s="5787"/>
      <c r="D2" s="77"/>
      <c r="E2" s="78"/>
      <c r="F2" s="78"/>
      <c r="G2" s="79"/>
      <c r="H2" s="79"/>
      <c r="I2" s="80"/>
      <c r="M2" s="75"/>
    </row>
    <row r="3" spans="1:256" s="81" customFormat="1" ht="13.5" customHeight="1">
      <c r="A3" s="5787" t="s">
        <v>113</v>
      </c>
      <c r="B3" s="5787"/>
      <c r="C3" s="5787"/>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topLeftCell="A139" zoomScaleNormal="100" workbookViewId="0">
      <selection activeCell="D11" sqref="D11"/>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718" t="s">
        <v>112</v>
      </c>
      <c r="B2" s="5719"/>
      <c r="C2" s="5719"/>
      <c r="D2" s="5719"/>
      <c r="E2" s="5719"/>
      <c r="F2" s="5719"/>
      <c r="G2" s="5719"/>
      <c r="H2" s="5719"/>
      <c r="I2" s="5719"/>
    </row>
    <row r="3" spans="1:19" ht="13.5" customHeight="1">
      <c r="A3" s="5734" t="s">
        <v>125</v>
      </c>
      <c r="B3" s="5774"/>
      <c r="C3" s="5774"/>
      <c r="D3" s="5774"/>
      <c r="E3" s="85"/>
      <c r="F3" s="86"/>
      <c r="G3" s="86"/>
      <c r="H3" s="87"/>
      <c r="I3" s="87"/>
    </row>
    <row r="4" spans="1:19" s="107" customFormat="1" ht="13.5" customHeight="1">
      <c r="A4" s="5743" t="s">
        <v>126</v>
      </c>
      <c r="B4" s="5774"/>
      <c r="C4" s="5774"/>
      <c r="D4" s="5774"/>
      <c r="E4" s="5743"/>
      <c r="F4" s="5774"/>
      <c r="G4" s="5774"/>
      <c r="H4" s="5774"/>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10502</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 t="shared" ref="H134:H137" si="0">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 t="shared" si="0"/>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 t="shared" si="0"/>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 t="shared" si="0"/>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 t="shared" ref="H145:H147" si="1">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 t="shared" si="1"/>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 t="shared" si="1"/>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2">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2"/>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2"/>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2"/>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2"/>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2"/>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720" t="s">
        <v>99</v>
      </c>
      <c r="B170" s="5721"/>
      <c r="C170" s="5722"/>
      <c r="D170" s="306" t="s">
        <v>10531</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650" t="s">
        <v>308</v>
      </c>
      <c r="B173" s="5650"/>
      <c r="C173" s="5650"/>
      <c r="D173" s="5650"/>
      <c r="E173" s="5650"/>
      <c r="F173" s="5650"/>
      <c r="G173" s="5650"/>
      <c r="H173" s="48"/>
      <c r="I173" s="87"/>
    </row>
    <row r="174" spans="1:256" ht="93.75" customHeight="1">
      <c r="A174" s="5650" t="s">
        <v>26</v>
      </c>
      <c r="B174" s="5650"/>
      <c r="C174" s="5650"/>
      <c r="D174" s="5650"/>
      <c r="E174" s="5650"/>
      <c r="F174" s="5650"/>
      <c r="G174" s="5650"/>
      <c r="H174" s="48"/>
      <c r="I174" s="48"/>
    </row>
    <row r="175" spans="1:256" ht="13.5" customHeight="1">
      <c r="A175" s="5650" t="s">
        <v>27</v>
      </c>
      <c r="B175" s="5650"/>
      <c r="C175" s="5650"/>
      <c r="D175" s="5650"/>
      <c r="E175" s="5650"/>
      <c r="F175" s="5650"/>
      <c r="G175" s="5650"/>
      <c r="H175" s="318"/>
      <c r="I175" s="318"/>
    </row>
    <row r="176" spans="1:256" ht="13.5" customHeight="1">
      <c r="A176" s="5650" t="s">
        <v>28</v>
      </c>
      <c r="B176" s="5650"/>
      <c r="C176" s="5650"/>
      <c r="D176" s="5650"/>
      <c r="E176" s="5650"/>
      <c r="F176" s="5650"/>
      <c r="G176" s="5650"/>
      <c r="H176" s="318"/>
      <c r="I176" s="318"/>
    </row>
    <row r="177" spans="1:9" ht="40.5" customHeight="1">
      <c r="A177" s="5652" t="s">
        <v>61</v>
      </c>
      <c r="B177" s="5652"/>
      <c r="C177" s="5652"/>
      <c r="D177" s="5652"/>
      <c r="E177" s="5652"/>
      <c r="F177" s="5652"/>
      <c r="G177" s="5652"/>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18" t="s">
        <v>112</v>
      </c>
      <c r="B2" s="5719"/>
      <c r="C2" s="5719"/>
      <c r="D2" s="5719"/>
      <c r="E2" s="5719"/>
      <c r="F2" s="5719"/>
      <c r="G2" s="5719"/>
      <c r="H2" s="5719"/>
      <c r="I2" s="5719"/>
    </row>
    <row r="3" spans="1:256" ht="13.5" customHeight="1">
      <c r="A3" s="5734" t="s">
        <v>125</v>
      </c>
      <c r="B3" s="5774"/>
      <c r="C3" s="5774"/>
      <c r="D3" s="5774"/>
      <c r="E3" s="85"/>
      <c r="F3" s="86"/>
      <c r="G3" s="86"/>
      <c r="H3" s="87"/>
      <c r="I3" s="87"/>
    </row>
    <row r="4" spans="1:256" s="107" customFormat="1" ht="13.5" customHeight="1">
      <c r="A4" s="5743" t="s">
        <v>309</v>
      </c>
      <c r="B4" s="5774"/>
      <c r="C4" s="5774"/>
      <c r="D4" s="5774"/>
      <c r="E4" s="5743"/>
      <c r="F4" s="5774"/>
      <c r="G4" s="5774"/>
      <c r="H4" s="5774"/>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10502</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795" t="s">
        <v>321</v>
      </c>
      <c r="H37" s="5796"/>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795" t="s">
        <v>321</v>
      </c>
      <c r="H67" s="5796"/>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795" t="s">
        <v>321</v>
      </c>
      <c r="H87" s="5796"/>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795" t="s">
        <v>321</v>
      </c>
      <c r="H91" s="5796"/>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795" t="s">
        <v>321</v>
      </c>
      <c r="H121" s="5796"/>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795" t="s">
        <v>321</v>
      </c>
      <c r="H125" s="5796"/>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795" t="s">
        <v>321</v>
      </c>
      <c r="H139" s="5796"/>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797" t="s">
        <v>357</v>
      </c>
      <c r="G151" s="5798"/>
      <c r="H151" s="5799"/>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 t="shared" ref="H163:H166" si="0">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 t="shared" si="0"/>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 t="shared" si="0"/>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 t="shared" si="0"/>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 t="shared" ref="H174:H176" si="1">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 t="shared" si="1"/>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 t="shared" si="1"/>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2">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2"/>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2"/>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2"/>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2"/>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2"/>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720" t="s">
        <v>99</v>
      </c>
      <c r="B199" s="5721"/>
      <c r="C199" s="5722"/>
      <c r="D199" s="306" t="s">
        <v>10532</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650" t="s">
        <v>308</v>
      </c>
      <c r="B202" s="5650"/>
      <c r="C202" s="5650"/>
      <c r="D202" s="5650"/>
      <c r="E202" s="5650"/>
      <c r="F202" s="5650"/>
      <c r="G202" s="5650"/>
      <c r="H202" s="48"/>
      <c r="I202" s="87"/>
    </row>
    <row r="203" spans="1:23" ht="93.75" customHeight="1">
      <c r="A203" s="5650" t="s">
        <v>26</v>
      </c>
      <c r="B203" s="5650"/>
      <c r="C203" s="5650"/>
      <c r="D203" s="5650"/>
      <c r="E203" s="5650"/>
      <c r="F203" s="5650"/>
      <c r="G203" s="5650"/>
      <c r="H203" s="48"/>
      <c r="I203" s="48"/>
    </row>
    <row r="204" spans="1:23" ht="13.5" customHeight="1">
      <c r="A204" s="5650" t="s">
        <v>27</v>
      </c>
      <c r="B204" s="5650"/>
      <c r="C204" s="5650"/>
      <c r="D204" s="5650"/>
      <c r="E204" s="5650"/>
      <c r="F204" s="5650"/>
      <c r="G204" s="5650"/>
      <c r="H204" s="318"/>
      <c r="I204" s="318"/>
    </row>
    <row r="205" spans="1:23" ht="13.5" customHeight="1">
      <c r="A205" s="5650" t="s">
        <v>28</v>
      </c>
      <c r="B205" s="5650"/>
      <c r="C205" s="5650"/>
      <c r="D205" s="5650"/>
      <c r="E205" s="5650"/>
      <c r="F205" s="5650"/>
      <c r="G205" s="5650"/>
      <c r="H205" s="318"/>
      <c r="I205" s="318"/>
    </row>
    <row r="206" spans="1:23" ht="40.5" customHeight="1">
      <c r="A206" s="5652" t="s">
        <v>61</v>
      </c>
      <c r="B206" s="5652"/>
      <c r="C206" s="5652"/>
      <c r="D206" s="5652"/>
      <c r="E206" s="5652"/>
      <c r="F206" s="5652"/>
      <c r="G206" s="5652"/>
      <c r="I206" s="87"/>
    </row>
  </sheetData>
  <mergeCells count="18">
    <mergeCell ref="G67:H67"/>
    <mergeCell ref="A2:I2"/>
    <mergeCell ref="A3:D3"/>
    <mergeCell ref="A4:D4"/>
    <mergeCell ref="E4:H4"/>
    <mergeCell ref="G37:H37"/>
    <mergeCell ref="A206:G206"/>
    <mergeCell ref="G87:H87"/>
    <mergeCell ref="G91:H91"/>
    <mergeCell ref="G121:H121"/>
    <mergeCell ref="G125:H125"/>
    <mergeCell ref="G139:H139"/>
    <mergeCell ref="F151:H151"/>
    <mergeCell ref="A199:C199"/>
    <mergeCell ref="A202:G202"/>
    <mergeCell ref="A203:G203"/>
    <mergeCell ref="A204:G204"/>
    <mergeCell ref="A205:G20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18" t="s">
        <v>112</v>
      </c>
      <c r="B2" s="5719"/>
      <c r="C2" s="5719"/>
      <c r="D2" s="5719"/>
      <c r="E2" s="5719"/>
      <c r="F2" s="5719"/>
      <c r="G2" s="5719"/>
      <c r="H2" s="5719"/>
      <c r="I2" s="5719"/>
    </row>
    <row r="3" spans="1:256" ht="13.5" customHeight="1">
      <c r="A3" s="5734" t="s">
        <v>125</v>
      </c>
      <c r="B3" s="5774"/>
      <c r="C3" s="5774"/>
      <c r="D3" s="5774"/>
      <c r="E3" s="85"/>
      <c r="F3" s="86"/>
      <c r="G3" s="86"/>
      <c r="H3" s="87"/>
      <c r="I3" s="87"/>
    </row>
    <row r="4" spans="1:256" s="107" customFormat="1" ht="13.5" customHeight="1">
      <c r="A4" s="5743" t="s">
        <v>380</v>
      </c>
      <c r="B4" s="5774"/>
      <c r="C4" s="5774"/>
      <c r="D4" s="5774"/>
      <c r="E4" s="5743"/>
      <c r="F4" s="5774"/>
      <c r="G4" s="5774"/>
      <c r="H4" s="5774"/>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10502</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10550</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795" t="s">
        <v>321</v>
      </c>
      <c r="H35" s="5796"/>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795" t="s">
        <v>394</v>
      </c>
      <c r="H61" s="5796"/>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795" t="s">
        <v>321</v>
      </c>
      <c r="H65" s="5796"/>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795" t="s">
        <v>394</v>
      </c>
      <c r="H77" s="5796"/>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795" t="s">
        <v>394</v>
      </c>
      <c r="H81" s="5796"/>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795" t="s">
        <v>321</v>
      </c>
      <c r="H85" s="5796"/>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795" t="s">
        <v>321</v>
      </c>
      <c r="H89" s="5796"/>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795" t="s">
        <v>394</v>
      </c>
      <c r="H111" s="5796"/>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795" t="s">
        <v>394</v>
      </c>
      <c r="H115" s="5796"/>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795" t="s">
        <v>321</v>
      </c>
      <c r="H119" s="5796"/>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795" t="s">
        <v>321</v>
      </c>
      <c r="H123" s="5796"/>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795" t="s">
        <v>394</v>
      </c>
      <c r="H132" s="5796"/>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795" t="s">
        <v>321</v>
      </c>
      <c r="H137" s="5796"/>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 t="shared" ref="H157:H160" si="0">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 t="shared" si="0"/>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 t="shared" si="0"/>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 t="shared" si="0"/>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 t="shared" ref="H168:H170" si="1">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 t="shared" si="1"/>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 t="shared" si="1"/>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2">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2"/>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2"/>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2"/>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2"/>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2"/>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720" t="s">
        <v>99</v>
      </c>
      <c r="B193" s="5721"/>
      <c r="C193" s="5722"/>
      <c r="D193" s="306" t="s">
        <v>10533</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650" t="s">
        <v>308</v>
      </c>
      <c r="B196" s="5650"/>
      <c r="C196" s="5650"/>
      <c r="D196" s="5650"/>
      <c r="E196" s="5650"/>
      <c r="F196" s="5650"/>
      <c r="G196" s="5650"/>
      <c r="H196" s="48"/>
      <c r="I196" s="87"/>
    </row>
    <row r="197" spans="1:9" ht="93.75" customHeight="1">
      <c r="A197" s="5650" t="s">
        <v>26</v>
      </c>
      <c r="B197" s="5650"/>
      <c r="C197" s="5650"/>
      <c r="D197" s="5650"/>
      <c r="E197" s="5650"/>
      <c r="F197" s="5650"/>
      <c r="G197" s="5650"/>
      <c r="H197" s="48"/>
      <c r="I197" s="48"/>
    </row>
    <row r="198" spans="1:9" ht="13.5" customHeight="1">
      <c r="A198" s="5650" t="s">
        <v>27</v>
      </c>
      <c r="B198" s="5650"/>
      <c r="C198" s="5650"/>
      <c r="D198" s="5650"/>
      <c r="E198" s="5650"/>
      <c r="F198" s="5650"/>
      <c r="G198" s="5650"/>
      <c r="H198" s="318"/>
      <c r="I198" s="318"/>
    </row>
    <row r="199" spans="1:9" ht="13.5" customHeight="1">
      <c r="A199" s="5650" t="s">
        <v>28</v>
      </c>
      <c r="B199" s="5650"/>
      <c r="C199" s="5650"/>
      <c r="D199" s="5650"/>
      <c r="E199" s="5650"/>
      <c r="F199" s="5650"/>
      <c r="G199" s="5650"/>
      <c r="H199" s="318"/>
      <c r="I199" s="318"/>
    </row>
    <row r="200" spans="1:9" ht="40.5" customHeight="1">
      <c r="A200" s="5652" t="s">
        <v>61</v>
      </c>
      <c r="B200" s="5652"/>
      <c r="C200" s="5652"/>
      <c r="D200" s="5652"/>
      <c r="E200" s="5652"/>
      <c r="F200" s="5652"/>
      <c r="G200" s="5652"/>
      <c r="I200" s="87"/>
    </row>
  </sheetData>
  <mergeCells count="23">
    <mergeCell ref="G61:H61"/>
    <mergeCell ref="A2:I2"/>
    <mergeCell ref="A3:D3"/>
    <mergeCell ref="A4:D4"/>
    <mergeCell ref="E4:H4"/>
    <mergeCell ref="G35:H35"/>
    <mergeCell ref="A193:C193"/>
    <mergeCell ref="G65:H65"/>
    <mergeCell ref="G77:H77"/>
    <mergeCell ref="G81:H81"/>
    <mergeCell ref="G85:H85"/>
    <mergeCell ref="G89:H89"/>
    <mergeCell ref="G111:H111"/>
    <mergeCell ref="G115:H115"/>
    <mergeCell ref="G119:H119"/>
    <mergeCell ref="G123:H123"/>
    <mergeCell ref="G132:H132"/>
    <mergeCell ref="G137:H137"/>
    <mergeCell ref="A196:G196"/>
    <mergeCell ref="A197:G197"/>
    <mergeCell ref="A198:G198"/>
    <mergeCell ref="A199:G199"/>
    <mergeCell ref="A200:G200"/>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18" t="s">
        <v>112</v>
      </c>
      <c r="B2" s="5719"/>
      <c r="C2" s="5719"/>
      <c r="D2" s="5719"/>
      <c r="E2" s="5719"/>
      <c r="F2" s="5719"/>
      <c r="G2" s="5719"/>
      <c r="H2" s="5719"/>
      <c r="I2" s="5719"/>
    </row>
    <row r="3" spans="1:23" ht="13.5" customHeight="1">
      <c r="A3" s="5734" t="s">
        <v>125</v>
      </c>
      <c r="B3" s="5774"/>
      <c r="C3" s="5774"/>
      <c r="D3" s="5774"/>
      <c r="E3" s="85"/>
      <c r="F3" s="86"/>
      <c r="G3" s="86"/>
      <c r="H3" s="87"/>
      <c r="I3" s="87"/>
    </row>
    <row r="4" spans="1:23" s="107" customFormat="1" ht="13.5" customHeight="1">
      <c r="A4" s="5743" t="s">
        <v>424</v>
      </c>
      <c r="B4" s="5774"/>
      <c r="C4" s="5774"/>
      <c r="D4" s="5774"/>
      <c r="E4" s="5743"/>
      <c r="F4" s="5774"/>
      <c r="G4" s="5774"/>
      <c r="H4" s="577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10502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 t="shared" ref="H86:H89" si="0">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 t="shared" si="0"/>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 t="shared" si="0"/>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 t="shared" si="0"/>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 t="shared" ref="H97:H99" si="1">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 t="shared" si="1"/>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 t="shared" si="1"/>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2">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2"/>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2"/>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2"/>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2"/>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2"/>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20" t="s">
        <v>99</v>
      </c>
      <c r="B122" s="5721"/>
      <c r="C122" s="5722"/>
      <c r="D122" s="306" t="s">
        <v>10534</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50" t="s">
        <v>308</v>
      </c>
      <c r="B125" s="5650"/>
      <c r="C125" s="5650"/>
      <c r="D125" s="5650"/>
      <c r="E125" s="5650"/>
      <c r="F125" s="5650"/>
      <c r="G125" s="5650"/>
      <c r="H125" s="48"/>
      <c r="I125" s="87"/>
    </row>
    <row r="126" spans="1:256" ht="93.75" customHeight="1">
      <c r="A126" s="5650" t="s">
        <v>26</v>
      </c>
      <c r="B126" s="5650"/>
      <c r="C126" s="5650"/>
      <c r="D126" s="5650"/>
      <c r="E126" s="5650"/>
      <c r="F126" s="5650"/>
      <c r="G126" s="5650"/>
      <c r="H126" s="48"/>
      <c r="I126" s="48"/>
    </row>
    <row r="127" spans="1:256" ht="13.5" customHeight="1">
      <c r="A127" s="5650" t="s">
        <v>27</v>
      </c>
      <c r="B127" s="5650"/>
      <c r="C127" s="5650"/>
      <c r="D127" s="5650"/>
      <c r="E127" s="5650"/>
      <c r="F127" s="5650"/>
      <c r="G127" s="5650"/>
      <c r="H127" s="318"/>
      <c r="I127" s="318"/>
    </row>
    <row r="128" spans="1:256" ht="13.5" customHeight="1">
      <c r="A128" s="5650" t="s">
        <v>28</v>
      </c>
      <c r="B128" s="5650"/>
      <c r="C128" s="5650"/>
      <c r="D128" s="5650"/>
      <c r="E128" s="5650"/>
      <c r="F128" s="5650"/>
      <c r="G128" s="5650"/>
      <c r="H128" s="318"/>
      <c r="I128" s="318"/>
    </row>
    <row r="129" spans="1:9" ht="40.5" customHeight="1">
      <c r="A129" s="5652" t="s">
        <v>61</v>
      </c>
      <c r="B129" s="5652"/>
      <c r="C129" s="5652"/>
      <c r="D129" s="5652"/>
      <c r="E129" s="5652"/>
      <c r="F129" s="5652"/>
      <c r="G129" s="5652"/>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18" t="s">
        <v>112</v>
      </c>
      <c r="B2" s="5719"/>
      <c r="C2" s="5719"/>
      <c r="D2" s="5719"/>
      <c r="E2" s="5719"/>
      <c r="F2" s="5719"/>
      <c r="G2" s="5719"/>
      <c r="H2" s="5719"/>
      <c r="I2" s="5719"/>
    </row>
    <row r="3" spans="1:23" ht="13.5" customHeight="1">
      <c r="A3" s="5734" t="s">
        <v>125</v>
      </c>
      <c r="B3" s="5774"/>
      <c r="C3" s="5774"/>
      <c r="D3" s="5774"/>
      <c r="E3" s="85"/>
      <c r="F3" s="86"/>
      <c r="G3" s="86"/>
      <c r="H3" s="87"/>
      <c r="I3" s="87"/>
    </row>
    <row r="4" spans="1:23" s="107" customFormat="1" ht="13.5" customHeight="1">
      <c r="A4" s="5743" t="s">
        <v>470</v>
      </c>
      <c r="B4" s="5774"/>
      <c r="C4" s="5774"/>
      <c r="D4" s="5774"/>
      <c r="E4" s="5743"/>
      <c r="F4" s="5774"/>
      <c r="G4" s="5774"/>
      <c r="H4" s="577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10502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 t="shared" ref="H86:H89" si="0">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 t="shared" si="0"/>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 t="shared" si="0"/>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 t="shared" si="0"/>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 t="shared" ref="H97:H99" si="1">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 t="shared" si="1"/>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 t="shared" si="1"/>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2">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2"/>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2"/>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2"/>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2"/>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2"/>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20" t="s">
        <v>99</v>
      </c>
      <c r="B122" s="5721"/>
      <c r="C122" s="5722"/>
      <c r="D122" s="306" t="s">
        <v>10535</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50" t="s">
        <v>308</v>
      </c>
      <c r="B125" s="5650"/>
      <c r="C125" s="5650"/>
      <c r="D125" s="5650"/>
      <c r="E125" s="5650"/>
      <c r="F125" s="5650"/>
      <c r="G125" s="5650"/>
      <c r="H125" s="48"/>
      <c r="I125" s="87"/>
    </row>
    <row r="126" spans="1:256" ht="93.75" customHeight="1">
      <c r="A126" s="5650" t="s">
        <v>26</v>
      </c>
      <c r="B126" s="5650"/>
      <c r="C126" s="5650"/>
      <c r="D126" s="5650"/>
      <c r="E126" s="5650"/>
      <c r="F126" s="5650"/>
      <c r="G126" s="5650"/>
      <c r="H126" s="48"/>
      <c r="I126" s="48"/>
    </row>
    <row r="127" spans="1:256" ht="13.5" customHeight="1">
      <c r="A127" s="5650" t="s">
        <v>27</v>
      </c>
      <c r="B127" s="5650"/>
      <c r="C127" s="5650"/>
      <c r="D127" s="5650"/>
      <c r="E127" s="5650"/>
      <c r="F127" s="5650"/>
      <c r="G127" s="5650"/>
      <c r="H127" s="318"/>
      <c r="I127" s="318"/>
    </row>
    <row r="128" spans="1:256" ht="13.5" customHeight="1">
      <c r="A128" s="5650" t="s">
        <v>28</v>
      </c>
      <c r="B128" s="5650"/>
      <c r="C128" s="5650"/>
      <c r="D128" s="5650"/>
      <c r="E128" s="5650"/>
      <c r="F128" s="5650"/>
      <c r="G128" s="5650"/>
      <c r="H128" s="318"/>
      <c r="I128" s="318"/>
    </row>
    <row r="129" spans="1:9" ht="40.5" customHeight="1">
      <c r="A129" s="5652" t="s">
        <v>61</v>
      </c>
      <c r="B129" s="5652"/>
      <c r="C129" s="5652"/>
      <c r="D129" s="5652"/>
      <c r="E129" s="5652"/>
      <c r="F129" s="5652"/>
      <c r="G129" s="5652"/>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18" t="s">
        <v>112</v>
      </c>
      <c r="B2" s="5719"/>
      <c r="C2" s="5719"/>
      <c r="D2" s="5719"/>
      <c r="E2" s="5719"/>
      <c r="F2" s="5719"/>
      <c r="G2" s="5719"/>
      <c r="H2" s="5719"/>
      <c r="I2" s="5719"/>
    </row>
    <row r="3" spans="1:23" ht="13.5" customHeight="1">
      <c r="A3" s="5734" t="s">
        <v>125</v>
      </c>
      <c r="B3" s="5774"/>
      <c r="C3" s="5774"/>
      <c r="D3" s="5774"/>
      <c r="E3" s="85"/>
      <c r="F3" s="86"/>
      <c r="G3" s="86"/>
      <c r="H3" s="87"/>
      <c r="I3" s="87"/>
    </row>
    <row r="4" spans="1:23" s="107" customFormat="1" ht="13.5" customHeight="1">
      <c r="A4" s="5743" t="s">
        <v>499</v>
      </c>
      <c r="B4" s="5774"/>
      <c r="C4" s="5774"/>
      <c r="D4" s="5774"/>
      <c r="E4" s="5743"/>
      <c r="F4" s="5774"/>
      <c r="G4" s="5774"/>
      <c r="H4" s="577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10502</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 t="shared" ref="H99:H102" si="0">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 t="shared" si="0"/>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 t="shared" si="0"/>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 t="shared" si="0"/>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 t="shared" ref="H110:H112" si="1">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 t="shared" si="1"/>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 t="shared" si="1"/>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2">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2"/>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2"/>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2"/>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2"/>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2"/>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720" t="s">
        <v>99</v>
      </c>
      <c r="B135" s="5721"/>
      <c r="C135" s="5722"/>
      <c r="D135" s="306" t="s">
        <v>10536</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650" t="s">
        <v>308</v>
      </c>
      <c r="B138" s="5650"/>
      <c r="C138" s="5650"/>
      <c r="D138" s="5650"/>
      <c r="E138" s="5650"/>
      <c r="F138" s="5650"/>
      <c r="G138" s="5650"/>
      <c r="H138" s="48"/>
      <c r="I138" s="87"/>
    </row>
    <row r="139" spans="1:23" ht="93.75" customHeight="1">
      <c r="A139" s="5650" t="s">
        <v>26</v>
      </c>
      <c r="B139" s="5650"/>
      <c r="C139" s="5650"/>
      <c r="D139" s="5650"/>
      <c r="E139" s="5650"/>
      <c r="F139" s="5650"/>
      <c r="G139" s="5650"/>
      <c r="H139" s="48"/>
      <c r="I139" s="48"/>
    </row>
    <row r="140" spans="1:23" ht="13.5" customHeight="1">
      <c r="A140" s="5650" t="s">
        <v>27</v>
      </c>
      <c r="B140" s="5650"/>
      <c r="C140" s="5650"/>
      <c r="D140" s="5650"/>
      <c r="E140" s="5650"/>
      <c r="F140" s="5650"/>
      <c r="G140" s="5650"/>
      <c r="H140" s="318"/>
      <c r="I140" s="318"/>
    </row>
    <row r="141" spans="1:23" ht="13.5" customHeight="1">
      <c r="A141" s="5650" t="s">
        <v>28</v>
      </c>
      <c r="B141" s="5650"/>
      <c r="C141" s="5650"/>
      <c r="D141" s="5650"/>
      <c r="E141" s="5650"/>
      <c r="F141" s="5650"/>
      <c r="G141" s="5650"/>
      <c r="H141" s="318"/>
      <c r="I141" s="318"/>
    </row>
    <row r="142" spans="1:23" ht="40.5" customHeight="1">
      <c r="A142" s="5652" t="s">
        <v>61</v>
      </c>
      <c r="B142" s="5652"/>
      <c r="C142" s="5652"/>
      <c r="D142" s="5652"/>
      <c r="E142" s="5652"/>
      <c r="F142" s="5652"/>
      <c r="G142" s="5652"/>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801" t="s">
        <v>63</v>
      </c>
      <c r="C1" s="5802"/>
      <c r="D1" s="5802"/>
      <c r="E1" s="5802"/>
      <c r="F1" s="5803"/>
    </row>
    <row r="2" spans="2:6" ht="6" customHeight="1">
      <c r="B2" s="56"/>
      <c r="C2" s="57"/>
      <c r="D2" s="57"/>
      <c r="E2" s="57"/>
      <c r="F2" s="57"/>
    </row>
    <row r="3" spans="2:6" ht="362.25" customHeight="1">
      <c r="B3" s="58" t="s">
        <v>64</v>
      </c>
      <c r="C3" s="5804" t="s">
        <v>65</v>
      </c>
      <c r="D3" s="5805"/>
      <c r="E3" s="5805"/>
      <c r="F3" s="5806"/>
    </row>
    <row r="4" spans="2:6" ht="15" customHeight="1"/>
    <row r="5" spans="2:6" ht="20.45" customHeight="1">
      <c r="B5" s="60" t="s">
        <v>66</v>
      </c>
      <c r="C5" s="60" t="s">
        <v>67</v>
      </c>
      <c r="D5" s="60" t="s">
        <v>68</v>
      </c>
      <c r="E5" s="60" t="s">
        <v>69</v>
      </c>
      <c r="F5" s="60" t="s">
        <v>70</v>
      </c>
    </row>
    <row r="6" spans="2:6" ht="60">
      <c r="B6" s="5807" t="s">
        <v>83</v>
      </c>
      <c r="C6" s="61" t="s">
        <v>71</v>
      </c>
      <c r="D6" s="62" t="s">
        <v>72</v>
      </c>
      <c r="E6" s="63">
        <v>12</v>
      </c>
      <c r="F6" s="5808"/>
    </row>
    <row r="7" spans="2:6" ht="50.1" customHeight="1">
      <c r="B7" s="5807"/>
      <c r="C7" s="62" t="s">
        <v>73</v>
      </c>
      <c r="D7" s="62" t="s">
        <v>74</v>
      </c>
      <c r="E7" s="63">
        <v>12</v>
      </c>
      <c r="F7" s="5809"/>
    </row>
    <row r="8" spans="2:6" ht="60">
      <c r="B8" s="5807"/>
      <c r="C8" s="61" t="s">
        <v>75</v>
      </c>
      <c r="D8" s="62" t="s">
        <v>76</v>
      </c>
      <c r="E8" s="63">
        <v>12</v>
      </c>
      <c r="F8" s="5809"/>
    </row>
    <row r="9" spans="2:6" s="64" customFormat="1" ht="60">
      <c r="B9" s="5807"/>
      <c r="C9" s="61" t="s">
        <v>77</v>
      </c>
      <c r="D9" s="62" t="s">
        <v>78</v>
      </c>
      <c r="E9" s="63">
        <v>2</v>
      </c>
      <c r="F9" s="5809"/>
    </row>
    <row r="10" spans="2:6" ht="50.1" customHeight="1">
      <c r="B10" s="5807"/>
      <c r="C10" s="62" t="s">
        <v>79</v>
      </c>
      <c r="D10" s="62" t="s">
        <v>80</v>
      </c>
      <c r="E10" s="63">
        <v>2</v>
      </c>
      <c r="F10" s="5809"/>
    </row>
    <row r="11" spans="2:6" ht="60">
      <c r="B11" s="5807"/>
      <c r="C11" s="61" t="s">
        <v>81</v>
      </c>
      <c r="D11" s="62" t="s">
        <v>82</v>
      </c>
      <c r="E11" s="63">
        <v>2</v>
      </c>
      <c r="F11" s="5809"/>
    </row>
    <row r="12" spans="2:6" ht="60">
      <c r="B12" s="5807" t="s">
        <v>84</v>
      </c>
      <c r="C12" s="61" t="s">
        <v>71</v>
      </c>
      <c r="D12" s="62" t="s">
        <v>72</v>
      </c>
      <c r="E12" s="63">
        <v>10</v>
      </c>
      <c r="F12" s="5808"/>
    </row>
    <row r="13" spans="2:6" ht="50.1" customHeight="1">
      <c r="B13" s="5807"/>
      <c r="C13" s="62" t="s">
        <v>73</v>
      </c>
      <c r="D13" s="62" t="s">
        <v>74</v>
      </c>
      <c r="E13" s="63">
        <v>10</v>
      </c>
      <c r="F13" s="5809"/>
    </row>
    <row r="14" spans="2:6" ht="60">
      <c r="B14" s="5807"/>
      <c r="C14" s="61" t="s">
        <v>75</v>
      </c>
      <c r="D14" s="62" t="s">
        <v>76</v>
      </c>
      <c r="E14" s="63">
        <v>10</v>
      </c>
      <c r="F14" s="5809"/>
    </row>
    <row r="15" spans="2:6" ht="60">
      <c r="B15" s="5807"/>
      <c r="C15" s="61" t="s">
        <v>85</v>
      </c>
      <c r="D15" s="62" t="s">
        <v>86</v>
      </c>
      <c r="E15" s="63">
        <v>1</v>
      </c>
      <c r="F15" s="5809"/>
    </row>
    <row r="16" spans="2:6" ht="50.1" customHeight="1">
      <c r="B16" s="5807"/>
      <c r="C16" s="62" t="s">
        <v>87</v>
      </c>
      <c r="D16" s="62" t="s">
        <v>88</v>
      </c>
      <c r="E16" s="63">
        <v>1</v>
      </c>
      <c r="F16" s="5809"/>
    </row>
    <row r="17" spans="2:10" ht="60">
      <c r="B17" s="5807"/>
      <c r="C17" s="61" t="s">
        <v>89</v>
      </c>
      <c r="D17" s="62" t="s">
        <v>90</v>
      </c>
      <c r="E17" s="63">
        <v>1</v>
      </c>
      <c r="F17" s="5809"/>
    </row>
    <row r="18" spans="2:10" s="64" customFormat="1" ht="60">
      <c r="B18" s="5807"/>
      <c r="C18" s="61" t="s">
        <v>77</v>
      </c>
      <c r="D18" s="62" t="s">
        <v>91</v>
      </c>
      <c r="E18" s="63">
        <v>2</v>
      </c>
      <c r="F18" s="5809"/>
      <c r="J18" s="4633"/>
    </row>
    <row r="19" spans="2:10" ht="45">
      <c r="B19" s="5807"/>
      <c r="C19" s="62" t="s">
        <v>79</v>
      </c>
      <c r="D19" s="62" t="s">
        <v>80</v>
      </c>
      <c r="E19" s="63">
        <v>2</v>
      </c>
      <c r="F19" s="5809"/>
    </row>
    <row r="20" spans="2:10" ht="60">
      <c r="B20" s="5807"/>
      <c r="C20" s="61" t="s">
        <v>81</v>
      </c>
      <c r="D20" s="62" t="s">
        <v>82</v>
      </c>
      <c r="E20" s="63">
        <v>2</v>
      </c>
      <c r="F20" s="5809"/>
    </row>
    <row r="21" spans="2:10" ht="35.1" customHeight="1">
      <c r="B21" s="5810"/>
      <c r="C21" s="5813" t="s">
        <v>92</v>
      </c>
      <c r="D21" s="59" t="s">
        <v>93</v>
      </c>
      <c r="E21" s="63">
        <v>5</v>
      </c>
      <c r="F21" s="5808"/>
    </row>
    <row r="22" spans="2:10" ht="35.1" customHeight="1">
      <c r="B22" s="5811"/>
      <c r="C22" s="5814"/>
      <c r="D22" s="62" t="s">
        <v>94</v>
      </c>
      <c r="E22" s="63">
        <v>0</v>
      </c>
      <c r="F22" s="5809"/>
      <c r="G22" s="4634"/>
    </row>
    <row r="23" spans="2:10" ht="20.100000000000001" customHeight="1">
      <c r="B23" s="5811"/>
      <c r="C23" s="5814"/>
      <c r="D23" s="59" t="s">
        <v>95</v>
      </c>
      <c r="E23" s="63">
        <v>0</v>
      </c>
      <c r="F23" s="5809"/>
      <c r="G23" s="4634"/>
    </row>
    <row r="24" spans="2:10" ht="20.100000000000001" customHeight="1">
      <c r="B24" s="5811"/>
      <c r="C24" s="5814"/>
      <c r="D24" s="59" t="s">
        <v>96</v>
      </c>
      <c r="E24" s="63">
        <v>10</v>
      </c>
      <c r="F24" s="5809"/>
    </row>
    <row r="25" spans="2:10" ht="20.100000000000001" customHeight="1">
      <c r="B25" s="5811"/>
      <c r="C25" s="5814"/>
      <c r="D25" s="59" t="s">
        <v>97</v>
      </c>
      <c r="E25" s="63">
        <v>7</v>
      </c>
      <c r="F25" s="5809"/>
    </row>
    <row r="26" spans="2:10" ht="20.100000000000001" customHeight="1">
      <c r="B26" s="5812"/>
      <c r="C26" s="5815"/>
      <c r="D26" s="62" t="s">
        <v>98</v>
      </c>
      <c r="E26" s="63">
        <v>1</v>
      </c>
      <c r="F26" s="5816"/>
    </row>
    <row r="27" spans="2:10" ht="15.75">
      <c r="B27" s="65"/>
      <c r="C27" s="66"/>
      <c r="D27" s="66"/>
      <c r="E27" s="67" t="s">
        <v>99</v>
      </c>
      <c r="F27" s="3891">
        <f>SUM(F6:F25)</f>
        <v>0</v>
      </c>
    </row>
    <row r="28" spans="2:10" ht="20.100000000000001" customHeight="1">
      <c r="B28" s="5800" t="s">
        <v>100</v>
      </c>
      <c r="C28" s="5800"/>
      <c r="D28" s="5800"/>
      <c r="E28" s="5800"/>
      <c r="F28" s="5800"/>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77</vt:i4>
      </vt:variant>
    </vt:vector>
  </HeadingPairs>
  <TitlesOfParts>
    <vt:vector size="127" baseType="lpstr">
      <vt:lpstr>KL</vt:lpstr>
      <vt:lpstr>VRN</vt:lpstr>
      <vt:lpstr>Rekapitulace stavby</vt:lpstr>
      <vt:lpstr>01 - Novostavba</vt:lpstr>
      <vt:lpstr>01.1 - Novostavba - podlahy</vt:lpstr>
      <vt:lpstr>01.2 - Vyýpisy prvků - ta...</vt:lpstr>
      <vt:lpstr>01.3 - Gabionové stěny</vt:lpstr>
      <vt:lpstr>01.4 - Opěrná stěna schod...</vt:lpstr>
      <vt:lpstr>01.5 - Náklady souvisejíc...</vt:lpstr>
      <vt:lpstr>Seznam figur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Vyýpisy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Vyýpisy prvků - ta...'!Oblast_tisku</vt:lpstr>
      <vt:lpstr>'01.3 - Gabionové stěny'!Oblast_tisku</vt:lpstr>
      <vt:lpstr>'01.4 - Opěrná stěna schod...'!Oblast_tisku</vt:lpstr>
      <vt:lpstr>'01.5 - Náklady souvisejíc...'!Oblast_tisku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2023-10-06T13:25:55Z</cp:lastPrinted>
  <dcterms:created xsi:type="dcterms:W3CDTF">2013-10-14T10:08:08Z</dcterms:created>
  <dcterms:modified xsi:type="dcterms:W3CDTF">2023-11-21T11:37:55Z</dcterms:modified>
</cp:coreProperties>
</file>