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16" yWindow="65416" windowWidth="29040" windowHeight="15840" activeTab="0"/>
  </bookViews>
  <sheets>
    <sheet name="Krycí list" sheetId="1" r:id="rId1"/>
    <sheet name="F Položkový rozpočet" sheetId="2" r:id="rId2"/>
  </sheets>
  <definedNames>
    <definedName name="__xlnm.Print_Area_2">'F Položkový rozpočet'!$B$1:$I$3</definedName>
    <definedName name="_xlnm.Print_Area" localSheetId="1">'F Položkový rozpočet'!$B$1:$I$253</definedName>
    <definedName name="_xlnm.Print_Area" localSheetId="0">'Krycí list'!$A$2:$D$28</definedName>
    <definedName name="_xlnm.Print_Titles" localSheetId="1">'F Položkový rozpočet'!$3:$3</definedName>
  </definedNames>
  <calcPr calcId="191029"/>
  <extLst/>
</workbook>
</file>

<file path=xl/sharedStrings.xml><?xml version="1.0" encoding="utf-8"?>
<sst xmlns="http://schemas.openxmlformats.org/spreadsheetml/2006/main" count="465" uniqueCount="279">
  <si>
    <t>Datum:</t>
  </si>
  <si>
    <t>ROZPOČTOVÉ NÁKLADY</t>
  </si>
  <si>
    <t>Jméno:</t>
  </si>
  <si>
    <t>Podpis, razítko:</t>
  </si>
  <si>
    <t>Základ pro DPH</t>
  </si>
  <si>
    <t>Zadavatel:</t>
  </si>
  <si>
    <t>MJ</t>
  </si>
  <si>
    <t>Cena celkem</t>
  </si>
  <si>
    <t>kus</t>
  </si>
  <si>
    <t>m</t>
  </si>
  <si>
    <t>hod</t>
  </si>
  <si>
    <t>Cena MJ</t>
  </si>
  <si>
    <t>Zpracovatel:</t>
  </si>
  <si>
    <t>Hlavní části stavby:</t>
  </si>
  <si>
    <t>CENA ZA STAVBU CELKEM</t>
  </si>
  <si>
    <t>Celkem hlavní části stavby:</t>
  </si>
  <si>
    <t>Ostatní náklady stavby</t>
  </si>
  <si>
    <t>Ing. Ondřej Holý</t>
  </si>
  <si>
    <t>DPH 21%</t>
  </si>
  <si>
    <t>Ostatní náklady stavby:</t>
  </si>
  <si>
    <t>Název stavby:</t>
  </si>
  <si>
    <t>Č.</t>
  </si>
  <si>
    <t>Celkem ostatní části stavby:</t>
  </si>
  <si>
    <t>Vypracoval:</t>
  </si>
  <si>
    <r>
      <t>m</t>
    </r>
    <r>
      <rPr>
        <vertAlign val="superscript"/>
        <sz val="9"/>
        <rFont val="Calibri"/>
        <family val="2"/>
        <scheme val="minor"/>
      </rPr>
      <t>2</t>
    </r>
  </si>
  <si>
    <t>Geodetické práce před výstavbou</t>
  </si>
  <si>
    <t>soubor</t>
  </si>
  <si>
    <t>Geodetické práce po výstavbě</t>
  </si>
  <si>
    <t>Vybavení staveniště, přenosné zdroje, zabezpečení staveniště, sociální zařízení, včetně jeho odstranění</t>
  </si>
  <si>
    <t>Projektová dokumentace skutečného provedení stavby - DSPS</t>
  </si>
  <si>
    <t>Geotechnický dozor stavby</t>
  </si>
  <si>
    <t>Přípravné a přidružené práce a dočasné zajištění staveniště</t>
  </si>
  <si>
    <t>Geotechnika Holý</t>
  </si>
  <si>
    <t>agreg.</t>
  </si>
  <si>
    <t>Lokální kotvení skalních bloků</t>
  </si>
  <si>
    <t>Trny z oceli prováděné horolezeckou technikou, zainjektované cem. maltou - statická zatěžovací zkouška</t>
  </si>
  <si>
    <t>Zhotovení nátěru ocelových konstrukcí třídy I, jednosložkového, krycího (vrchního), tloušťky do 40 μm</t>
  </si>
  <si>
    <t xml:space="preserve">Montáž ocelové sítě na skalní stěnu prováděná horolezeckou technikou   </t>
  </si>
  <si>
    <t>Montáž ocelového lana pro uchycení sítě, prováděná horolezeckou technikou, pr. do 10 mm</t>
  </si>
  <si>
    <t>Lano ocelové, šestipramenné 6 x 19 drátů, pozinkované, 1 770 Mpa, D 10 mm</t>
  </si>
  <si>
    <r>
      <t>m</t>
    </r>
    <r>
      <rPr>
        <vertAlign val="superscript"/>
        <sz val="9"/>
        <rFont val="Calibri"/>
        <family val="2"/>
        <scheme val="minor"/>
      </rPr>
      <t>3</t>
    </r>
  </si>
  <si>
    <t>012103000</t>
  </si>
  <si>
    <t>012303000</t>
  </si>
  <si>
    <t>013254000</t>
  </si>
  <si>
    <t>041503000</t>
  </si>
  <si>
    <t>030001000</t>
  </si>
  <si>
    <t>Pokládka ochranných gumových plátů, včetně jejich odstranění po dokončení stavby</t>
  </si>
  <si>
    <t xml:space="preserve">Montáž pletiva na sloupky záchytného plotu prováděná horolezeckou technikou   </t>
  </si>
  <si>
    <t>Geotextilie netkaná pro ochranu, separaci nebo filtraci měrná hmotnost do 200 g/m²</t>
  </si>
  <si>
    <t>Odtěžení nestabilních hornin ze skalních stěn, horolezeckou technikou, s přehozením na vzdálenost do 3 m nebo s naložením na dopravní prostředek, s použitím pneumatického nářadí</t>
  </si>
  <si>
    <t>Přesuny hmot</t>
  </si>
  <si>
    <t>Nakládání suti a vybouraných hmot na dopravní prostředek, pro vodorovné přemístění</t>
  </si>
  <si>
    <t>t</t>
  </si>
  <si>
    <t>Vodorovné přemístění suti a vybourání hmot bez naložení, se složením a hrub. urovnáním na vzd. do 1 km</t>
  </si>
  <si>
    <t>Příplatek k ceně za vodorovné přemístění suti vybouraných hmot, ZKD 1 km přes 1 km</t>
  </si>
  <si>
    <t>tkm</t>
  </si>
  <si>
    <t>Poplatek za uložení stavebního odpadu na recyklační skládce (skládkovné), zatříděného do Katalogu odpadů pod kódem 17 05 04: Zemina a kamení, nekontaminované</t>
  </si>
  <si>
    <t>Lano ocelové, šestipramenné 6 x 19 drátů, pozinkované, 1 770 Mpa, D 8 mm</t>
  </si>
  <si>
    <t>Základové konstrukce z betonu prostého, patky a bloky, ve výkopu, z betonu třídy C 25/30, včetně dodání a uložení betonu do připravené konstrukce</t>
  </si>
  <si>
    <t>Zhotovení nátěru ocelových konstrukcí třídy I jednosložkového základního, tloušťky do 40 μm</t>
  </si>
  <si>
    <t>Přesun hmot pro piloty, kůly, jehly, zápory, štětové nebo tabulové stěny ocelové nebo dřevěné, zřizované z terénu</t>
  </si>
  <si>
    <t>Odkopávky a prokopávky ručně zapažené i nezapažené s přehozením výkopku na vzd. do 3 m nebo s naložením na dopravní prostředek v hornině třídy těžitelnosti I, skupiny 3</t>
  </si>
  <si>
    <t>Ochrana kmene bedněním před poškozením stavebním provozem, zřízení včetně odstranění, výšky bednění přes 2 do 3 m, průměru kmene přes 300 do 500 mm</t>
  </si>
  <si>
    <t>Štěpkování s naložením na dopravní prostředek a odvozem do 20 km keřového porostu hustého</t>
  </si>
  <si>
    <t>Pokácení stromu směrové v celku s odřezáním kmene a s odvětvením průměru kmene přes 200 do 300 mm</t>
  </si>
  <si>
    <t>Odstranění pařezu ručně na svahu přes 1:1 o průměru pařezu na řezné ploše přes 200 do 300 mm</t>
  </si>
  <si>
    <t>Trny z oceli prováděné horolezeckou technikou s okem z betonářské oceli pro uchycení lana při montáži sítí a sloupků záchytného plotu zainjektované cementovou maltou délky do 3 m, průměru přes 20 do 26 mm</t>
  </si>
  <si>
    <t>Injektování aktivovanými směsmi, vzestupné, tlakem do 0,6 Mpa</t>
  </si>
  <si>
    <t>Ochranný plot výšky do 2 m</t>
  </si>
  <si>
    <t>Sloupky plotu osazené do vrtů, včetně vystředění a zalití cem. injekční směsí pro plot těžký, včetně dodání ocel. trubkek dl. do 3 m, pr. do 89/10 mm</t>
  </si>
  <si>
    <t>Ukotvení sloupků lany, včetně dodání spojovacího materiálu a šestipramenného ocel. lana 6 x 19 drátů, pozinkovaného, 1 770 Mpa, pr. do 10 mm</t>
  </si>
  <si>
    <t>Trny z injekčních zavrtávacích tyčí prováděné horolezeckou technikou zainjektované cem. maltou pr. 32 mm včetně vrtů přenosnými vrtacími kladivy na ztracenou korunku průměru 51 mm, délky do 2 m</t>
  </si>
  <si>
    <t xml:space="preserve">Montáž ztužujících lan k pletivu záchytného plotu prováděná horolezeckou technikou   </t>
  </si>
  <si>
    <t>Maloprofilové vrty průběžným sacím vrtáním, průměru přes 56 do 93 mm, do úklonu 45°, v hl 0 až 25 m, v hornině třídy V a VI</t>
  </si>
  <si>
    <t>Maloprofilové vrty průbežným sacím vrtáním, průměru přes 93 do 156 mm, do úklonu 45°, v hl 0 až 25 m, v hornině třídy V a VI</t>
  </si>
  <si>
    <t>Bednění základových konstrukcí, patek a bloků, zřízení</t>
  </si>
  <si>
    <t>Bednění základových konstrukcí, patek a bloků, odstranění a očištění</t>
  </si>
  <si>
    <t>Montáž ocelového lana pro uchycení sítě, prováděná horolezeckou technikou, pr. přes 10 mm</t>
  </si>
  <si>
    <t>Lano ocelové, šestipramenné 6 x 19 drátů, pozinkované, 1 770 Mpa, D 18 mm</t>
  </si>
  <si>
    <t>Pol. 155214211 * 1,2 ztratné na prořezy, překryvy a zpětné ohnutí; zaokr. na celý m</t>
  </si>
  <si>
    <t>Ocelové pZn lano min. pr. 10 mm, šestipramenné, 114 drátů (6 x 19 WSC), třídy pevnosti 1 770 Mpa, jmenovité únosnosti min. 64 kN.</t>
  </si>
  <si>
    <t>Pol. 155211112</t>
  </si>
  <si>
    <t>Realizace kotevní zálivky aktivovanými směsmi s ruční přípravou a aktivací na místě. Pro tento účel bude použita cementová směs, či směs na bázi cementu CEMII/B-M (V-LL) 32,5 R.</t>
  </si>
  <si>
    <t>Statická zatěžovací zkouška provedena na geotechnikem vytipovaných místech ve skalní stěně, vytržením.</t>
  </si>
  <si>
    <t>Montáž pásů ocelové sítě, včetně rozvinutí a vytažení na skalní stěnu, jejich spojení předepsaným spojovacím materiálem, včetně jeho dodání a přitažení podložek a matic na ocelové trny.</t>
  </si>
  <si>
    <t>Pol. 155213611</t>
  </si>
  <si>
    <r>
      <t>Pol. 155214521 * 1,2 ztratné na překryvy, prořezy a zpětné ohnutí; zaokr. na celý m</t>
    </r>
    <r>
      <rPr>
        <i/>
        <vertAlign val="superscript"/>
        <sz val="9"/>
        <rFont val="Calibri"/>
        <family val="2"/>
        <scheme val="minor"/>
      </rPr>
      <t>2</t>
    </r>
  </si>
  <si>
    <t>Pol. 155214525 * 1,2 ztratné na prořezy, překryvy a zpětné ohnutí; zaokr. na celý m</t>
  </si>
  <si>
    <t>Pol. 275354111</t>
  </si>
  <si>
    <t>Betonové patky sloupů budou provedeny do dřevěného bednění.</t>
  </si>
  <si>
    <t>Odstranění dřevěného bednění.</t>
  </si>
  <si>
    <t>Základové patky z betonu třídy C25/30 XC2 budou rozměru cca 0,5 x 0,5 x 0,8 m. Skutečný tvar bude dle provedení výkopu, dle místních základových poměrů.</t>
  </si>
  <si>
    <t>(Pol. 224211116 + 224311116) * 0,5 h/bm vrtu; zaokr. nahoru na 0,1 h</t>
  </si>
  <si>
    <t>Montáž ocel. pZn lana pro vlastní uchycení dopletů terénních depresí, včetně manipulace s lanem, montáže a dodání spojovacího materiálu.</t>
  </si>
  <si>
    <t>Pol. 155214212 * 1,2 ztratné na překryvy, prořezy a zpětné ohnutí; zaokr. na celý m</t>
  </si>
  <si>
    <t>Vnitrostaveništní manipulace a přesuny použitých stavebních materiálů.</t>
  </si>
  <si>
    <t>Geodetické zaměření a vytýčení inženýrsých sítí, projektovaných ploch a linií stavby.</t>
  </si>
  <si>
    <t>Geodetické zaměření skutečného provedení stavby po jejím dokončení.</t>
  </si>
  <si>
    <t>Jednotná dodávka souboru prací</t>
  </si>
  <si>
    <t>Jednotná dodávka souboru prací, dáno vyhláškou</t>
  </si>
  <si>
    <t>Přesná specifikace materiálů a postupu prací viz vyhláška č. 405/2017 Sb.</t>
  </si>
  <si>
    <t>Předpokládaná plocha, potřebná k umístění zařízení staveniště.</t>
  </si>
  <si>
    <t>Objednatel:</t>
  </si>
  <si>
    <t>V projektem vymezených rozsazích budou pomocí horolezecké techniky odstraněny křoviny a nálet s odstraněním kořenového systému. Ten bude ponechán pouze v místech, kde by mělo odstranění negativní vliv na celistvost horniny skalního masivu. Skalní svah je v současné době lokálně porostlý křovinami a náletem.</t>
  </si>
  <si>
    <t>Odtěžení nestabilních hornin ze skalních stěn, horolezeckou technikou, s přehozením na vzdálenost do 3 m nebo s naložením na dopravní prostředek, tlakovými poduškami</t>
  </si>
  <si>
    <t>Cenová soustava</t>
  </si>
  <si>
    <t>Množství</t>
  </si>
  <si>
    <t>Trny z injekčních zavrtávacích tyčí prováděné horolezeckou technikou zainjektované cem. maltou pr. 32 mm včetně vrtů přenosnými vrtacími kladivy na ztracenou korunku průměru 51 mm, délky přes 3 do 4 m</t>
  </si>
  <si>
    <t>Očištění skalních ploch horolezeckou technikou, očištění ručními nástroji, motykami a páčidly</t>
  </si>
  <si>
    <t>Hloubení nezapažených jam ručně s urovnáním dna do předepsaného profilu a spádu v hornině třídy těžitelnosti I skupiny 3 nesoudržných</t>
  </si>
  <si>
    <t>-</t>
  </si>
  <si>
    <t>R-položka</t>
  </si>
  <si>
    <t>R-155213611</t>
  </si>
  <si>
    <t>ÚRS 2022/II</t>
  </si>
  <si>
    <t>Geotechnický monitoring</t>
  </si>
  <si>
    <t>Instalace geotechnického, postsanačního monitoringu, včetně nultého měření</t>
  </si>
  <si>
    <t>Provádění měření dilatací 2x ročně, po dobu 3 roků</t>
  </si>
  <si>
    <t>Bude určeno na místě geotechnikem stavby.</t>
  </si>
  <si>
    <t>Četnost měření bude 2x ročně, po dobu 3 roků. Předpokládaný termín ukončení měření je 12/2026.</t>
  </si>
  <si>
    <t>Pro periodické měření potenciálního pohybu bloků skalního masivu projekt předpokládá realizaci 3 stanovišť</t>
  </si>
  <si>
    <t>R-155214212</t>
  </si>
  <si>
    <t>F POLOŽKOVÝ ROZPOČET</t>
  </si>
  <si>
    <t>Kód
položky</t>
  </si>
  <si>
    <t>Název, výpočet a technická specifikace položky</t>
  </si>
  <si>
    <t>KRYCÍ LIST POLOŽKOVÉHO ROZPOČTU</t>
  </si>
  <si>
    <t>Očištění skalních ploch horolezeckou technikou, odstranění vegetace, včetně stažení k zemi, odklizení na hromady na vzdálenost do 50 m nebo na naložení na dopravní prostředek, keřů a stromů do průměru 10 cm</t>
  </si>
  <si>
    <t>Vrty do skalních stěn prováděné horolezeckou technikou, hloubky do 5 m, průběžným sacím vrtáním, průměru přes 93 do 156 mm, úklonu do 45°, v hornině třídy V a VI</t>
  </si>
  <si>
    <t>Montáž dynamické bariéry, prováděná horolezeckou technikou, II. skupiny (odolnost do 2 000 kJ)</t>
  </si>
  <si>
    <t>Trny z oceli prováděné horolezeckou technikou bez oka z celozávitové oceli pro uchycení sítí zainjektované cementovou maltou délky přes 3 do 5 m, průměru přes 26 do 32 mm</t>
  </si>
  <si>
    <t>Pol. 131213702</t>
  </si>
  <si>
    <t>Pol. 919726121</t>
  </si>
  <si>
    <t>Síť na skálu s oky 300 x 300 mm z ocel. pZn lana pr. 8 mm, lanový panel 3 x 6 m, včetně kotevních prvků a montáže na odtěžovanou část skalního masivu</t>
  </si>
  <si>
    <t>Pol. 155214411 * dl. vrtu 1,2 m; zaokr. nahoru na 0,1 m</t>
  </si>
  <si>
    <r>
      <t>((Pol. 155214411 + 155213611) * rozměr bet. patky 0,5 * 0,5 * 0,7 m) * koef. nepravidelnosti výkopu 1,2; uvažováno s kombinací vrtu a patky v poměru cca 1/2 dl. patka + 1/2 dl. vrt; zaokr. nahoru na 0,1 m</t>
    </r>
    <r>
      <rPr>
        <i/>
        <vertAlign val="superscript"/>
        <sz val="9"/>
        <rFont val="Calibri"/>
        <family val="2"/>
        <scheme val="minor"/>
      </rPr>
      <t>3</t>
    </r>
  </si>
  <si>
    <t>Ve výjimečných případech budou sloupy osazeny do základových patek nebo kombinace vrtu a patky. Jedná se o místa realizace sloupů v zemním svahu, mělkém kvartérním krytu anebo v místech, kde se předpokládá rychlé zvětrání skalního svahu.</t>
  </si>
  <si>
    <r>
      <t>Všechny sloupy a kotevní prvky budou opatřeny PKO ještě před instalací do vrtu. Základní nátěr musí být proveden dílensky, štětcem a na celý ocelový profil. Způsob a provedení PKO kotevních prvků bude dle ČSN EN 1537. Minimální projektem požadovaná PKO všech prvků je 245 g/m</t>
    </r>
    <r>
      <rPr>
        <i/>
        <vertAlign val="superscript"/>
        <sz val="9"/>
        <rFont val="Calibri"/>
        <family val="2"/>
        <scheme val="minor"/>
      </rPr>
      <t>2</t>
    </r>
    <r>
      <rPr>
        <i/>
        <sz val="9"/>
        <rFont val="Calibri"/>
        <family val="2"/>
        <scheme val="minor"/>
      </rPr>
      <t>.</t>
    </r>
  </si>
  <si>
    <r>
      <t>Všechny kotevní prvky budou opatřeny PKO ještě před instalací do vrtu. Základní nátěr musí být proveden dílensky, štětcem a na celý ocelový profil. Způsob a provedení PKO kotevních prvků bude dle ČSN EN 1537. Minimální projektem požadovaná PKO všech prvků je 245 g/m</t>
    </r>
    <r>
      <rPr>
        <i/>
        <vertAlign val="superscript"/>
        <sz val="9"/>
        <rFont val="Calibri"/>
        <family val="2"/>
        <scheme val="minor"/>
      </rPr>
      <t>2</t>
    </r>
    <r>
      <rPr>
        <i/>
        <sz val="9"/>
        <rFont val="Calibri"/>
        <family val="2"/>
        <scheme val="minor"/>
      </rPr>
      <t>.</t>
    </r>
  </si>
  <si>
    <r>
      <t>(Pl. 1 mb tyče 0,079522 m² * koef. zohledňující závit 1,3 * (pol. 155213112 * dl. nátěru kotev. prvku 3 m + 15 ks z pol. 155213312 * dl. nátěru kotev. prvku 2 m + 4 ks z pol. 155213312 * dl. nátěru kotev. prvku 3 m) + pl. 1 mb tyče 0,089196 m² * koef. zohledňující závit 1,3 * dl. nátěru kotev. prvku 4 m * pol. 155213123) * 1,2 ztratné; zaokr. na celý m</t>
    </r>
    <r>
      <rPr>
        <i/>
        <vertAlign val="superscript"/>
        <sz val="9"/>
        <rFont val="Calibri"/>
        <family val="2"/>
        <scheme val="minor"/>
      </rPr>
      <t>2</t>
    </r>
  </si>
  <si>
    <r>
      <t>(Pl. 1 mb tyče 0,079522 m² * koef. zohledňující závit 1,3 * dl. nátěru kotev. prvku 0,4 m * (pol. 155213112 + 155213312) + pl. 1 mb tyče 0,089196 m² * koef. zohledňující závit 1,3 * dl. nátěru kotev. prvku 0,4 m * pol. 155213123) * počet vrstev 2 ks * 1,2 ztratné; zaokr. na celý m</t>
    </r>
    <r>
      <rPr>
        <i/>
        <vertAlign val="superscript"/>
        <sz val="9"/>
        <rFont val="Calibri"/>
        <family val="2"/>
        <scheme val="minor"/>
      </rPr>
      <t>2</t>
    </r>
  </si>
  <si>
    <t>R-997013873-2</t>
  </si>
  <si>
    <t>R-997013873-1</t>
  </si>
  <si>
    <r>
      <t>Pol. 112155315 * prům. obj. hmot. dřevní štěpky 0,008 t/m</t>
    </r>
    <r>
      <rPr>
        <i/>
        <vertAlign val="superscript"/>
        <sz val="9"/>
        <rFont val="Calibri"/>
        <family val="2"/>
        <scheme val="minor"/>
      </rPr>
      <t>3</t>
    </r>
    <r>
      <rPr>
        <i/>
        <sz val="9"/>
        <rFont val="Calibri"/>
        <family val="2"/>
        <scheme val="minor"/>
      </rPr>
      <t>; zaokr. na 0,01 t</t>
    </r>
  </si>
  <si>
    <t>R-997013873-3</t>
  </si>
  <si>
    <t>Poplatek za uložení stavebního odpadu na recyklační skládce (skládkovné), zatříděného do Katalogu odpadů pod kódem 02 01 07: Odpady z lesnictví, nekontaminované (DŘEVNÍ ŠTĚPKA)</t>
  </si>
  <si>
    <t>Poplatek za uložení stavebního odpadu na recyklační skládce (skládkovné), zatříděného do Katalogu odpadů pod kódem 02 01 07: Odpady z lesnictví, nekontaminované (PAŘEZY)</t>
  </si>
  <si>
    <r>
      <t>Obj. prům. pařezu 0,035343 * pol. 112211272 * prům. obj. hmot. dřevní hmoty 0,8 t/m</t>
    </r>
    <r>
      <rPr>
        <i/>
        <vertAlign val="superscript"/>
        <sz val="9"/>
        <rFont val="Calibri"/>
        <family val="2"/>
        <scheme val="minor"/>
      </rPr>
      <t>3</t>
    </r>
    <r>
      <rPr>
        <i/>
        <sz val="9"/>
        <rFont val="Calibri"/>
        <family val="2"/>
        <scheme val="minor"/>
      </rPr>
      <t>; zaokr. na 0,01 t</t>
    </r>
  </si>
  <si>
    <r>
      <t>Součtová pl. z půdorysu 1,8 m</t>
    </r>
    <r>
      <rPr>
        <i/>
        <vertAlign val="superscript"/>
        <sz val="9"/>
        <rFont val="Calibri"/>
        <family val="2"/>
        <scheme val="minor"/>
      </rPr>
      <t>2</t>
    </r>
    <r>
      <rPr>
        <i/>
        <sz val="9"/>
        <rFont val="Calibri"/>
        <family val="2"/>
        <scheme val="minor"/>
      </rPr>
      <t xml:space="preserve"> * prům. mocnost odtěžení 0,8 m; zaokr. nahoru na 0,1 m</t>
    </r>
    <r>
      <rPr>
        <i/>
        <vertAlign val="superscript"/>
        <sz val="9"/>
        <rFont val="Calibri"/>
        <family val="2"/>
        <scheme val="minor"/>
      </rPr>
      <t>3</t>
    </r>
  </si>
  <si>
    <t>V rámci odstranění vzrostlé vegetace bude pomocí horolezecké techniky odstraněno i několik vzrostlých stromů. Během realizace bude dřevní hmota na místě zpracována štěpkováním a rozřezáním na manipulační díly. Kusové dřevo bude deponováno na pozemku stavebníka, kterému bude následně také předáno. Dřevní štěpka bude naložena a odvezena na doporučenou skládku. Poplatek za skládku viz pol. R-997013873-2.</t>
  </si>
  <si>
    <t>Mechanické odstranění pařezů, které by znemožňovaly instalaci technických sanačních prvků. Ponechány budou pouze v místech, kde by mělo odstranění negativní vliv na celistvost horniny skalního masivu. Pařezy budou naloženy a odvezeny na doporučenou skládku. Nakládání s odpady je podrobně zpracováno v samostatné části B Souhrnná technická zpráva. Poplatek za skládku viz pol. R-997013873-3.</t>
  </si>
  <si>
    <t>Odborný odhad na základě návštěvy lokality: 6 ks</t>
  </si>
  <si>
    <t>Dozor geotechnika zhotovitele k provádění prací a přímá koordinace postupu a reakce na geotechnické podmínky stavby. Zodpovědná osoba splňující kvalifikační předpoklady geotechnického dozoru.</t>
  </si>
  <si>
    <t>Ocelové pZn lano min. pr. 8 mm, šestipramenné, 114 drátů (6 x 19 WSC), třídy pevnosti 1 770 Mpa, jmenovité únosnosti min. 41 kN. Lano bude opatřeno nástřikem černé barvy.</t>
  </si>
  <si>
    <t>Ocelové pZn lano min. pr. 10 mm, šestipramenné, 114 drátů (6 x 19 WSC), třídy pevnosti 1 770 Mpa, jmenovité únosnosti min. 64 kN. Lano bude opatřeno nástřikem černé barvy.</t>
  </si>
  <si>
    <t>Ocelové pZn lano min. pr. 18 mm, šestipramenné, 114 drátů (6 x 19 WSC), třídy pevnosti 1 770 Mpa, jmenovité únosnosti min. 207 kN. Lano bude opatřeno nástřikem černé barvy.</t>
  </si>
  <si>
    <t>Sloupy plotu budou kotveny v ose (krajní sloupy) a také do svahu, systémem 1 kotevní prvek na 2 sloupy. V místech změny vedení plotu, či v místech s výrazněji porušenou tektonikou svahu budou kotveny jednotlivě.</t>
  </si>
  <si>
    <t>Během realizace budou keře a nálet na místě zpracovány štěpkováním. Dřevní štěpka bude naložena a odvezena na doporučenou skládku. Nakládání s odpady je podrobně zpracováno v části B Souhrnná technická zpráva. Poplatek za skládku viz pol. R-997013873-2.</t>
  </si>
  <si>
    <t>Odstranění svahových pokryvů a povrchově narušených částí čištěných skalních ploch bude realizováno horolezeckým způsobem, pomocí ručního nářadí, případně také pomocí pneumatického ručního nářadí. Veškeré odtěžené hmoty budou charakteru kamenité suti. Nakládání s odpady je podrobně zpracováno v části B Souhrnná technická zpráva. Poplatek za skládku viz pol. R-997013873-1.</t>
  </si>
  <si>
    <t>Odtěžení akumulačního prostoru pod skalním svahem. Odtěžení bude provedeno ruční i strojní odkopávkou za přítomnosti geotechnika stavby. Veškeré odtěžené hmoty budou charakteru zemitě-kamenité suti. Nakládání s odpady je podrobně zpracováno v části B Souhrnná technická zpráva. Poplatek za skládku viz pol. R-997013873-1.</t>
  </si>
  <si>
    <t>SM-21-341 - Stabilizace skalního svahu Voletiny nad domem č. p. 116 - PD</t>
  </si>
  <si>
    <t>Královéhradecký kraj, Pivovarské náměstí 1245, 500 03 Hradec Králové</t>
  </si>
  <si>
    <t>R-619996137</t>
  </si>
  <si>
    <t>V průběhu stavby nesmí dojít k poškození stávajících, okolních stromů. Proti mechanickému poškození budou chráněny dřevěným obedněním.</t>
  </si>
  <si>
    <t>Trny z injekčních zavrtávacích tyčí prováděné horolezeckou technikou zainjektované cem. maltou pr. 38 mm včetně vrtů přenosnými vrtacími kladivy na ztracenou korunku průměru 51 mm, délky přes 3 do 4 m</t>
  </si>
  <si>
    <t>R-155213613</t>
  </si>
  <si>
    <t>Šroubovací ocelové pZn oko se závitem pro příslušný pr. injekční zavrtávací tyče, včetně montáže</t>
  </si>
  <si>
    <t>Ke každé zavrtávací tyči bude dodáno šroubovací ocelové pZn oko se závitem pro průměr tyče 32 a 38 mm.</t>
  </si>
  <si>
    <t>Ke každé zavrtávací tyči bude dodáno šroubovací ocelové pZn oko se závitem pro průměr tyče 32 mm.</t>
  </si>
  <si>
    <r>
      <t>Pol. 155214521 * 1,2 ztratné na prořezy, překryvy a zpět. ohnutí; zaokr. na celý m</t>
    </r>
    <r>
      <rPr>
        <i/>
        <vertAlign val="superscript"/>
        <sz val="9"/>
        <rFont val="Calibri"/>
        <family val="2"/>
        <scheme val="minor"/>
      </rPr>
      <t>2</t>
    </r>
  </si>
  <si>
    <t>Dvouzákrutová ZnAl síť s oky 60 x 80 mm z drátu D 2,2 mm, role 50 x 2 m</t>
  </si>
  <si>
    <t>Dvouzákrutová, ocelová ZnAl síť s oky 60 x 80 mm. Tahová pevnost sítě min. 37 kN/m, tahová pevnost pásu sítě min. 74 kN. Drát pletiva min. pr. 2,2 mm, tahová pevnost 350 - 550 Mpa.</t>
  </si>
  <si>
    <r>
      <t>((Pl. 1 mb tyče 0,102139 m² * koef. zohledňující závit 1,3 * dl. nátěru kotev. prvku 0,4 m * pol. 155213613) + (pl. podložky 0,0498 m</t>
    </r>
    <r>
      <rPr>
        <i/>
        <vertAlign val="superscript"/>
        <sz val="9"/>
        <rFont val="Calibri"/>
        <family val="2"/>
        <scheme val="minor"/>
      </rPr>
      <t>2</t>
    </r>
    <r>
      <rPr>
        <i/>
        <sz val="9"/>
        <rFont val="Calibri"/>
        <family val="2"/>
        <scheme val="minor"/>
      </rPr>
      <t xml:space="preserve"> * pol. 155213613)) * počet vrstev 2 ks * 1,2 ztratné; zaokr. na celý m</t>
    </r>
    <r>
      <rPr>
        <i/>
        <vertAlign val="superscript"/>
        <sz val="9"/>
        <rFont val="Calibri"/>
        <family val="2"/>
        <scheme val="minor"/>
      </rPr>
      <t>2</t>
    </r>
  </si>
  <si>
    <t>R-155214521</t>
  </si>
  <si>
    <t>Pol. 155214521</t>
  </si>
  <si>
    <t>Zavrtávací injekční tyče z oceli 28Mn6 (500 kN), min. pr. 38 mm, dl. min. 3,5 m pro realizaci sloupků dočasné záchytné konstrukce, celkové výšky min. 2 m nad terénem. Založení bude hl. min. 1,5 m, osově po cca 2 m.</t>
  </si>
  <si>
    <t>Zavrtávací injekční tyče z oceli 28Mn6 (280 kN), min. pr. 32 mm, dl. min. 1,5 m pro realizaci kotvení dočasné záchytné konstrukce. Sloupky konstrukce budou kotveny v ose (krajní sloupky) a také do svahu, systémem 1 kotevní prvek na 1 sloupek.</t>
  </si>
  <si>
    <t>Montáž dočasných záchytných konstrukcí, včetně navázání ke každému sloupku vázacím drátem, včetně jeho dodání. Kompozitní síť bude ztužena a navázána také na ocelové pZn lano v horní, střední a spodní části.</t>
  </si>
  <si>
    <t>Dočasná záchytná konstrukce bude doplněna o netkanou polypropylenovou geotextílii s plošnou hmotností 200 g/m².</t>
  </si>
  <si>
    <t>Montáž ztužujících lan dočasných záchytných konstrukcí, včetně manipulace s lanem, montáže a dodání spojovacího materiálu.</t>
  </si>
  <si>
    <t>Demontáž dočasných, záchytných konstrukcí</t>
  </si>
  <si>
    <t>Demontáž dočasných, záchytných konstrukcí po dokončení stavby. Za realizaci a také odstranění je zodpovědný dodavatel stavebních prací.</t>
  </si>
  <si>
    <r>
      <t>(Dl. obednění 18 m * výška 3 m) * 1,2 ztratné na prořezy a překryvy; zaokr. na celý m</t>
    </r>
    <r>
      <rPr>
        <i/>
        <vertAlign val="superscript"/>
        <sz val="9"/>
        <rFont val="Calibri"/>
        <family val="2"/>
        <scheme val="minor"/>
      </rPr>
      <t>2</t>
    </r>
  </si>
  <si>
    <t>Odtěžení nestabilních hornin ze skalních stěn, horolezeckou technikou, s přehozením na vzdálenost do 3 m nebo s naložením na dopravní prostředek, hydraulickými klíny</t>
  </si>
  <si>
    <t>Součtová dl. plotů 9 m / osová vzd. sloupů 3 m + 1 ks krajní sloup; zaokr. na celý ks</t>
  </si>
  <si>
    <t>Sloupy plotu budou z modifikovaných trubek z oceli S235JR, pr. 89/10 mm, dl. 3 m s nadzemní výškou min. 1,9 m, osově po cca 3 m. Sloupy budou mít zavařenou hlavu a po výšce sloupu bude navařeno 5 ok pro vedení průběžných ocelových lan. Aby se zabránilo kondenzaci vlhkosti vzduchu a následné korozi zevnitř sloupů, bude každý opatřen dvěma otvory pr. 10 mm, dole a nahoře.</t>
  </si>
  <si>
    <t>V geodeticky vytyčené a geotechnikem stavby odsouhlasené linii budou nejprve realizovány vrty pro sloupy ochranného plotu. Vrtání bude průběžným sacím vrtáním min. pr. 150 mm, hloubky min. 1,2 m a v osové vzdálenosti po cca 3 m.</t>
  </si>
  <si>
    <t>Základové patky z betonu třídy C25/30 XC2 budou rozměru cca 0,5 x 0,5 x 0,7 m. Skutečný tvar bude dle provedení výkopu, dle místních základových poměrů.</t>
  </si>
  <si>
    <t>Pol. 155214411 + (2 ks krajní sloup * 1 ks plotu); zaokr. na celý ks</t>
  </si>
  <si>
    <t>Pol. 155214411 / 2 ks sloupu na jeden kotevní prvek + (2 ks krajní sloup * 1 ks plotu); zaokr. na celý ks</t>
  </si>
  <si>
    <r>
      <t>((Pl. 1 mb sloupu 0,292044 m² * dl. nátěru sloupu 3 m * pol. 155214411) + (pl. 1 mb tyče 0,102139 m² * koef. zohledňující závit 1,3 * dl. nátěru kotev. prvku 1,5 m * pol. 155213611)) * 1,2 ztratné; zaokr. na celý m</t>
    </r>
    <r>
      <rPr>
        <i/>
        <vertAlign val="superscript"/>
        <sz val="9"/>
        <rFont val="Calibri"/>
        <family val="2"/>
        <scheme val="minor"/>
      </rPr>
      <t>2</t>
    </r>
  </si>
  <si>
    <r>
      <t>((Pl. 1 mb sloupu 0,292044 m² * dl. nátěru sloupu 2,3 m * pol. 155214411) + (pl. 1 mb tyče 0,102139 m² * koef. zohledňující závit 1,3 * dl. nátěru kotev. prvku 0,4 m * pol. 155213611)) * počet vrstev 2 ks * 1,2 ztratné; zaokr. na celý m</t>
    </r>
    <r>
      <rPr>
        <i/>
        <vertAlign val="superscript"/>
        <sz val="9"/>
        <rFont val="Calibri"/>
        <family val="2"/>
        <scheme val="minor"/>
      </rPr>
      <t>2</t>
    </r>
  </si>
  <si>
    <r>
      <t>Součtová dl. plotů 9 m * šířka pásu pletiva 2 m; zaokr. na celý m</t>
    </r>
    <r>
      <rPr>
        <i/>
        <vertAlign val="superscript"/>
        <sz val="9"/>
        <rFont val="Calibri"/>
        <family val="2"/>
        <scheme val="minor"/>
      </rPr>
      <t>2</t>
    </r>
  </si>
  <si>
    <t>(Součtová dl. plotů 9 m * 5 ks lan) + (3 ks lan * dl. 2,5 m * 2 ks krajní sloup * 1 ks plotu); zaokr. na celý m</t>
  </si>
  <si>
    <t>Odborný odhad na základě návštěvy lokality: 34 ks</t>
  </si>
  <si>
    <t>30 % z pol. 112151112; zaokr. na celý ks</t>
  </si>
  <si>
    <t>V průběhu stavby nesmí dojít k poškození povrchu dvorku za domem. V době a v místě provádění sanačních prací (čištění a odtěžování skalního masivu) bude povrch před mechanickým poškozením při pádu horniny, chráněn gumovými pláty.</t>
  </si>
  <si>
    <r>
      <t>(Dl. pokládky 14 m * šířka 2 m) * 1,2 ztratné na prořezy a překryvy; zaokr. na celý m</t>
    </r>
    <r>
      <rPr>
        <i/>
        <vertAlign val="superscript"/>
        <sz val="9"/>
        <rFont val="Calibri"/>
        <family val="2"/>
        <scheme val="minor"/>
      </rPr>
      <t>2</t>
    </r>
  </si>
  <si>
    <r>
      <t>90 % z (součtová pl. z půdorysu 77 m</t>
    </r>
    <r>
      <rPr>
        <i/>
        <vertAlign val="superscript"/>
        <sz val="9"/>
        <rFont val="Calibri"/>
        <family val="2"/>
        <scheme val="minor"/>
      </rPr>
      <t>2</t>
    </r>
    <r>
      <rPr>
        <i/>
        <sz val="9"/>
        <rFont val="Calibri"/>
        <family val="2"/>
        <scheme val="minor"/>
      </rPr>
      <t xml:space="preserve"> * koef. sklonu 3,86 * koef. členitosti 1,3 * mocnost 0,1 m); zaokr. nahoru na 0,1 m</t>
    </r>
    <r>
      <rPr>
        <i/>
        <vertAlign val="superscript"/>
        <sz val="9"/>
        <rFont val="Calibri"/>
        <family val="2"/>
        <scheme val="minor"/>
      </rPr>
      <t>3</t>
    </r>
  </si>
  <si>
    <r>
      <t>Odtěžení geotechnikem určených, nestabilních bloků bude provedeno horolezeckým způsobem s použitím ručního a pneumatického nářadí. Rozměrné skalní bloky nad cca 1,5 m</t>
    </r>
    <r>
      <rPr>
        <i/>
        <vertAlign val="superscript"/>
        <sz val="9"/>
        <rFont val="Calibri"/>
        <family val="2"/>
        <scheme val="minor"/>
      </rPr>
      <t>3</t>
    </r>
    <r>
      <rPr>
        <i/>
        <sz val="9"/>
        <rFont val="Calibri"/>
        <family val="2"/>
        <scheme val="minor"/>
      </rPr>
      <t xml:space="preserve"> budou odtěženy řízeně, viz část D.1.2.1. Technická zpráva. Veškeré odtěžené hmoty budou charakteru kamenité suti. Nakládání s odpady je podrobně zpracováno v části B Souhrnná technická zpráva. Poplatek za skládku viz pol. R-997013873-1.</t>
    </r>
  </si>
  <si>
    <r>
      <t>Odtěžení geotechnikem určených, nestabilních bloků bude provedeno horolezeckým způsobem s použitím tlakových podušek. Rozměrné skalní bloky nad cca 1,5 m</t>
    </r>
    <r>
      <rPr>
        <i/>
        <vertAlign val="superscript"/>
        <sz val="9"/>
        <rFont val="Calibri"/>
        <family val="2"/>
        <scheme val="minor"/>
      </rPr>
      <t>3</t>
    </r>
    <r>
      <rPr>
        <i/>
        <sz val="9"/>
        <rFont val="Calibri"/>
        <family val="2"/>
        <scheme val="minor"/>
      </rPr>
      <t xml:space="preserve"> budou odtěženy řízeně, viz část D.1.2.1. Technická zpráva. Veškeré odtěžené hmoty budou charakteru kamenité suti. Nakládání s odpady je podrobně zpracováno v části B Souhrnná technická zpráva. Poplatek za skládku viz pol. R-997013873-1.</t>
    </r>
  </si>
  <si>
    <r>
      <t>Odtěžení geotechnikem určených, nestabilních bloků bude provedeno horolezeckým způsobem s použitím hydraulických klínů. Rozměrné skalní bloky nad cca 1,5 m</t>
    </r>
    <r>
      <rPr>
        <i/>
        <vertAlign val="superscript"/>
        <sz val="9"/>
        <rFont val="Calibri"/>
        <family val="2"/>
        <scheme val="minor"/>
      </rPr>
      <t>3</t>
    </r>
    <r>
      <rPr>
        <i/>
        <sz val="9"/>
        <rFont val="Calibri"/>
        <family val="2"/>
        <scheme val="minor"/>
      </rPr>
      <t xml:space="preserve"> budou odtěženy řízeně, viz část D.1.2.1. Technická zpráva. Veškeré odtěžené hmoty budou charakteru kamenité suti. Nakládání s odpady je podrobně zpracováno v části B Souhrnná technická zpráva. Poplatek za skládku viz pol. R-997013873-1.</t>
    </r>
  </si>
  <si>
    <t>Zavrtávací injekční tyče z oceli 28Mn6 (280 kN), min. pr. 32 mm, dl. min. 3,5 m pro kotvení sítí po obvodu, systémové a nesystémové kotvení. Základní rastr kotvení bude 3 x 2 m (H x V). Každá kotevní tyč bude dodána včetně příslušenství (spojníky, podložka 150 x 150 x 8 mm, matka).</t>
  </si>
  <si>
    <t>Zajištění skalního svahu ocelovou sítí 80 x 100 mm</t>
  </si>
  <si>
    <r>
      <t>Součtová pl. z půdorysu 77 m² * koef. sklonu 3,86 * koef. členitosti 1,3; zaokr. na celý m</t>
    </r>
    <r>
      <rPr>
        <i/>
        <vertAlign val="superscript"/>
        <sz val="9"/>
        <rFont val="Calibri"/>
        <family val="2"/>
        <scheme val="minor"/>
      </rPr>
      <t>2</t>
    </r>
  </si>
  <si>
    <r>
      <t>Pol. 155214111 * 1,2 ztratné na překryvy, prořezy a zpětné ohnutí; zaokr. na celý m</t>
    </r>
    <r>
      <rPr>
        <i/>
        <vertAlign val="superscript"/>
        <sz val="9"/>
        <rFont val="Calibri"/>
        <family val="2"/>
        <scheme val="minor"/>
      </rPr>
      <t>2</t>
    </r>
  </si>
  <si>
    <t>Dvouzákrutová, ocelová ZnAl síť s oky 80 x 100 mm s výrobně podélně vpletenými lany pr. 8 mm, po 1 m. Tahová pevnost sítě min. 50 kN/m, tahová pevnost pásu sítě min. 219 kN. Drát pletiva min. pr. 2,7 mm, tahová pevnost 350 - 550 Mpa.</t>
  </si>
  <si>
    <t>Dvouzákrutová ZnAl síť s oky 80 x 100 mm z drátu D 2,7 mm, s vpleteným lanem po 1 m, role 3,05 x 25 m</t>
  </si>
  <si>
    <t>Hlavní dvouzákrutová, ocelová síť bude částečné doplněna (podložena) protierozní extrudovanou PP georohoží tloušťky do 13 mm s hustotou min. 900 kg/m³ a bodem tání 150 °C.</t>
  </si>
  <si>
    <t>(Součet horizont. dl. síťované pl. 52 m * koef. členitosti 1,3 / os. vzd. prvků 3 m + 3 ks krajní) + (součet vertikál. dl. síťované pl. 12 m * koef. členitosti 1,3 / os. vzd. prvků 2 m + 3 ks krajní) + (pol. 155214111 / (rastr 3 * 2 m) * 1,15 na prokopírování povrchu); zaokr. na celý ks</t>
  </si>
  <si>
    <r>
      <t>((Pl. 1 mb tyče 0,102139 m² * koef. zohledňující závit 1,3 * dl. nátěru kotev. prvku 3,5 m * pol. 155213613) + (pl. podložky 0,0498 m</t>
    </r>
    <r>
      <rPr>
        <i/>
        <vertAlign val="superscript"/>
        <sz val="9"/>
        <rFont val="Calibri"/>
        <family val="2"/>
        <scheme val="minor"/>
      </rPr>
      <t>2</t>
    </r>
    <r>
      <rPr>
        <i/>
        <sz val="9"/>
        <rFont val="Calibri"/>
        <family val="2"/>
        <scheme val="minor"/>
      </rPr>
      <t xml:space="preserve"> * pol. 155213613)) * 1,2 ztratné; zaokr. na celý m</t>
    </r>
    <r>
      <rPr>
        <i/>
        <vertAlign val="superscript"/>
        <sz val="9"/>
        <rFont val="Calibri"/>
        <family val="2"/>
        <scheme val="minor"/>
      </rPr>
      <t>2</t>
    </r>
  </si>
  <si>
    <r>
      <t>((Pl. 1 mb tyče 0,102139 m² * koef. zohledňující závit 1,3 * dl. nátěru kotev. prvku 0,4 m * pol. 155213613) + (pl. podložky 0,088 m</t>
    </r>
    <r>
      <rPr>
        <i/>
        <vertAlign val="superscript"/>
        <sz val="9"/>
        <rFont val="Calibri"/>
        <family val="2"/>
        <scheme val="minor"/>
      </rPr>
      <t>2</t>
    </r>
    <r>
      <rPr>
        <i/>
        <sz val="9"/>
        <rFont val="Calibri"/>
        <family val="2"/>
        <scheme val="minor"/>
      </rPr>
      <t xml:space="preserve"> * pol. 155213613)) * počet vrstev 2 ks * 1,2 ztratné; zaokr. na celý m</t>
    </r>
    <r>
      <rPr>
        <i/>
        <vertAlign val="superscript"/>
        <sz val="9"/>
        <rFont val="Calibri"/>
        <family val="2"/>
        <scheme val="minor"/>
      </rPr>
      <t>2</t>
    </r>
  </si>
  <si>
    <t>Geomatrace trojrozměrné, protierozní</t>
  </si>
  <si>
    <t>(Součet horizont. a vertikal. dl. síťované pl. 64 m * koef. členitosti 1,3) + (lano pro vzájemné spojení jednotlivých pásů sítě pol. 155214111 * koef. 0,35); zaokr. na celý m</t>
  </si>
  <si>
    <t>Montáž ocelového pZn lana min. pr. 10 mm pro vlastní uchycení sítě po obvodu síťované plochy a montáž ocelového pZn lana min. pr. 8 mm pro vzájemné spojení jednotlivých pásů sítě, včetně manipulace s lanem, montáže a dodání spojovacího materiálu.</t>
  </si>
  <si>
    <t>Součet horizont. a vertikal. dl. síťované pl. 64 m * koef. členitosti 1,3 * 1,2 ztratné na prořezy, překryvy a zpět. ohnutí; zaokr. na celý m</t>
  </si>
  <si>
    <t>(Lano pro vzájemné spojení jednotlivých pásů sítě pol. 155214111 * koef. 0,35) * 1,2 ztratné na prořezy, překryvy a zpět. ohnutí; zaokr. na celý m</t>
  </si>
  <si>
    <t>Odborný odhad geotechnika dle členitosti skalního svahu a četnosti, velikosti a šířky puklin: 3 ks</t>
  </si>
  <si>
    <t>Montáž geomříže na skalní stěnu prováděná horolezeckou technikou</t>
  </si>
  <si>
    <t>Montáž pásů protierozní extrudované PP georohože, včetně rozvinutí a vytažení na skalní stěnu.</t>
  </si>
  <si>
    <r>
      <t>25 % z pol. 155214111; zaokr. na celý m</t>
    </r>
    <r>
      <rPr>
        <i/>
        <vertAlign val="superscript"/>
        <sz val="9"/>
        <rFont val="Calibri"/>
        <family val="2"/>
        <scheme val="minor"/>
      </rPr>
      <t>2</t>
    </r>
  </si>
  <si>
    <r>
      <t>Pol. 155214112 * 1,2 ztratné na překryvy, prořezy a zpětné ohnutí; zaokr. na celý m</t>
    </r>
    <r>
      <rPr>
        <i/>
        <vertAlign val="superscript"/>
        <sz val="9"/>
        <rFont val="Calibri"/>
        <family val="2"/>
        <scheme val="minor"/>
      </rPr>
      <t>2</t>
    </r>
  </si>
  <si>
    <t>Zavrtávací injekční tyče z oceli 28Mn6 (280 kN), min. pr. 32 mm, dl. min. 4 m pro kotvení uvolněných bloků. Každá kotevní tyč bude dodána včetně příslušenství (spojníky, podložka 200 x 200 x 10 mm, matka).</t>
  </si>
  <si>
    <r>
      <t>((Pl. 1 mb tyče 0,102139 m² * koef. zohledňující závit 1,3 * dl. nátěru kotev. prvku 4 m * pol. 155213613) + (pl. podložky 0,088 m</t>
    </r>
    <r>
      <rPr>
        <i/>
        <vertAlign val="superscript"/>
        <sz val="9"/>
        <rFont val="Calibri"/>
        <family val="2"/>
        <scheme val="minor"/>
      </rPr>
      <t>2</t>
    </r>
    <r>
      <rPr>
        <i/>
        <sz val="9"/>
        <rFont val="Calibri"/>
        <family val="2"/>
        <scheme val="minor"/>
      </rPr>
      <t xml:space="preserve"> * pol. 155213613)) * 1,2 ztratné; zaokr. na celý m</t>
    </r>
    <r>
      <rPr>
        <i/>
        <vertAlign val="superscript"/>
        <sz val="9"/>
        <rFont val="Calibri"/>
        <family val="2"/>
        <scheme val="minor"/>
      </rPr>
      <t>2</t>
    </r>
  </si>
  <si>
    <t>Odstranění vegetace, očištění a odtěžení skalního svahu a obnova akumulačního prostoru</t>
  </si>
  <si>
    <t>(Pol. 155211122 + 155211311 + 155211312 + 155211313) * prům. obj. hmot. 2,0 t/m³ + (pol. 122211101 + 131213702) * prům. obj. hmot. 1,9 t/m³; zaokr. na 0,01 t</t>
  </si>
  <si>
    <t>Pol. 155211122 * prům. obj. hmot. 2,0 t/m³ + pol. 131213702 * prům. obj. hmot. 1,9 t/m³; zaokr. na 0,01 t</t>
  </si>
  <si>
    <t>Nakládání vytěženého materiálu, který nemá v ceně započtenou nakládku.</t>
  </si>
  <si>
    <t>Veškeré poplatky provozovateli skládky, recyklační linky nebo jiného zařízení na zpracování nebo likvidaci odpadů souvisejících s převzetím, uložením, zpracováním nebo likvidací odpadu. Doporučena skládka odpadů, TRANSPORT Trutnov s. r. o., je vzdálená přibližně 8 km z místa stavby. Tato skládka provozuje také kompostárnu a recyklaci stavebních materiálů.</t>
  </si>
  <si>
    <t>Pol. R-997013873-1 + R-997013873-3</t>
  </si>
  <si>
    <t xml:space="preserve">Vodorovná doprava vytěženého materiálu (zemina a kamení) a pařezů, silničními vozidly na vzdálenost 1 km. Pol. 112155315 (štěpkování) zahrnuje dopravu do 20 km, proto není v této položce uvažováno s její dopravou. </t>
  </si>
  <si>
    <t>Celková předpokládaná vzdálenost odvozu materiálu na doporučenou skládku je přibližně 8 km.</t>
  </si>
  <si>
    <t>(Pol. R-997013873-1 + R-997013873-3) * 7 km; zaokr. na 0,01 tkm</t>
  </si>
  <si>
    <t>Mezi sloupy plotu bude nejdřív nataženo horní a dolní ocelové pZn lano min. pr. 10 mm. Tyto lana budou pak u krajních sloupů kotvena ke skalnímu svahu tím samým způsobem jako sloupy. Na takto připravená lana bude následně, směrem do svahu, vyvěšeno vlastní pletivo, které nesmí být plně napnuto. Pletivo bude pak ztuženo dalšími třemi ocelovými pZn lany min. pr. 10 mm.</t>
  </si>
  <si>
    <t>Nadzemní výška pletiva bude min. 1,8 m. Pletivo bude vyvěšeno na horní a dolní ocelové pZn lano, směrem do svahu. Nesmí být plně napnuto. Pás pletiva šířky cca 2 m bude instalován podélně a v místě napojení na další pás bude proveden překryv šířky min. 200 mm. Jednotlivé pásy budou spájeny c-kroužky po max. 100 mm. Pletivo bude pak ztuženo dalšími třemi ocelovými pZn lany min. pr. 10 mm. Ve spodní linii bude provedeno zpětné zahnutí cca 200 mm pletiva směrem do svahu, položeno na zem a přitíženo kameny.</t>
  </si>
  <si>
    <t>Vlastní kotvení bude realizováno pomocí ocelového pZn lana min. pr. 10 mm s konstrukcí 6 x 19 + WSC, třídy pevnosti 1 770 MPa, jmenovité únosnosti min. 64 kN, přes zavrtávací injekční tyč z oceli 28Mn6 (280 kN), min pr. 32 mm, dl. min. 1,5 m do vrtu min. pr. 51 mm nebo základové patky z betonu třídy C25/30 XC2, rozměru cca 0,5 x 0,5 x 0,7 m. Skutečný tvar bude dle provedení výkopu, dle místních základových poměrů.</t>
  </si>
  <si>
    <t>Stávající dřevěná kůlna bude kompletně demontována a vzniklý materiál bude předán vlastníkovi. Jako náhrada mu bude dodán nový zahradní domek na nářadí o půdorysu max. 3 x 3 m.</t>
  </si>
  <si>
    <t>Ochrana stavebních konstrukcí a samostatných prvků včetně pozdějšího odstranění</t>
  </si>
  <si>
    <t>Všechny kotevní prvky budou opatřeny PKO ještě před instalací do vrtu, přičemž přetažení systému PKO do vrtu bude min. 200 mm. Způsob a provedení PKO kotevních prvků bude dle ČSN EN 1537. Krycí (vrchní) vrstvy PKO budou provedeny v barevném odstínu RAL 7013.</t>
  </si>
  <si>
    <t>Všechny sloupy a kotevní prvky budou opatřeny PKO ještě před instalací do vrtu / betonové patky, přičemž přetažení systému PKO do vrtu bude min. 200 mm. Způsob a provedení PKO kotevních prvků bude dle ČSN EN 1537. Krycí (vrchní) vrstvy PKO budou provedeny v barevném odstínu RAL 7013.</t>
  </si>
  <si>
    <t>Součtová dl. zajišťovaného úseku ve svahu (8 + 8 + 14 m) * koef. členitosti 1,2 / os. vzd sloupků 2 m + 3 ks krajní sloupek; zaokr. na celý ks</t>
  </si>
  <si>
    <t>Pol. R-155213613 + 155213611</t>
  </si>
  <si>
    <t>Pol. R-155213613 / 1 ks sloupku na jeden kotevní prvek + (2 ks krajní sloupek * 3 ks plotu); zaokr. na celý ks</t>
  </si>
  <si>
    <r>
      <t>Součtová dl. zajišťovaného úseku ve svahu (8 + 8 + 14 m) * výška k-ce 2 m; zaokr. na celý m</t>
    </r>
    <r>
      <rPr>
        <i/>
        <vertAlign val="superscript"/>
        <sz val="9"/>
        <rFont val="Calibri"/>
        <family val="2"/>
        <scheme val="minor"/>
      </rPr>
      <t>2</t>
    </r>
  </si>
  <si>
    <t>Součtová dl. zajišťovaného úseku ve svahu (8 + 8 + 14 m) * 3 ks ztužení po výšce + (pol. 155213611 * 1 ks lan * dl. 2,5 m); zaokr. na celý m</t>
  </si>
  <si>
    <r>
      <t>75 % z (součtová pl. z půdorysu 414 m</t>
    </r>
    <r>
      <rPr>
        <i/>
        <vertAlign val="superscript"/>
        <sz val="9"/>
        <rFont val="Calibri"/>
        <family val="2"/>
        <scheme val="minor"/>
      </rPr>
      <t>2</t>
    </r>
    <r>
      <rPr>
        <i/>
        <sz val="9"/>
        <rFont val="Calibri"/>
        <family val="2"/>
        <scheme val="minor"/>
      </rPr>
      <t xml:space="preserve"> * koef. sklonu 2,37 * koef. členitosti 1,3); zaokr. na celý m</t>
    </r>
    <r>
      <rPr>
        <i/>
        <vertAlign val="superscript"/>
        <sz val="9"/>
        <rFont val="Calibri"/>
        <family val="2"/>
        <scheme val="minor"/>
      </rPr>
      <t>2</t>
    </r>
  </si>
  <si>
    <t>Realizace vrtů pro založení sloupů dynamické bariéry, kotvení dopletů terénních depresí a deviační kotvení. Vrty budou min. pr. 70 mm, provedeny bezjádrovým vrtáním se vzduchovým výplachem. Skutečné rozmístění kotevních prvků určí geotechnický dozor zhotovitele přímo na stavbě dle daných geologických podmínek.</t>
  </si>
  <si>
    <t>Pol. 155213123 * dl. vrtu 4 m + pol. 155213312 * dl. vrtu 2 m</t>
  </si>
  <si>
    <t>6 ks kotev. prvků * dl. vrtu 5 m + 2 ks kotev. prvků * dl. vrtu 6 m</t>
  </si>
  <si>
    <t>Realizace vrtů pro zadní a postranní kotvení dynamické bariéry. Vrty budou min. pr. 100 mm, provedeny bezjádrovým vrtáním se vzduchovým výplachem. Skutečné rozmístění kotevních prvků určí geotechnický dozor zhotovitele přímo na stavbě dle daných geologických podmínek.</t>
  </si>
  <si>
    <t>V projektem stanovených místech bude provedeno odtěžení částí skalního masivu, které by kolidovaly s budovanou konstrukcí. Skalní hornina bude rozpojena pomocí pneumatického nářadí. Zemina či skalní hornina musí být v trase navržené bariéry odstraněna všude tam, kde by docházelo při vypnutí spodního podélného lana k jeho zdvihu o terén, lano musí mezi ocelovými patkami procházet volně položené na terénu.</t>
  </si>
  <si>
    <r>
      <t>Rozměr bet. patky (0,5 * 0,5 * 0,8 m) * počet všech patek 3 ks * koef. nepravidelnosti výkopu 1,2; zaokr. nahoru na 0,1 m</t>
    </r>
    <r>
      <rPr>
        <i/>
        <vertAlign val="superscript"/>
        <sz val="9"/>
        <rFont val="Calibri"/>
        <family val="2"/>
        <scheme val="minor"/>
      </rPr>
      <t>3</t>
    </r>
  </si>
  <si>
    <t>Sloupy dynamické bariéry budou osazeny do vrtu v kombinaci s betonovou základovou patkou. Jedná se o místa realizace sloupů v zemním svahu, mělkém kvartérním krytu anebo v místech, kde se předpokládá rychlé zvětrání skalního svahu.</t>
  </si>
  <si>
    <r>
      <t>Rozměr bednění (0,5 * 0,8 m * 4 ks) * počet všech patek 3 ks * 1,2 ztratné; zaokr. na celý m</t>
    </r>
    <r>
      <rPr>
        <i/>
        <vertAlign val="superscript"/>
        <sz val="9"/>
        <rFont val="Calibri"/>
        <family val="2"/>
        <scheme val="minor"/>
      </rPr>
      <t>2</t>
    </r>
  </si>
  <si>
    <t>Dynamická bariéra II. skupiny (odolnost do 2 000 kJ), včetně všech kotevních prvků a spojovacího sortimentu</t>
  </si>
  <si>
    <t>Dl. dynamické bariéry 16 m * výška 5 m</t>
  </si>
  <si>
    <t>Realizace dynamické bariéry, prováděná horolezeckou technikou. Provedení bariéry bude dle instalačního manuálu výrobce konkrétní DB. Přesná specifikace polohy konstrukce je možná až po provedení prací na odstranění náletu, očištění zvětralých částí a odtěžení nestabilních bloků. Práce bude na místě řídit geotechnik nebo projektant.</t>
  </si>
  <si>
    <t>R-155215121-2</t>
  </si>
  <si>
    <t>Sloupy DB budou z pZn profilu 180 x 180 mm, tloušťky stěny 5 mm z oceli S355JR. Pro hlavní nosná (horní a spodní) a zadní lana bude použito ocel. pZn lano pr. 18 mm. Pro postranní, spojovací a mezilehlá lana bude použito ocel. pZn lano pr. 16 mm. Vlastní výplň bariéry bude tvořit hlavní záchytný panel z čtvercového pletiva 300 x 300 mm z ocel. pZn lan min. pr. 7 mm a doplňkové ocel. dvouzákrutové pZn pletivo 80 x 100 mm z drátu min. pr. 2,2 mm.</t>
  </si>
  <si>
    <t>Dynamická bariéra výšky do 5 m</t>
  </si>
  <si>
    <t>R-155215121-1</t>
  </si>
  <si>
    <t>Pol. R-155215121-1</t>
  </si>
  <si>
    <t>Dvouzákrutová ZnAl síť s oky 80 x 100 mm z drátu D 2,7 mm, s vpleteným lanem po 1 m, včetně montáže prováděné horolozeckou technikou</t>
  </si>
  <si>
    <r>
      <t>Součtová pl. dopletů 5 m</t>
    </r>
    <r>
      <rPr>
        <i/>
        <vertAlign val="superscript"/>
        <sz val="9"/>
        <rFont val="Calibri"/>
        <family val="2"/>
        <scheme val="minor"/>
      </rPr>
      <t>2</t>
    </r>
    <r>
      <rPr>
        <i/>
        <sz val="9"/>
        <rFont val="Calibri"/>
        <family val="2"/>
        <scheme val="minor"/>
      </rPr>
      <t xml:space="preserve"> * koef. členitosti 1,3 * 1,2 ztratné na překryvy, prořezy a zpětné ohnutí; zaokr. na celý m</t>
    </r>
    <r>
      <rPr>
        <i/>
        <vertAlign val="superscript"/>
        <sz val="9"/>
        <rFont val="Calibri"/>
        <family val="2"/>
        <scheme val="minor"/>
      </rPr>
      <t>2</t>
    </r>
  </si>
  <si>
    <t>Pro vykrytí terénních depresí formou dopletení bude použita dvouzákrutová, ocelová ZnAl síť s oky 80 x 100 mm s výrobně podélně vpletenými lany pr. 8 mm, po 1 m. Tahová pevnost sítě min. 50 kN/m, tahová pevnost pásu sítě min. 219 kN. Drát pletiva min. pr. 2,7 mm, tahová pevnost 350 - 550 Mpa.</t>
  </si>
  <si>
    <t>Součtový obvod dopletů 12 m * koef. členitosti 1,3; zaokr. na celý m</t>
  </si>
  <si>
    <r>
      <t>Šířka dočasného zajištění nestabilní části skalní věže 14 m * výška 15 m * koef. členitosti 1,3; zaokr. na celý m</t>
    </r>
    <r>
      <rPr>
        <i/>
        <vertAlign val="superscript"/>
        <sz val="9"/>
        <rFont val="Calibri"/>
        <family val="2"/>
        <scheme val="minor"/>
      </rPr>
      <t>2</t>
    </r>
  </si>
  <si>
    <r>
      <rPr>
        <b/>
        <i/>
        <sz val="10"/>
        <rFont val="Calibri"/>
        <family val="2"/>
      </rPr>
      <t>Počet stránek:</t>
    </r>
    <r>
      <rPr>
        <sz val="10"/>
        <rFont val="Calibri"/>
        <family val="2"/>
      </rPr>
      <t xml:space="preserve"> 13</t>
    </r>
  </si>
  <si>
    <t>V průběhu stavby nesmí dojít k poškození stávajících konstrukcí, nacházejících se pod skalním svahem. Jedná se především o rodinný dům, č. p. 116, včetně garáže s terasou. V době a v místě provádění sanačních prací (čištění a odtěžování skalního masivu) budou tyto konstrukce před mechanickým poškozením při pádu horniny, chráněny obedněním. Obednění kritické části objektu bude z vrstvy starých pneumatik, skládaných naležato na sebe a vrstvy dřevěných palet, vzájemně ztlučených a čelně ztužených OSB deskami. Polohu upřesní geotechnik na místě.</t>
  </si>
  <si>
    <r>
      <t>Odtěžení rozměrných skalních bloků nad cca 1,5 m</t>
    </r>
    <r>
      <rPr>
        <i/>
        <vertAlign val="superscript"/>
        <sz val="9"/>
        <rFont val="Calibri"/>
        <family val="2"/>
        <scheme val="minor"/>
      </rPr>
      <t>3</t>
    </r>
    <r>
      <rPr>
        <i/>
        <sz val="9"/>
        <rFont val="Calibri"/>
        <family val="2"/>
        <scheme val="minor"/>
      </rPr>
      <t xml:space="preserve"> bude provedeno řízeně. Skalní blok bude nejdřív zajištěn pomocí lanové sítě s oky 300 x 300 mm z ocel. pZn lana min. pr. 8 mm, šestipramenné, 42 drátů (6 x 7 WSC), třídy pevnosti 1 770 Mpa, jmenovité únosnosti min. 41 kN. Tahová pevnost lanové sítě min. 150 kN/m, tuhost lanové sítě min. 839 kN/m (při max. průhybu 280 mm), pevnost křížového uzlu max. 24 kN. Drát křížového uzlu sítě min. pr. 3 mm s tahovou pevností min. 350 - 550 Mpa. Síť bude kotvena pomocí zavrtávacích injekčních tyčí z oceli 28Mn6 (280 MPa), min. pr. 32 mm, dl. min. 3,5 m. Základní rastr kotvení bude 2 x 2 m (H x V) a každá kotevní tyč bude dodána včetně příslušenství (spojníky, podložka 150 x 150 x 8 mm, matka). O způsobu odtěžení, umístění sítě a kotevních prvků rozhodne geotechnik na místě, dle aktuálně zastižených geologických podmínek.</t>
    </r>
  </si>
  <si>
    <r>
      <t>Odborný odhad na základě návštěvy lokality: 67,5 m</t>
    </r>
    <r>
      <rPr>
        <i/>
        <vertAlign val="superscript"/>
        <sz val="9"/>
        <rFont val="Calibri"/>
        <family val="2"/>
        <scheme val="minor"/>
      </rPr>
      <t>3</t>
    </r>
  </si>
  <si>
    <r>
      <t>(Součtová pl. z půdorysu 45 m² * prům. výška napadávky horniny, či osyp. kužele 1,1 m) * 0,5; zaokr. nahoru na 0,1 m</t>
    </r>
    <r>
      <rPr>
        <i/>
        <vertAlign val="superscript"/>
        <sz val="9"/>
        <rFont val="Calibri"/>
        <family val="2"/>
        <scheme val="minor"/>
      </rPr>
      <t>3</t>
    </r>
  </si>
  <si>
    <t>Celozávitové kotevníní tyče z oceli B550B (550 MPa), min. pr. 32 mm, dl. min. 4 m do vrtu min. pr. 70 mm pro založení sloupů dynamické bariéry II. skupiny (odolnost do 2 000 kJ).</t>
  </si>
  <si>
    <t>Celozávitové kotevníní tyče s okem z oceli B550B (550 MPa), min. pr. 25 mm, dl. min. 2 a 3 m do vrtu min. pr. 70 mm pro kotvení dopletů terénních depresí a deviační kotvení.</t>
  </si>
  <si>
    <t>Počet sloupů 3 ks * 2 ks trnů pro založení jednoho sloupu</t>
  </si>
  <si>
    <t>Součtová dl. kotvené části dopletů 7 m / os. vzd. prvků 1,5 m + 1 ks krajní + 1 ks pro deviační kotvení; zaokr. na celý ks</t>
  </si>
  <si>
    <r>
      <t>((1 ks z pol. č. 46 * dl. kotev. prvku 3 m + 6 ks z pol. č. 46 * dl. kotev. prvku 2 m) * hmot. mb tyče 0,00385 t) + (pol. 155213123 * dl. kotev. prvku 4 m * hmot. mb tyče 0,00631 t) + ((pol. 155213611 * dl. kotev. prvku 1,5 m + (pol. 155213613; č. 27 + 155213511) * dl. kotev. prvku 3,5 m + pol. 155213613; č. 24 * dl. kotev. prvku 4 m) * hmot. mb tyče 0,0036 t) + (pol. R-155213613 * dl. kotev. prvku 3,5 m * hmot. mb tyče 0,0066 t) + (pol. R-155213611 * hmot. ocel. oka 0,0005 t) + (pol. 919726121 * hmot. m</t>
    </r>
    <r>
      <rPr>
        <i/>
        <vertAlign val="superscript"/>
        <sz val="9"/>
        <rFont val="Calibri"/>
        <family val="2"/>
        <scheme val="minor"/>
      </rPr>
      <t>2</t>
    </r>
    <r>
      <rPr>
        <i/>
        <sz val="9"/>
        <rFont val="Calibri"/>
        <family val="2"/>
        <scheme val="minor"/>
      </rPr>
      <t xml:space="preserve"> geotextílie 0,0003 t) + (pol. 31319110; č. 10 * hmot. m</t>
    </r>
    <r>
      <rPr>
        <i/>
        <vertAlign val="superscript"/>
        <sz val="9"/>
        <rFont val="Calibri"/>
        <family val="2"/>
        <scheme val="minor"/>
      </rPr>
      <t>2</t>
    </r>
    <r>
      <rPr>
        <i/>
        <sz val="9"/>
        <rFont val="Calibri"/>
        <family val="2"/>
        <scheme val="minor"/>
      </rPr>
      <t xml:space="preserve"> sítě 0,0012 t) + (pol. R-619996137 * hmot. m</t>
    </r>
    <r>
      <rPr>
        <i/>
        <vertAlign val="superscript"/>
        <sz val="9"/>
        <rFont val="Calibri"/>
        <family val="2"/>
        <scheme val="minor"/>
      </rPr>
      <t>2</t>
    </r>
    <r>
      <rPr>
        <i/>
        <sz val="9"/>
        <rFont val="Calibri"/>
        <family val="2"/>
        <scheme val="minor"/>
      </rPr>
      <t xml:space="preserve"> dřev. obednění 0,02093 t) + (pol. 184818242 * hmot. m</t>
    </r>
    <r>
      <rPr>
        <i/>
        <vertAlign val="superscript"/>
        <sz val="9"/>
        <rFont val="Calibri"/>
        <family val="2"/>
        <scheme val="minor"/>
      </rPr>
      <t>2</t>
    </r>
    <r>
      <rPr>
        <i/>
        <sz val="9"/>
        <rFont val="Calibri"/>
        <family val="2"/>
        <scheme val="minor"/>
      </rPr>
      <t xml:space="preserve"> dřev. obednění stromů 0,03203 t) + ((pol. 275354111 + 275354211) * hmot. m</t>
    </r>
    <r>
      <rPr>
        <i/>
        <vertAlign val="superscript"/>
        <sz val="9"/>
        <rFont val="Calibri"/>
        <family val="2"/>
        <scheme val="minor"/>
      </rPr>
      <t>2</t>
    </r>
    <r>
      <rPr>
        <i/>
        <sz val="9"/>
        <rFont val="Calibri"/>
        <family val="2"/>
        <scheme val="minor"/>
      </rPr>
      <t xml:space="preserve"> dřev. bednění 0,00144 t) + (pol. č. 14 * hmot. m</t>
    </r>
    <r>
      <rPr>
        <i/>
        <vertAlign val="superscript"/>
        <sz val="9"/>
        <rFont val="Calibri"/>
        <family val="2"/>
        <scheme val="minor"/>
      </rPr>
      <t>2</t>
    </r>
    <r>
      <rPr>
        <i/>
        <sz val="9"/>
        <rFont val="Calibri"/>
        <family val="2"/>
        <scheme val="minor"/>
      </rPr>
      <t xml:space="preserve"> sítě vč. kotvení 0,0104 t) + (pol. 31319092 * hmot. m</t>
    </r>
    <r>
      <rPr>
        <i/>
        <vertAlign val="superscript"/>
        <sz val="9"/>
        <rFont val="Calibri"/>
        <family val="2"/>
        <scheme val="minor"/>
      </rPr>
      <t>2</t>
    </r>
    <r>
      <rPr>
        <i/>
        <sz val="9"/>
        <rFont val="Calibri"/>
        <family val="2"/>
        <scheme val="minor"/>
      </rPr>
      <t xml:space="preserve"> sítě 0,0017 t) + (pol. 69321111 * hmot. m</t>
    </r>
    <r>
      <rPr>
        <i/>
        <vertAlign val="superscript"/>
        <sz val="9"/>
        <rFont val="Calibri"/>
        <family val="2"/>
        <scheme val="minor"/>
      </rPr>
      <t>2</t>
    </r>
    <r>
      <rPr>
        <i/>
        <sz val="9"/>
        <rFont val="Calibri"/>
        <family val="2"/>
        <scheme val="minor"/>
      </rPr>
      <t xml:space="preserve"> protierozní rohože 0,0006 t) + (pol. 31319110; č. 65 * hmot. m</t>
    </r>
    <r>
      <rPr>
        <i/>
        <vertAlign val="superscript"/>
        <sz val="9"/>
        <rFont val="Calibri"/>
        <family val="2"/>
        <scheme val="minor"/>
      </rPr>
      <t>2</t>
    </r>
    <r>
      <rPr>
        <i/>
        <sz val="9"/>
        <rFont val="Calibri"/>
        <family val="2"/>
        <scheme val="minor"/>
      </rPr>
      <t xml:space="preserve"> sítě 0,0012 t) + (pol. 31452106 * hmot. mb lana 0,00021 t) + (pol. 31452107 * hmot. mb lana 0,00032 t) + (pol. R-155214212 * hmot. mb lana 0,00103 t) + (pol. 155214411 * dl. sloupu 3 m * hmot. mb sloupu 0,0195 t) + (pol. 155215121 * hmot. m</t>
    </r>
    <r>
      <rPr>
        <i/>
        <vertAlign val="superscript"/>
        <sz val="9"/>
        <rFont val="Calibri"/>
        <family val="2"/>
        <scheme val="minor"/>
      </rPr>
      <t>2</t>
    </r>
    <r>
      <rPr>
        <i/>
        <sz val="9"/>
        <rFont val="Calibri"/>
        <family val="2"/>
        <scheme val="minor"/>
      </rPr>
      <t xml:space="preserve"> DB II. skupiny 0,04505 t) + (pol. R-155215121-2 hmot. m</t>
    </r>
    <r>
      <rPr>
        <i/>
        <vertAlign val="superscript"/>
        <sz val="9"/>
        <rFont val="Calibri"/>
        <family val="2"/>
        <scheme val="minor"/>
      </rPr>
      <t>2</t>
    </r>
    <r>
      <rPr>
        <i/>
        <sz val="9"/>
        <rFont val="Calibri"/>
        <family val="2"/>
        <scheme val="minor"/>
      </rPr>
      <t xml:space="preserve"> sítě dopletu 0,0017 t) + (pol. 275311127 * prům. obj. hmot. betonu 2,3 t/m³); zaokr. na 0,01 t</t>
    </r>
  </si>
  <si>
    <t>Nový zahradní domek na nářadí o půdorysu do 3 x 3 m, včetně dopravy, včetně demontáže stávající kůlny</t>
  </si>
  <si>
    <r>
      <t>Odborný odhad na základě návštěvy lokality: 523 m</t>
    </r>
    <r>
      <rPr>
        <i/>
        <vertAlign val="superscript"/>
        <sz val="9"/>
        <rFont val="Calibri"/>
        <family val="2"/>
        <scheme val="minor"/>
      </rPr>
      <t>3</t>
    </r>
  </si>
  <si>
    <r>
      <t>Odborný odhad na základě návštěvy lokality: 195 m</t>
    </r>
    <r>
      <rPr>
        <i/>
        <vertAlign val="superscript"/>
        <sz val="9"/>
        <rFont val="Calibri"/>
        <family val="2"/>
        <scheme val="minor"/>
      </rPr>
      <t>3</t>
    </r>
  </si>
  <si>
    <r>
      <t xml:space="preserve">Veškeré poplatky provozovateli skládky, recyklační linky nebo jiného zařízení na zpracování nebo likvidaci odpadů souvisejících s převzetím, uložením, zpracováním nebo likvidací odpadu. Doporučena skládka odpadů, TRANSPORT Trutnov s. r. o., je vzdálená přibližně 8 km z místa stavby. Tato skládka provozuje také kompostárnu a recyklaci stavebních materiálů. V případě omezené kapacity zařízení je možné využít druhé provozovny, také v Trutnově. 
</t>
    </r>
    <r>
      <rPr>
        <i/>
        <u val="single"/>
        <sz val="9"/>
        <rFont val="Calibri"/>
        <family val="2"/>
        <scheme val="minor"/>
      </rPr>
      <t>Podmínkou zařízení pro převzetí odpadu</t>
    </r>
    <r>
      <rPr>
        <i/>
        <sz val="9"/>
        <rFont val="Calibri"/>
        <family val="2"/>
        <scheme val="minor"/>
      </rPr>
      <t xml:space="preserve"> je provedení rozboru pro zařazení do třídy vyluhovatelnosti IIa, a to pro každých 1 000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</si>
</sst>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_-#,##0.00&quot; Kč&quot;;* \-#,##0.00&quot; Kč&quot;;* _-\-??&quot; Kč&quot;;@"/>
    <numFmt numFmtId="165" formatCode="#,##0&quot; Kč&quot;"/>
    <numFmt numFmtId="166" formatCode="#"/>
    <numFmt numFmtId="167" formatCode="_-* #,##0\ [$Kč-405]_-;\-* #,##0\ [$Kč-405]_-;_-* \-??\ [$Kč-405]_-;_-@_-"/>
    <numFmt numFmtId="168" formatCode="_-* #,##0.0&quot; Kč&quot;_-;\-* #,##0.0&quot; Kč&quot;_-;_-* &quot;- Kč&quot;_-;_-@_-"/>
    <numFmt numFmtId="169" formatCode="#,##0\ &quot;Kč&quot;"/>
    <numFmt numFmtId="170" formatCode="#,##0.0"/>
    <numFmt numFmtId="171" formatCode="0.0"/>
    <numFmt numFmtId="172" formatCode="#,##0.000000"/>
  </numFmts>
  <fonts count="27">
    <font>
      <sz val="10"/>
      <name val="Arial"/>
      <family val="2"/>
    </font>
    <font>
      <sz val="8"/>
      <name val="Arial"/>
      <family val="2"/>
    </font>
    <font>
      <sz val="12"/>
      <name val="Arial"/>
      <family val="2"/>
    </font>
    <font>
      <sz val="8"/>
      <name val="Calibri"/>
      <family val="2"/>
    </font>
    <font>
      <b/>
      <sz val="8"/>
      <name val="Calibri"/>
      <family val="2"/>
    </font>
    <font>
      <sz val="9"/>
      <name val="Calibri"/>
      <family val="2"/>
    </font>
    <font>
      <b/>
      <sz val="9"/>
      <name val="Calibri"/>
      <family val="2"/>
    </font>
    <font>
      <b/>
      <i/>
      <sz val="9"/>
      <name val="Calibri"/>
      <family val="2"/>
    </font>
    <font>
      <b/>
      <i/>
      <sz val="8"/>
      <name val="Calibri"/>
      <family val="2"/>
    </font>
    <font>
      <i/>
      <sz val="8"/>
      <name val="Calibri"/>
      <family val="2"/>
    </font>
    <font>
      <i/>
      <sz val="10"/>
      <name val="Calibri"/>
      <family val="2"/>
    </font>
    <font>
      <b/>
      <i/>
      <sz val="10"/>
      <name val="Calibri"/>
      <family val="2"/>
    </font>
    <font>
      <b/>
      <sz val="10"/>
      <name val="Arial"/>
      <family val="2"/>
    </font>
    <font>
      <sz val="9"/>
      <name val="Calibri"/>
      <family val="2"/>
      <scheme val="minor"/>
    </font>
    <font>
      <b/>
      <sz val="20"/>
      <color theme="0"/>
      <name val="Calibri"/>
      <family val="2"/>
    </font>
    <font>
      <sz val="10"/>
      <name val="Calibri"/>
      <family val="2"/>
    </font>
    <font>
      <b/>
      <sz val="10"/>
      <name val="Calibri"/>
      <family val="2"/>
    </font>
    <font>
      <b/>
      <sz val="10"/>
      <name val="Calibri"/>
      <family val="2"/>
      <scheme val="minor"/>
    </font>
    <font>
      <vertAlign val="superscript"/>
      <sz val="9"/>
      <name val="Calibri"/>
      <family val="2"/>
      <scheme val="minor"/>
    </font>
    <font>
      <sz val="10"/>
      <name val="Calibri"/>
      <family val="2"/>
      <scheme val="minor"/>
    </font>
    <font>
      <b/>
      <i/>
      <sz val="10"/>
      <name val="Calibri"/>
      <family val="2"/>
      <scheme val="minor"/>
    </font>
    <font>
      <b/>
      <sz val="9"/>
      <color theme="0"/>
      <name val="Calibri"/>
      <family val="2"/>
      <scheme val="minor"/>
    </font>
    <font>
      <b/>
      <sz val="14"/>
      <color theme="0"/>
      <name val="Calibri"/>
      <family val="2"/>
      <scheme val="minor"/>
    </font>
    <font>
      <b/>
      <sz val="14"/>
      <color theme="0"/>
      <name val="Calibri"/>
      <family val="2"/>
    </font>
    <font>
      <i/>
      <sz val="9"/>
      <name val="Calibri"/>
      <family val="2"/>
      <scheme val="minor"/>
    </font>
    <font>
      <i/>
      <vertAlign val="superscript"/>
      <sz val="9"/>
      <name val="Calibri"/>
      <family val="2"/>
      <scheme val="minor"/>
    </font>
    <font>
      <i/>
      <u val="single"/>
      <sz val="9"/>
      <name val="Calibri"/>
      <family val="2"/>
      <scheme val="minor"/>
    </font>
  </fonts>
  <fills count="9">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00B050"/>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medium"/>
      <right/>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border>
    <border>
      <left style="medium"/>
      <right/>
      <top style="medium"/>
      <bottom/>
    </border>
    <border>
      <left style="medium"/>
      <right/>
      <top style="thin"/>
      <bottom/>
    </border>
    <border>
      <left/>
      <right style="medium"/>
      <top style="thin"/>
      <bottom/>
    </border>
    <border>
      <left style="medium"/>
      <right/>
      <top/>
      <bottom style="thin"/>
    </border>
    <border>
      <left/>
      <right style="medium"/>
      <top/>
      <bottom style="thin"/>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right/>
      <top style="medium"/>
      <bottom/>
    </border>
    <border>
      <left/>
      <right style="thin"/>
      <top style="medium"/>
      <bottom style="medium"/>
    </border>
    <border>
      <left style="thin"/>
      <right style="thin"/>
      <top/>
      <bottom style="thin"/>
    </border>
    <border>
      <left style="thin"/>
      <right style="thin"/>
      <top style="thin"/>
      <bottom style="medium"/>
    </border>
    <border>
      <left style="medium"/>
      <right style="thin"/>
      <top style="medium"/>
      <bottom/>
    </border>
    <border>
      <left style="thin"/>
      <right style="thin"/>
      <top style="medium"/>
      <bottom/>
    </border>
    <border>
      <left style="thin"/>
      <right style="medium"/>
      <top style="medium"/>
      <bottom/>
    </border>
    <border>
      <left style="thin"/>
      <right style="thin"/>
      <top/>
      <bottom/>
    </border>
    <border>
      <left style="thin"/>
      <right style="thin"/>
      <top style="thin"/>
      <bottom style="thin"/>
    </border>
    <border>
      <left style="thin"/>
      <right style="thin"/>
      <top style="thin"/>
      <bottom/>
    </border>
    <border>
      <left style="thin"/>
      <right style="thin"/>
      <top style="medium"/>
      <bottom style="thin"/>
    </border>
    <border>
      <left/>
      <right/>
      <top/>
      <bottom style="thin"/>
    </border>
    <border>
      <left style="medium"/>
      <right/>
      <top style="medium"/>
      <bottom style="thin"/>
    </border>
    <border>
      <left/>
      <right style="medium"/>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152">
    <xf numFmtId="0" fontId="0" fillId="0" borderId="0" xfId="0"/>
    <xf numFmtId="0" fontId="1" fillId="0" borderId="0" xfId="21" applyFont="1">
      <alignment/>
      <protection/>
    </xf>
    <xf numFmtId="0" fontId="2" fillId="0" borderId="0" xfId="21" applyFont="1">
      <alignment/>
      <protection/>
    </xf>
    <xf numFmtId="0" fontId="0" fillId="0" borderId="0" xfId="21">
      <alignment/>
      <protection/>
    </xf>
    <xf numFmtId="0" fontId="3" fillId="0" borderId="0" xfId="21" applyFont="1">
      <alignment/>
      <protection/>
    </xf>
    <xf numFmtId="0" fontId="5" fillId="0" borderId="0" xfId="21" applyFont="1" applyAlignment="1">
      <alignment vertical="center"/>
      <protection/>
    </xf>
    <xf numFmtId="0" fontId="4" fillId="0" borderId="0" xfId="21" applyFont="1" applyAlignment="1">
      <alignment vertical="center"/>
      <protection/>
    </xf>
    <xf numFmtId="0" fontId="6" fillId="0" borderId="0" xfId="21" applyFont="1" applyAlignment="1">
      <alignment vertical="center"/>
      <protection/>
    </xf>
    <xf numFmtId="0" fontId="8" fillId="0" borderId="0" xfId="21" applyFont="1" applyAlignment="1">
      <alignment horizontal="center" vertical="center"/>
      <protection/>
    </xf>
    <xf numFmtId="0" fontId="7" fillId="0" borderId="0" xfId="21" applyFont="1" applyAlignment="1">
      <alignment horizontal="center" vertical="center"/>
      <protection/>
    </xf>
    <xf numFmtId="0" fontId="4" fillId="0" borderId="0" xfId="21" applyFont="1">
      <alignment/>
      <protection/>
    </xf>
    <xf numFmtId="0" fontId="12" fillId="0" borderId="0" xfId="21" applyFont="1">
      <alignment/>
      <protection/>
    </xf>
    <xf numFmtId="0" fontId="11" fillId="2" borderId="1" xfId="21" applyFont="1" applyFill="1" applyBorder="1" applyAlignment="1">
      <alignment vertical="center"/>
      <protection/>
    </xf>
    <xf numFmtId="169" fontId="1" fillId="0" borderId="0" xfId="21" applyNumberFormat="1" applyFont="1">
      <alignment/>
      <protection/>
    </xf>
    <xf numFmtId="0" fontId="11" fillId="2" borderId="2" xfId="21" applyFont="1" applyFill="1" applyBorder="1" applyAlignment="1">
      <alignment horizontal="right" vertical="center"/>
      <protection/>
    </xf>
    <xf numFmtId="0" fontId="15" fillId="2" borderId="3" xfId="21" applyFont="1" applyFill="1" applyBorder="1" applyAlignment="1">
      <alignment vertical="center"/>
      <protection/>
    </xf>
    <xf numFmtId="0" fontId="15" fillId="2" borderId="4" xfId="21" applyFont="1" applyFill="1" applyBorder="1" applyAlignment="1">
      <alignment vertical="center"/>
      <protection/>
    </xf>
    <xf numFmtId="0" fontId="15" fillId="2" borderId="5" xfId="21" applyFont="1" applyFill="1" applyBorder="1" applyAlignment="1">
      <alignment vertical="center"/>
      <protection/>
    </xf>
    <xf numFmtId="0" fontId="15" fillId="2" borderId="6" xfId="21" applyFont="1" applyFill="1" applyBorder="1" applyAlignment="1">
      <alignment vertical="center"/>
      <protection/>
    </xf>
    <xf numFmtId="0" fontId="15" fillId="2" borderId="2" xfId="21" applyFont="1" applyFill="1" applyBorder="1" applyAlignment="1">
      <alignment horizontal="left" vertical="center" wrapText="1"/>
      <protection/>
    </xf>
    <xf numFmtId="169" fontId="15" fillId="2" borderId="3" xfId="21" applyNumberFormat="1" applyFont="1" applyFill="1" applyBorder="1" applyAlignment="1">
      <alignment vertical="center"/>
      <protection/>
    </xf>
    <xf numFmtId="0" fontId="15" fillId="2" borderId="2" xfId="21" applyFont="1" applyFill="1" applyBorder="1" applyAlignment="1">
      <alignment vertical="center" wrapText="1"/>
      <protection/>
    </xf>
    <xf numFmtId="0" fontId="15" fillId="2" borderId="7" xfId="21" applyFont="1" applyFill="1" applyBorder="1" applyAlignment="1">
      <alignment vertical="center"/>
      <protection/>
    </xf>
    <xf numFmtId="0" fontId="16" fillId="2" borderId="7" xfId="21" applyFont="1" applyFill="1" applyBorder="1" applyAlignment="1">
      <alignment vertical="center"/>
      <protection/>
    </xf>
    <xf numFmtId="14" fontId="15" fillId="2" borderId="3" xfId="21" applyNumberFormat="1" applyFont="1" applyFill="1" applyBorder="1" applyAlignment="1">
      <alignment horizontal="left" vertical="center"/>
      <protection/>
    </xf>
    <xf numFmtId="0" fontId="11" fillId="2" borderId="8" xfId="21" applyFont="1" applyFill="1" applyBorder="1" applyAlignment="1">
      <alignment vertical="center"/>
      <protection/>
    </xf>
    <xf numFmtId="0" fontId="10" fillId="2" borderId="2" xfId="21" applyFont="1" applyFill="1" applyBorder="1" applyAlignment="1">
      <alignment vertical="center"/>
      <protection/>
    </xf>
    <xf numFmtId="0" fontId="10" fillId="2" borderId="4" xfId="21" applyFont="1" applyFill="1" applyBorder="1" applyAlignment="1">
      <alignment vertical="center"/>
      <protection/>
    </xf>
    <xf numFmtId="0" fontId="15" fillId="2" borderId="8" xfId="21" applyFont="1" applyFill="1" applyBorder="1" applyAlignment="1">
      <alignment vertical="center"/>
      <protection/>
    </xf>
    <xf numFmtId="0" fontId="11" fillId="2" borderId="9" xfId="21" applyFont="1" applyFill="1" applyBorder="1" applyAlignment="1">
      <alignment vertical="center"/>
      <protection/>
    </xf>
    <xf numFmtId="165" fontId="16" fillId="2" borderId="10" xfId="21" applyNumberFormat="1" applyFont="1" applyFill="1" applyBorder="1" applyAlignment="1">
      <alignment horizontal="right" vertical="center"/>
      <protection/>
    </xf>
    <xf numFmtId="0" fontId="11" fillId="2" borderId="11" xfId="21" applyFont="1" applyFill="1" applyBorder="1" applyAlignment="1">
      <alignment vertical="center"/>
      <protection/>
    </xf>
    <xf numFmtId="165" fontId="16" fillId="2" borderId="12" xfId="21" applyNumberFormat="1" applyFont="1" applyFill="1" applyBorder="1" applyAlignment="1">
      <alignment horizontal="right" vertical="center"/>
      <protection/>
    </xf>
    <xf numFmtId="0" fontId="15" fillId="2" borderId="4" xfId="21" applyFont="1" applyFill="1" applyBorder="1">
      <alignment/>
      <protection/>
    </xf>
    <xf numFmtId="0" fontId="15" fillId="2" borderId="6" xfId="21" applyFont="1" applyFill="1" applyBorder="1">
      <alignment/>
      <protection/>
    </xf>
    <xf numFmtId="0" fontId="15" fillId="2" borderId="3" xfId="21" applyFont="1" applyFill="1" applyBorder="1">
      <alignment/>
      <protection/>
    </xf>
    <xf numFmtId="169" fontId="15" fillId="2" borderId="0" xfId="21" applyNumberFormat="1" applyFont="1" applyFill="1" applyAlignment="1">
      <alignment vertical="center"/>
      <protection/>
    </xf>
    <xf numFmtId="169" fontId="16" fillId="2" borderId="13" xfId="21" applyNumberFormat="1" applyFont="1" applyFill="1" applyBorder="1" applyAlignment="1">
      <alignment vertical="center"/>
      <protection/>
    </xf>
    <xf numFmtId="0" fontId="13" fillId="0" borderId="0" xfId="21" applyFont="1" applyAlignment="1">
      <alignment horizontal="center"/>
      <protection/>
    </xf>
    <xf numFmtId="0" fontId="13" fillId="0" borderId="0" xfId="21" applyFont="1">
      <alignment/>
      <protection/>
    </xf>
    <xf numFmtId="2" fontId="13" fillId="0" borderId="0" xfId="21" applyNumberFormat="1" applyFont="1">
      <alignment/>
      <protection/>
    </xf>
    <xf numFmtId="0" fontId="20" fillId="0" borderId="14" xfId="21" applyFont="1" applyBorder="1" applyAlignment="1">
      <alignment horizontal="center" vertical="center" wrapText="1"/>
      <protection/>
    </xf>
    <xf numFmtId="0" fontId="20" fillId="0" borderId="15" xfId="21" applyFont="1" applyBorder="1" applyAlignment="1">
      <alignment horizontal="center" vertical="center" wrapText="1"/>
      <protection/>
    </xf>
    <xf numFmtId="2" fontId="20" fillId="0" borderId="15" xfId="21" applyNumberFormat="1" applyFont="1" applyBorder="1" applyAlignment="1">
      <alignment horizontal="center" vertical="center" wrapText="1"/>
      <protection/>
    </xf>
    <xf numFmtId="2" fontId="20" fillId="0" borderId="16" xfId="21" applyNumberFormat="1" applyFont="1" applyBorder="1" applyAlignment="1">
      <alignment horizontal="center" vertical="center" wrapText="1"/>
      <protection/>
    </xf>
    <xf numFmtId="2" fontId="17" fillId="3" borderId="1" xfId="21" applyNumberFormat="1" applyFont="1" applyFill="1" applyBorder="1" applyAlignment="1">
      <alignment vertical="center" wrapText="1"/>
      <protection/>
    </xf>
    <xf numFmtId="166" fontId="17" fillId="3" borderId="17" xfId="21" applyNumberFormat="1" applyFont="1" applyFill="1" applyBorder="1" applyAlignment="1">
      <alignment horizontal="center" vertical="center" wrapText="1"/>
      <protection/>
    </xf>
    <xf numFmtId="166" fontId="17" fillId="4" borderId="17" xfId="21" applyNumberFormat="1" applyFont="1" applyFill="1" applyBorder="1" applyAlignment="1">
      <alignment vertical="center" wrapText="1"/>
      <protection/>
    </xf>
    <xf numFmtId="166" fontId="17" fillId="4" borderId="17" xfId="21" applyNumberFormat="1" applyFont="1" applyFill="1" applyBorder="1" applyAlignment="1">
      <alignment horizontal="center" vertical="center" wrapText="1"/>
      <protection/>
    </xf>
    <xf numFmtId="166" fontId="17" fillId="3" borderId="17" xfId="21" applyNumberFormat="1" applyFont="1" applyFill="1" applyBorder="1" applyAlignment="1">
      <alignment vertical="center" wrapText="1"/>
      <protection/>
    </xf>
    <xf numFmtId="166" fontId="17" fillId="3" borderId="1" xfId="21" applyNumberFormat="1" applyFont="1" applyFill="1" applyBorder="1" applyAlignment="1">
      <alignment horizontal="center" vertical="center" wrapText="1"/>
      <protection/>
    </xf>
    <xf numFmtId="2" fontId="19" fillId="3" borderId="17" xfId="21" applyNumberFormat="1" applyFont="1" applyFill="1" applyBorder="1">
      <alignment/>
      <protection/>
    </xf>
    <xf numFmtId="0" fontId="21" fillId="5" borderId="8" xfId="21" applyFont="1" applyFill="1" applyBorder="1" applyAlignment="1">
      <alignment vertical="center"/>
      <protection/>
    </xf>
    <xf numFmtId="0" fontId="21" fillId="5" borderId="18" xfId="21" applyFont="1" applyFill="1" applyBorder="1" applyAlignment="1">
      <alignment vertical="center"/>
      <protection/>
    </xf>
    <xf numFmtId="0" fontId="23" fillId="5" borderId="1" xfId="21" applyFont="1" applyFill="1" applyBorder="1" applyAlignment="1">
      <alignment vertical="center"/>
      <protection/>
    </xf>
    <xf numFmtId="0" fontId="23" fillId="5" borderId="17" xfId="21" applyFont="1" applyFill="1" applyBorder="1" applyAlignment="1">
      <alignment vertical="center"/>
      <protection/>
    </xf>
    <xf numFmtId="0" fontId="23" fillId="5" borderId="13" xfId="21" applyFont="1" applyFill="1" applyBorder="1" applyAlignment="1">
      <alignment vertical="center"/>
      <protection/>
    </xf>
    <xf numFmtId="165" fontId="23" fillId="5" borderId="17" xfId="21" applyNumberFormat="1" applyFont="1" applyFill="1" applyBorder="1" applyAlignment="1">
      <alignment horizontal="right" vertical="center"/>
      <protection/>
    </xf>
    <xf numFmtId="0" fontId="22" fillId="5" borderId="18" xfId="21" applyFont="1" applyFill="1" applyBorder="1" applyAlignment="1">
      <alignment horizontal="left" vertical="center"/>
      <protection/>
    </xf>
    <xf numFmtId="168" fontId="17" fillId="3" borderId="17" xfId="21" applyNumberFormat="1" applyFont="1" applyFill="1" applyBorder="1" applyAlignment="1">
      <alignment horizontal="center" vertical="center" wrapText="1"/>
      <protection/>
    </xf>
    <xf numFmtId="0" fontId="13" fillId="0" borderId="0" xfId="21" applyFont="1" applyAlignment="1">
      <alignment horizontal="center" vertical="center"/>
      <protection/>
    </xf>
    <xf numFmtId="0" fontId="13" fillId="0" borderId="0" xfId="21" applyFont="1" applyAlignment="1">
      <alignment horizontal="left" vertical="center"/>
      <protection/>
    </xf>
    <xf numFmtId="0" fontId="13" fillId="0" borderId="2" xfId="23" applyFont="1" applyBorder="1" applyAlignment="1">
      <alignment horizontal="center" vertical="center"/>
      <protection/>
    </xf>
    <xf numFmtId="0" fontId="13" fillId="0" borderId="4" xfId="23" applyFont="1" applyBorder="1" applyAlignment="1">
      <alignment horizontal="center" vertical="center"/>
      <protection/>
    </xf>
    <xf numFmtId="0" fontId="13" fillId="0" borderId="5" xfId="21" applyFont="1" applyBorder="1" applyAlignment="1">
      <alignment horizontal="center" vertical="center"/>
      <protection/>
    </xf>
    <xf numFmtId="171" fontId="13" fillId="0" borderId="5" xfId="21" applyNumberFormat="1" applyFont="1" applyBorder="1" applyAlignment="1">
      <alignment vertical="center" wrapText="1"/>
      <protection/>
    </xf>
    <xf numFmtId="168" fontId="13" fillId="0" borderId="5" xfId="21" applyNumberFormat="1" applyFont="1" applyBorder="1" applyAlignment="1">
      <alignment vertical="center" wrapText="1"/>
      <protection/>
    </xf>
    <xf numFmtId="0" fontId="13" fillId="0" borderId="14" xfId="23" applyFont="1" applyBorder="1" applyAlignment="1">
      <alignment horizontal="center" vertical="center"/>
      <protection/>
    </xf>
    <xf numFmtId="0" fontId="13" fillId="0" borderId="15" xfId="21" applyFont="1" applyBorder="1" applyAlignment="1">
      <alignment horizontal="center" vertical="center"/>
      <protection/>
    </xf>
    <xf numFmtId="0" fontId="13" fillId="0" borderId="15" xfId="21" applyFont="1" applyBorder="1" applyAlignment="1">
      <alignment vertical="center"/>
      <protection/>
    </xf>
    <xf numFmtId="168" fontId="13" fillId="0" borderId="15" xfId="21" applyNumberFormat="1" applyFont="1" applyBorder="1" applyAlignment="1">
      <alignment vertical="center" wrapText="1"/>
      <protection/>
    </xf>
    <xf numFmtId="0" fontId="13" fillId="0" borderId="15" xfId="21" applyFont="1" applyBorder="1" applyAlignment="1">
      <alignment horizontal="center" vertical="center" wrapText="1"/>
      <protection/>
    </xf>
    <xf numFmtId="0" fontId="13" fillId="0" borderId="15" xfId="21" applyFont="1" applyBorder="1" applyAlignment="1">
      <alignment horizontal="left" vertical="center" wrapText="1"/>
      <protection/>
    </xf>
    <xf numFmtId="0" fontId="13" fillId="0" borderId="15" xfId="21" applyFont="1" applyBorder="1" applyAlignment="1">
      <alignment vertical="center" wrapText="1"/>
      <protection/>
    </xf>
    <xf numFmtId="0" fontId="13" fillId="2" borderId="15" xfId="21" applyFont="1" applyFill="1" applyBorder="1" applyAlignment="1">
      <alignment horizontal="left" vertical="center" wrapText="1"/>
      <protection/>
    </xf>
    <xf numFmtId="168" fontId="13" fillId="2" borderId="15" xfId="21" applyNumberFormat="1" applyFont="1" applyFill="1" applyBorder="1" applyAlignment="1">
      <alignment vertical="center" wrapText="1"/>
      <protection/>
    </xf>
    <xf numFmtId="0" fontId="13" fillId="0" borderId="15" xfId="0" applyFont="1" applyBorder="1" applyAlignment="1" applyProtection="1">
      <alignment horizontal="center" vertical="center"/>
      <protection locked="0"/>
    </xf>
    <xf numFmtId="0" fontId="13" fillId="0" borderId="15" xfId="24" applyFont="1" applyBorder="1" applyAlignment="1" applyProtection="1">
      <alignment vertical="center" wrapText="1"/>
      <protection locked="0"/>
    </xf>
    <xf numFmtId="0" fontId="5" fillId="0" borderId="19" xfId="21" applyFont="1" applyBorder="1" applyAlignment="1">
      <alignment horizontal="center" vertical="center"/>
      <protection/>
    </xf>
    <xf numFmtId="0" fontId="5" fillId="0" borderId="15" xfId="21" applyFont="1" applyBorder="1" applyAlignment="1">
      <alignment horizontal="left" vertical="center" wrapText="1"/>
      <protection/>
    </xf>
    <xf numFmtId="0" fontId="13" fillId="2" borderId="15" xfId="21" applyFont="1" applyFill="1" applyBorder="1" applyAlignment="1">
      <alignment horizontal="center" vertical="center"/>
      <protection/>
    </xf>
    <xf numFmtId="4" fontId="13" fillId="0" borderId="15" xfId="21" applyNumberFormat="1" applyFont="1" applyBorder="1" applyAlignment="1">
      <alignment horizontal="center" vertical="center" wrapText="1"/>
      <protection/>
    </xf>
    <xf numFmtId="0" fontId="13" fillId="0" borderId="15" xfId="0" applyFont="1" applyBorder="1" applyAlignment="1">
      <alignment horizontal="center" vertical="center"/>
    </xf>
    <xf numFmtId="0" fontId="13" fillId="0" borderId="15" xfId="23" applyFont="1" applyBorder="1" applyAlignment="1">
      <alignment horizontal="center" vertical="center" wrapText="1"/>
      <protection/>
    </xf>
    <xf numFmtId="0" fontId="13" fillId="2" borderId="15" xfId="21" applyFont="1" applyFill="1" applyBorder="1" applyAlignment="1">
      <alignment horizontal="center" vertical="center" wrapText="1"/>
      <protection/>
    </xf>
    <xf numFmtId="0" fontId="13" fillId="6" borderId="15" xfId="21" applyFont="1" applyFill="1" applyBorder="1" applyAlignment="1">
      <alignment horizontal="center" vertical="center"/>
      <protection/>
    </xf>
    <xf numFmtId="0" fontId="13" fillId="7" borderId="15" xfId="21" applyFont="1" applyFill="1" applyBorder="1" applyAlignment="1">
      <alignment horizontal="center" vertical="center"/>
      <protection/>
    </xf>
    <xf numFmtId="168" fontId="13" fillId="8" borderId="15" xfId="0" applyNumberFormat="1" applyFont="1" applyFill="1" applyBorder="1" applyAlignment="1">
      <alignment vertical="center" wrapText="1"/>
    </xf>
    <xf numFmtId="49" fontId="13" fillId="0" borderId="15" xfId="21" applyNumberFormat="1" applyFont="1" applyBorder="1" applyAlignment="1">
      <alignment horizontal="center" vertical="center" wrapText="1"/>
      <protection/>
    </xf>
    <xf numFmtId="168" fontId="13" fillId="0" borderId="15" xfId="21" applyNumberFormat="1" applyFont="1" applyBorder="1" applyAlignment="1">
      <alignment vertical="top" wrapText="1"/>
      <protection/>
    </xf>
    <xf numFmtId="49" fontId="13" fillId="8" borderId="15" xfId="0" applyNumberFormat="1" applyFont="1" applyFill="1" applyBorder="1" applyAlignment="1">
      <alignment horizontal="center" vertical="center"/>
    </xf>
    <xf numFmtId="0" fontId="24" fillId="0" borderId="20" xfId="21" applyFont="1" applyBorder="1" applyAlignment="1">
      <alignment vertical="center" wrapText="1"/>
      <protection/>
    </xf>
    <xf numFmtId="0" fontId="24" fillId="0" borderId="21" xfId="21" applyFont="1" applyBorder="1" applyAlignment="1">
      <alignment vertical="center" wrapText="1"/>
      <protection/>
    </xf>
    <xf numFmtId="0" fontId="14" fillId="5" borderId="1" xfId="21" applyFont="1" applyFill="1" applyBorder="1" applyAlignment="1">
      <alignment vertical="center"/>
      <protection/>
    </xf>
    <xf numFmtId="14" fontId="15" fillId="2" borderId="0" xfId="21" applyNumberFormat="1" applyFont="1" applyFill="1" applyAlignment="1">
      <alignment horizontal="left" vertical="center"/>
      <protection/>
    </xf>
    <xf numFmtId="0" fontId="16" fillId="2" borderId="0" xfId="21" applyFont="1" applyFill="1" applyAlignment="1">
      <alignment vertical="center"/>
      <protection/>
    </xf>
    <xf numFmtId="0" fontId="21" fillId="5" borderId="7" xfId="21" applyFont="1" applyFill="1" applyBorder="1" applyAlignment="1">
      <alignment vertical="center"/>
      <protection/>
    </xf>
    <xf numFmtId="167" fontId="17" fillId="4" borderId="13" xfId="21" applyNumberFormat="1" applyFont="1" applyFill="1" applyBorder="1" applyAlignment="1">
      <alignment vertical="center" wrapText="1"/>
      <protection/>
    </xf>
    <xf numFmtId="168" fontId="13" fillId="0" borderId="16" xfId="21" applyNumberFormat="1" applyFont="1" applyBorder="1" applyAlignment="1">
      <alignment vertical="center" wrapText="1"/>
      <protection/>
    </xf>
    <xf numFmtId="171" fontId="13" fillId="0" borderId="0" xfId="21" applyNumberFormat="1" applyFont="1" applyAlignment="1">
      <alignment vertical="center" wrapText="1"/>
      <protection/>
    </xf>
    <xf numFmtId="168" fontId="13" fillId="0" borderId="0" xfId="21" applyNumberFormat="1" applyFont="1" applyAlignment="1">
      <alignment vertical="center" wrapText="1"/>
      <protection/>
    </xf>
    <xf numFmtId="168" fontId="13" fillId="0" borderId="3" xfId="21" applyNumberFormat="1" applyFont="1" applyBorder="1" applyAlignment="1">
      <alignment vertical="center" wrapText="1"/>
      <protection/>
    </xf>
    <xf numFmtId="168" fontId="13" fillId="0" borderId="6" xfId="21" applyNumberFormat="1" applyFont="1" applyBorder="1" applyAlignment="1">
      <alignment vertical="center" wrapText="1"/>
      <protection/>
    </xf>
    <xf numFmtId="167" fontId="17" fillId="3" borderId="13" xfId="21" applyNumberFormat="1" applyFont="1" applyFill="1" applyBorder="1" applyAlignment="1">
      <alignment vertical="center" wrapText="1"/>
      <protection/>
    </xf>
    <xf numFmtId="4" fontId="13" fillId="0" borderId="0" xfId="21" applyNumberFormat="1" applyFont="1" applyAlignment="1">
      <alignment vertical="center" wrapText="1"/>
      <protection/>
    </xf>
    <xf numFmtId="0" fontId="13" fillId="0" borderId="8" xfId="23" applyFont="1" applyBorder="1" applyAlignment="1">
      <alignment horizontal="center" vertical="center"/>
      <protection/>
    </xf>
    <xf numFmtId="0" fontId="13" fillId="0" borderId="18" xfId="21" applyFont="1" applyBorder="1" applyAlignment="1">
      <alignment horizontal="center" vertical="center"/>
      <protection/>
    </xf>
    <xf numFmtId="171" fontId="13" fillId="0" borderId="18" xfId="21" applyNumberFormat="1" applyFont="1" applyBorder="1" applyAlignment="1">
      <alignment vertical="center" wrapText="1"/>
      <protection/>
    </xf>
    <xf numFmtId="168" fontId="13" fillId="0" borderId="18" xfId="21" applyNumberFormat="1" applyFont="1" applyBorder="1" applyAlignment="1">
      <alignment vertical="center" wrapText="1"/>
      <protection/>
    </xf>
    <xf numFmtId="168" fontId="13" fillId="0" borderId="7" xfId="21" applyNumberFormat="1" applyFont="1" applyBorder="1" applyAlignment="1">
      <alignment vertical="center" wrapText="1"/>
      <protection/>
    </xf>
    <xf numFmtId="4" fontId="13" fillId="0" borderId="15" xfId="23" applyNumberFormat="1" applyFont="1" applyBorder="1" applyAlignment="1">
      <alignment horizontal="center" vertical="center" wrapText="1"/>
      <protection/>
    </xf>
    <xf numFmtId="4" fontId="13" fillId="2" borderId="15" xfId="21" applyNumberFormat="1" applyFont="1" applyFill="1" applyBorder="1" applyAlignment="1">
      <alignment horizontal="center" vertical="center" wrapText="1"/>
      <protection/>
    </xf>
    <xf numFmtId="4" fontId="13" fillId="0" borderId="15" xfId="0" applyNumberFormat="1" applyFont="1" applyBorder="1" applyAlignment="1" applyProtection="1">
      <alignment horizontal="center" vertical="center"/>
      <protection locked="0"/>
    </xf>
    <xf numFmtId="0" fontId="13" fillId="0" borderId="22" xfId="23" applyFont="1" applyBorder="1" applyAlignment="1">
      <alignment horizontal="center" vertical="center"/>
      <protection/>
    </xf>
    <xf numFmtId="0" fontId="13" fillId="0" borderId="23" xfId="21" applyFont="1" applyBorder="1" applyAlignment="1">
      <alignment horizontal="center" vertical="center" wrapText="1"/>
      <protection/>
    </xf>
    <xf numFmtId="0" fontId="13" fillId="0" borderId="23" xfId="21" applyFont="1" applyBorder="1" applyAlignment="1">
      <alignment horizontal="center" vertical="center"/>
      <protection/>
    </xf>
    <xf numFmtId="4" fontId="13" fillId="0" borderId="23" xfId="21" applyNumberFormat="1" applyFont="1" applyBorder="1" applyAlignment="1">
      <alignment horizontal="center" vertical="center" wrapText="1"/>
      <protection/>
    </xf>
    <xf numFmtId="168" fontId="13" fillId="0" borderId="23" xfId="21" applyNumberFormat="1" applyFont="1" applyBorder="1" applyAlignment="1">
      <alignment vertical="center" wrapText="1"/>
      <protection/>
    </xf>
    <xf numFmtId="168" fontId="13" fillId="0" borderId="24" xfId="21" applyNumberFormat="1" applyFont="1" applyBorder="1" applyAlignment="1">
      <alignment vertical="center" wrapText="1"/>
      <protection/>
    </xf>
    <xf numFmtId="0" fontId="24" fillId="0" borderId="25" xfId="21" applyFont="1" applyBorder="1" applyAlignment="1">
      <alignment vertical="center" wrapText="1"/>
      <protection/>
    </xf>
    <xf numFmtId="170" fontId="13" fillId="0" borderId="15" xfId="23" applyNumberFormat="1" applyFont="1" applyBorder="1" applyAlignment="1">
      <alignment horizontal="center" vertical="center" wrapText="1"/>
      <protection/>
    </xf>
    <xf numFmtId="170" fontId="13" fillId="0" borderId="15" xfId="0" applyNumberFormat="1" applyFont="1" applyBorder="1" applyAlignment="1">
      <alignment horizontal="center" vertical="center" wrapText="1"/>
    </xf>
    <xf numFmtId="4" fontId="13" fillId="7" borderId="15" xfId="21" applyNumberFormat="1" applyFont="1" applyFill="1" applyBorder="1" applyAlignment="1">
      <alignment horizontal="center" vertical="center" wrapText="1"/>
      <protection/>
    </xf>
    <xf numFmtId="4" fontId="13" fillId="0" borderId="0" xfId="21" applyNumberFormat="1" applyFont="1" applyAlignment="1">
      <alignment horizontal="center" vertical="center" wrapText="1"/>
      <protection/>
    </xf>
    <xf numFmtId="4" fontId="13" fillId="0" borderId="5" xfId="21" applyNumberFormat="1" applyFont="1" applyBorder="1" applyAlignment="1">
      <alignment horizontal="center" vertical="center" wrapText="1"/>
      <protection/>
    </xf>
    <xf numFmtId="0" fontId="24" fillId="0" borderId="26" xfId="21" applyFont="1" applyBorder="1" applyAlignment="1">
      <alignment vertical="center" wrapText="1"/>
      <protection/>
    </xf>
    <xf numFmtId="172" fontId="13" fillId="0" borderId="0" xfId="21" applyNumberFormat="1" applyFont="1" applyAlignment="1">
      <alignment vertical="center" wrapText="1"/>
      <protection/>
    </xf>
    <xf numFmtId="172" fontId="13" fillId="0" borderId="5" xfId="21" applyNumberFormat="1" applyFont="1" applyBorder="1" applyAlignment="1">
      <alignment vertical="center" wrapText="1"/>
      <protection/>
    </xf>
    <xf numFmtId="0" fontId="13" fillId="0" borderId="19" xfId="21" applyFont="1" applyBorder="1" applyAlignment="1">
      <alignment horizontal="left" vertical="center" wrapText="1"/>
      <protection/>
    </xf>
    <xf numFmtId="0" fontId="24" fillId="0" borderId="27" xfId="21" applyFont="1" applyBorder="1" applyAlignment="1">
      <alignment vertical="center" wrapText="1"/>
      <protection/>
    </xf>
    <xf numFmtId="166" fontId="13" fillId="0" borderId="15" xfId="21" applyNumberFormat="1" applyFont="1" applyBorder="1" applyAlignment="1">
      <alignment vertical="center" wrapText="1"/>
      <protection/>
    </xf>
    <xf numFmtId="0" fontId="13" fillId="0" borderId="15" xfId="0" applyFont="1" applyBorder="1" applyAlignment="1">
      <alignment vertical="center"/>
    </xf>
    <xf numFmtId="171" fontId="13" fillId="0" borderId="0" xfId="21" applyNumberFormat="1" applyFont="1" applyAlignment="1">
      <alignment vertical="center"/>
      <protection/>
    </xf>
    <xf numFmtId="0" fontId="13" fillId="0" borderId="23" xfId="21" applyFont="1" applyBorder="1" applyAlignment="1">
      <alignment vertical="center" wrapText="1"/>
      <protection/>
    </xf>
    <xf numFmtId="0" fontId="24" fillId="0" borderId="28" xfId="21" applyFont="1" applyBorder="1" applyAlignment="1">
      <alignment vertical="center" wrapText="1"/>
      <protection/>
    </xf>
    <xf numFmtId="168" fontId="13" fillId="0" borderId="15" xfId="0" applyNumberFormat="1" applyFont="1" applyBorder="1" applyAlignment="1">
      <alignment vertical="center" wrapText="1"/>
    </xf>
    <xf numFmtId="0" fontId="22" fillId="5" borderId="17" xfId="21" applyFont="1" applyFill="1" applyBorder="1" applyAlignment="1">
      <alignment horizontal="left" vertical="center"/>
      <protection/>
    </xf>
    <xf numFmtId="0" fontId="22" fillId="5" borderId="13" xfId="21" applyFont="1" applyFill="1" applyBorder="1" applyAlignment="1">
      <alignment horizontal="left" vertical="center"/>
      <protection/>
    </xf>
    <xf numFmtId="0" fontId="3" fillId="0" borderId="0" xfId="21" applyFont="1" applyAlignment="1">
      <alignment horizontal="right"/>
      <protection/>
    </xf>
    <xf numFmtId="0" fontId="9" fillId="0" borderId="0" xfId="21" applyFont="1" applyAlignment="1">
      <alignment horizontal="right"/>
      <protection/>
    </xf>
    <xf numFmtId="0" fontId="15" fillId="2" borderId="0" xfId="21" applyFont="1" applyFill="1" applyAlignment="1">
      <alignment horizontal="left" vertical="center"/>
      <protection/>
    </xf>
    <xf numFmtId="0" fontId="15" fillId="2" borderId="3" xfId="21" applyFont="1" applyFill="1" applyBorder="1" applyAlignment="1">
      <alignment horizontal="left" vertical="center"/>
      <protection/>
    </xf>
    <xf numFmtId="0" fontId="15" fillId="2" borderId="0" xfId="21" applyFont="1" applyFill="1" applyAlignment="1">
      <alignment horizontal="left" vertical="center" wrapText="1"/>
      <protection/>
    </xf>
    <xf numFmtId="0" fontId="15" fillId="2" borderId="3" xfId="21" applyFont="1" applyFill="1" applyBorder="1" applyAlignment="1">
      <alignment horizontal="left" vertical="center" wrapText="1"/>
      <protection/>
    </xf>
    <xf numFmtId="0" fontId="11" fillId="2" borderId="11" xfId="21" applyFont="1" applyFill="1" applyBorder="1" applyAlignment="1">
      <alignment horizontal="left" vertical="center"/>
      <protection/>
    </xf>
    <xf numFmtId="0" fontId="11" fillId="2" borderId="29" xfId="21" applyFont="1" applyFill="1" applyBorder="1" applyAlignment="1">
      <alignment horizontal="left" vertical="center"/>
      <protection/>
    </xf>
    <xf numFmtId="0" fontId="11" fillId="2" borderId="30" xfId="21" applyFont="1" applyFill="1" applyBorder="1" applyAlignment="1">
      <alignment horizontal="left" vertical="center"/>
      <protection/>
    </xf>
    <xf numFmtId="0" fontId="11" fillId="2" borderId="31" xfId="21" applyFont="1" applyFill="1" applyBorder="1" applyAlignment="1">
      <alignment horizontal="left" vertical="center"/>
      <protection/>
    </xf>
    <xf numFmtId="0" fontId="5" fillId="2" borderId="0" xfId="21" applyFont="1" applyFill="1" applyAlignment="1">
      <alignment horizontal="center" vertical="center"/>
      <protection/>
    </xf>
    <xf numFmtId="0" fontId="5" fillId="2" borderId="3" xfId="21" applyFont="1" applyFill="1" applyBorder="1" applyAlignment="1">
      <alignment horizontal="center" vertical="center"/>
      <protection/>
    </xf>
    <xf numFmtId="0" fontId="5" fillId="2" borderId="4" xfId="21" applyFont="1" applyFill="1" applyBorder="1" applyAlignment="1">
      <alignment horizontal="center" vertical="center"/>
      <protection/>
    </xf>
    <xf numFmtId="0" fontId="5" fillId="2" borderId="6" xfId="21" applyFont="1" applyFill="1" applyBorder="1" applyAlignment="1">
      <alignment horizontal="center" vertical="center"/>
      <protection/>
    </xf>
  </cellXfs>
  <cellStyles count="11">
    <cellStyle name="Normal" xfId="0"/>
    <cellStyle name="Percent" xfId="15"/>
    <cellStyle name="Currency" xfId="16"/>
    <cellStyle name="Currency [0]" xfId="17"/>
    <cellStyle name="Comma" xfId="18"/>
    <cellStyle name="Comma [0]" xfId="19"/>
    <cellStyle name="Excel Built-in Currency" xfId="20"/>
    <cellStyle name="Excel Built-in Normal" xfId="21"/>
    <cellStyle name="Excel Built-in Normal 2" xfId="22"/>
    <cellStyle name="TableStyleLight1" xfId="23"/>
    <cellStyle name="Normální 3 27"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8F8F8"/>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19</xdr:row>
      <xdr:rowOff>28575</xdr:rowOff>
    </xdr:from>
    <xdr:to>
      <xdr:col>2</xdr:col>
      <xdr:colOff>2143125</xdr:colOff>
      <xdr:row>23</xdr:row>
      <xdr:rowOff>142875</xdr:rowOff>
    </xdr:to>
    <xdr:pic>
      <xdr:nvPicPr>
        <xdr:cNvPr id="2" name="Obrázek 1" descr="Strix_logo.eps"/>
        <xdr:cNvPicPr preferRelativeResize="1">
          <a:picLocks noChangeAspect="1"/>
        </xdr:cNvPicPr>
      </xdr:nvPicPr>
      <xdr:blipFill>
        <a:blip r:embed="rId1"/>
        <a:stretch>
          <a:fillRect/>
        </a:stretch>
      </xdr:blipFill>
      <xdr:spPr>
        <a:xfrm>
          <a:off x="4657725" y="4791075"/>
          <a:ext cx="2114550" cy="742950"/>
        </a:xfrm>
        <a:prstGeom prst="rect">
          <a:avLst/>
        </a:prstGeom>
        <a:ln>
          <a:noFill/>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8F8F8"/>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8F8F8"/>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43"/>
  <sheetViews>
    <sheetView tabSelected="1" workbookViewId="0" topLeftCell="A1">
      <selection activeCell="B11" sqref="B11"/>
    </sheetView>
  </sheetViews>
  <sheetFormatPr defaultColWidth="9.140625" defaultRowHeight="11.25" customHeight="1"/>
  <cols>
    <col min="1" max="1" width="52.7109375" style="1" customWidth="1"/>
    <col min="2" max="2" width="16.7109375" style="1" customWidth="1"/>
    <col min="3" max="3" width="52.7109375" style="1" customWidth="1"/>
    <col min="4" max="4" width="16.7109375" style="1" customWidth="1"/>
    <col min="5" max="16384" width="9.140625" style="1" customWidth="1"/>
  </cols>
  <sheetData>
    <row r="1" ht="2.1" customHeight="1" thickBot="1"/>
    <row r="2" spans="1:4" ht="27.95" customHeight="1" thickBot="1">
      <c r="A2" s="93"/>
      <c r="B2" s="136" t="s">
        <v>124</v>
      </c>
      <c r="C2" s="136"/>
      <c r="D2" s="137"/>
    </row>
    <row r="3" spans="1:4" ht="6" customHeight="1">
      <c r="A3" s="14"/>
      <c r="B3" s="142"/>
      <c r="C3" s="142"/>
      <c r="D3" s="143"/>
    </row>
    <row r="4" spans="1:4" ht="15" customHeight="1">
      <c r="A4" s="14" t="s">
        <v>20</v>
      </c>
      <c r="B4" s="142" t="s">
        <v>158</v>
      </c>
      <c r="C4" s="142"/>
      <c r="D4" s="143"/>
    </row>
    <row r="5" spans="1:4" ht="15" customHeight="1">
      <c r="A5" s="14" t="s">
        <v>102</v>
      </c>
      <c r="B5" s="140" t="s">
        <v>159</v>
      </c>
      <c r="C5" s="140"/>
      <c r="D5" s="141"/>
    </row>
    <row r="6" spans="1:4" ht="15" customHeight="1">
      <c r="A6" s="14" t="s">
        <v>12</v>
      </c>
      <c r="B6" s="140" t="s">
        <v>32</v>
      </c>
      <c r="C6" s="140"/>
      <c r="D6" s="141"/>
    </row>
    <row r="7" spans="1:4" ht="15" customHeight="1">
      <c r="A7" s="14" t="s">
        <v>0</v>
      </c>
      <c r="B7" s="94">
        <f ca="1">NOW()</f>
        <v>45103.36995034722</v>
      </c>
      <c r="C7" s="95" t="s">
        <v>265</v>
      </c>
      <c r="D7" s="15"/>
    </row>
    <row r="8" spans="1:4" ht="6" customHeight="1" thickBot="1">
      <c r="A8" s="16"/>
      <c r="B8" s="17"/>
      <c r="C8" s="17"/>
      <c r="D8" s="18"/>
    </row>
    <row r="9" spans="1:4" ht="27.95" customHeight="1" thickBot="1">
      <c r="A9" s="54"/>
      <c r="B9" s="55" t="s">
        <v>1</v>
      </c>
      <c r="C9" s="55"/>
      <c r="D9" s="56"/>
    </row>
    <row r="10" spans="1:4" ht="12" customHeight="1">
      <c r="A10" s="144" t="s">
        <v>13</v>
      </c>
      <c r="B10" s="145"/>
      <c r="C10" s="146" t="s">
        <v>19</v>
      </c>
      <c r="D10" s="147"/>
    </row>
    <row r="11" spans="1:4" ht="27.95" customHeight="1">
      <c r="A11" s="19" t="str">
        <f>'F Položkový rozpočet'!E4</f>
        <v>Přípravné a přidružené práce a dočasné zajištění staveniště</v>
      </c>
      <c r="B11" s="36"/>
      <c r="C11" s="21" t="str">
        <f>'F Položkový rozpočet'!E241</f>
        <v>Geodetické práce před výstavbou</v>
      </c>
      <c r="D11" s="20"/>
    </row>
    <row r="12" spans="1:11" ht="27.95" customHeight="1">
      <c r="A12" s="19" t="str">
        <f>'F Položkový rozpočet'!E47</f>
        <v>Odstranění vegetace, očištění a odtěžení skalního svahu a obnova akumulačního prostoru</v>
      </c>
      <c r="B12" s="36"/>
      <c r="C12" s="21" t="str">
        <f>'F Položkový rozpočet'!E244</f>
        <v>Geodetické práce po výstavbě</v>
      </c>
      <c r="D12" s="20"/>
      <c r="H12" s="3"/>
      <c r="I12" s="3"/>
      <c r="J12" s="3"/>
      <c r="K12" s="3"/>
    </row>
    <row r="13" spans="1:11" ht="27.95" customHeight="1">
      <c r="A13" s="19" t="str">
        <f>'F Položkový rozpočet'!E75</f>
        <v>Lokální kotvení skalních bloků</v>
      </c>
      <c r="B13" s="36"/>
      <c r="C13" s="21" t="str">
        <f>'F Položkový rozpočet'!E247</f>
        <v>Projektová dokumentace skutečného provedení stavby - DSPS</v>
      </c>
      <c r="D13" s="20"/>
      <c r="H13" s="3"/>
      <c r="I13" s="3"/>
      <c r="J13" s="3"/>
      <c r="K13" s="3"/>
    </row>
    <row r="14" spans="1:11" ht="27.95" customHeight="1">
      <c r="A14" s="19" t="str">
        <f>'F Položkový rozpočet'!E85</f>
        <v>Zajištění skalního svahu ocelovou sítí 80 x 100 mm</v>
      </c>
      <c r="B14" s="36"/>
      <c r="C14" s="21" t="str">
        <f>'F Položkový rozpočet'!E250</f>
        <v>Geotechnický dozor stavby</v>
      </c>
      <c r="D14" s="20"/>
      <c r="H14" s="3"/>
      <c r="I14" s="3"/>
      <c r="J14" s="3"/>
      <c r="K14" s="3"/>
    </row>
    <row r="15" spans="1:11" ht="27.95" customHeight="1">
      <c r="A15" s="19" t="str">
        <f>'F Položkový rozpočet'!E119</f>
        <v>Dynamická bariéra výšky do 5 m</v>
      </c>
      <c r="B15" s="36"/>
      <c r="C15" s="21" t="str">
        <f>'F Položkový rozpočet'!E253</f>
        <v>Vybavení staveniště, přenosné zdroje, zabezpečení staveniště, sociální zařízení, včetně jeho odstranění</v>
      </c>
      <c r="D15" s="20"/>
      <c r="H15" s="11"/>
      <c r="I15" s="3"/>
      <c r="J15" s="3"/>
      <c r="K15" s="3"/>
    </row>
    <row r="16" spans="1:11" ht="27.95" customHeight="1">
      <c r="A16" s="19" t="str">
        <f>'F Položkový rozpočet'!E171</f>
        <v>Ochranný plot výšky do 2 m</v>
      </c>
      <c r="B16" s="36"/>
      <c r="C16" s="21"/>
      <c r="D16" s="20"/>
      <c r="H16" s="11"/>
      <c r="I16" s="3"/>
      <c r="J16" s="3"/>
      <c r="K16" s="3"/>
    </row>
    <row r="17" spans="1:11" ht="27.95" customHeight="1">
      <c r="A17" s="19" t="str">
        <f>'F Položkový rozpočet'!E211</f>
        <v>Geotechnický monitoring</v>
      </c>
      <c r="B17" s="36"/>
      <c r="C17" s="21"/>
      <c r="D17" s="20"/>
      <c r="H17" s="11"/>
      <c r="I17" s="3"/>
      <c r="J17" s="3"/>
      <c r="K17" s="3"/>
    </row>
    <row r="18" spans="1:11" ht="27.95" customHeight="1" thickBot="1">
      <c r="A18" s="19" t="str">
        <f>'F Položkový rozpočet'!E218</f>
        <v>Přesuny hmot</v>
      </c>
      <c r="B18" s="36"/>
      <c r="C18" s="21"/>
      <c r="D18" s="20"/>
      <c r="H18" s="11"/>
      <c r="I18" s="3"/>
      <c r="J18" s="3"/>
      <c r="K18" s="3"/>
    </row>
    <row r="19" spans="1:11" ht="12" customHeight="1" thickBot="1">
      <c r="A19" s="12" t="s">
        <v>15</v>
      </c>
      <c r="B19" s="37">
        <f>SUM(B11:B18)</f>
        <v>0</v>
      </c>
      <c r="C19" s="12" t="s">
        <v>22</v>
      </c>
      <c r="D19" s="37">
        <f>SUM(D11:D18)</f>
        <v>0</v>
      </c>
      <c r="F19" s="13"/>
      <c r="H19" s="3"/>
      <c r="I19" s="3"/>
      <c r="J19" s="3"/>
      <c r="K19" s="3"/>
    </row>
    <row r="20" spans="1:4" ht="9.95" customHeight="1">
      <c r="A20" s="28"/>
      <c r="B20" s="22"/>
      <c r="C20" s="148"/>
      <c r="D20" s="149"/>
    </row>
    <row r="21" spans="1:4" ht="15" customHeight="1">
      <c r="A21" s="29" t="s">
        <v>4</v>
      </c>
      <c r="B21" s="30"/>
      <c r="C21" s="148"/>
      <c r="D21" s="149"/>
    </row>
    <row r="22" spans="1:4" ht="15" customHeight="1">
      <c r="A22" s="31" t="s">
        <v>18</v>
      </c>
      <c r="B22" s="32">
        <f>0.21*B21</f>
        <v>0</v>
      </c>
      <c r="C22" s="148"/>
      <c r="D22" s="149"/>
    </row>
    <row r="23" spans="1:4" ht="9.95" customHeight="1" thickBot="1">
      <c r="A23" s="33"/>
      <c r="B23" s="34"/>
      <c r="C23" s="148"/>
      <c r="D23" s="149"/>
    </row>
    <row r="24" spans="1:4" ht="15" customHeight="1" thickBot="1">
      <c r="A24" s="54" t="s">
        <v>14</v>
      </c>
      <c r="B24" s="57">
        <f>B21+B22</f>
        <v>0</v>
      </c>
      <c r="C24" s="150"/>
      <c r="D24" s="151"/>
    </row>
    <row r="25" spans="1:4" ht="12" customHeight="1">
      <c r="A25" s="25" t="s">
        <v>5</v>
      </c>
      <c r="B25" s="22"/>
      <c r="C25" s="25" t="s">
        <v>23</v>
      </c>
      <c r="D25" s="23"/>
    </row>
    <row r="26" spans="1:4" ht="12" customHeight="1">
      <c r="A26" s="26" t="s">
        <v>2</v>
      </c>
      <c r="B26" s="15"/>
      <c r="C26" s="26" t="s">
        <v>2</v>
      </c>
      <c r="D26" s="35" t="s">
        <v>17</v>
      </c>
    </row>
    <row r="27" spans="1:4" ht="12" customHeight="1">
      <c r="A27" s="26" t="s">
        <v>0</v>
      </c>
      <c r="B27" s="15"/>
      <c r="C27" s="26" t="s">
        <v>0</v>
      </c>
      <c r="D27" s="24">
        <f ca="1">B7</f>
        <v>45103.36995034722</v>
      </c>
    </row>
    <row r="28" spans="1:4" ht="12" customHeight="1" thickBot="1">
      <c r="A28" s="27" t="s">
        <v>3</v>
      </c>
      <c r="B28" s="18"/>
      <c r="C28" s="27" t="s">
        <v>3</v>
      </c>
      <c r="D28" s="18"/>
    </row>
    <row r="29" spans="1:4" ht="12" customHeight="1">
      <c r="A29" s="5"/>
      <c r="B29" s="5"/>
      <c r="C29" s="5"/>
      <c r="D29" s="5"/>
    </row>
    <row r="30" ht="15" customHeight="1"/>
    <row r="31" s="2" customFormat="1" ht="22.5" customHeight="1"/>
    <row r="33" ht="12" customHeight="1"/>
    <row r="34" ht="16.5" customHeight="1"/>
    <row r="36" spans="1:4" ht="11.25" customHeight="1">
      <c r="A36" s="6"/>
      <c r="B36" s="8"/>
      <c r="C36" s="4"/>
      <c r="D36" s="4"/>
    </row>
    <row r="37" spans="1:4" ht="15" customHeight="1">
      <c r="A37" s="7"/>
      <c r="B37" s="9"/>
      <c r="C37" s="4"/>
      <c r="D37" s="4"/>
    </row>
    <row r="38" spans="1:4" ht="11.25" customHeight="1">
      <c r="A38" s="4"/>
      <c r="B38" s="4"/>
      <c r="C38" s="4"/>
      <c r="D38" s="4"/>
    </row>
    <row r="39" spans="1:4" ht="11.25" customHeight="1">
      <c r="A39" s="10"/>
      <c r="B39" s="4"/>
      <c r="C39" s="4"/>
      <c r="D39" s="4"/>
    </row>
    <row r="40" spans="1:4" ht="11.25" customHeight="1">
      <c r="A40" s="4"/>
      <c r="B40" s="4"/>
      <c r="C40" s="139"/>
      <c r="D40" s="139"/>
    </row>
    <row r="41" spans="1:4" ht="12.75" customHeight="1">
      <c r="A41" s="4"/>
      <c r="B41" s="4"/>
      <c r="C41" s="138"/>
      <c r="D41" s="138"/>
    </row>
    <row r="42" spans="1:4" ht="11.25" customHeight="1">
      <c r="A42" s="4"/>
      <c r="B42" s="4"/>
      <c r="C42" s="4"/>
      <c r="D42" s="4"/>
    </row>
    <row r="43" spans="1:4" ht="11.25" customHeight="1">
      <c r="A43" s="4"/>
      <c r="B43" s="4"/>
      <c r="C43" s="4"/>
      <c r="D43" s="4"/>
    </row>
  </sheetData>
  <mergeCells count="10">
    <mergeCell ref="B2:D2"/>
    <mergeCell ref="C41:D41"/>
    <mergeCell ref="C40:D40"/>
    <mergeCell ref="B6:D6"/>
    <mergeCell ref="B4:D4"/>
    <mergeCell ref="B5:D5"/>
    <mergeCell ref="A10:B10"/>
    <mergeCell ref="C10:D10"/>
    <mergeCell ref="C20:D24"/>
    <mergeCell ref="B3:D3"/>
  </mergeCells>
  <printOptions horizontalCentered="1"/>
  <pageMargins left="0.3937007874015748" right="0.3937007874015748" top="0.7874015748031497" bottom="0.3937007874015748" header="0.1968503937007874" footer="0.1968503937007874"/>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255"/>
  <sheetViews>
    <sheetView showGridLines="0" zoomScaleSheetLayoutView="80" workbookViewId="0" topLeftCell="A232">
      <selection activeCell="I253" sqref="I253"/>
    </sheetView>
  </sheetViews>
  <sheetFormatPr defaultColWidth="9.140625" defaultRowHeight="12.75" customHeight="1"/>
  <cols>
    <col min="1" max="1" width="3.140625" style="39" customWidth="1"/>
    <col min="2" max="2" width="3.140625" style="38" customWidth="1"/>
    <col min="3" max="3" width="11.7109375" style="38" customWidth="1"/>
    <col min="4" max="4" width="10.7109375" style="38" customWidth="1"/>
    <col min="5" max="5" width="80.7109375" style="39" customWidth="1"/>
    <col min="6" max="6" width="6.7109375" style="38" customWidth="1"/>
    <col min="7" max="7" width="8.7109375" style="40" customWidth="1"/>
    <col min="8" max="8" width="10.7109375" style="40" customWidth="1"/>
    <col min="9" max="9" width="14.7109375" style="40" customWidth="1"/>
    <col min="10" max="16384" width="9.140625" style="39" customWidth="1"/>
  </cols>
  <sheetData>
    <row r="1" ht="2.1" customHeight="1" thickBot="1"/>
    <row r="2" spans="2:9" ht="30" customHeight="1" thickBot="1">
      <c r="B2" s="52"/>
      <c r="C2" s="53"/>
      <c r="D2" s="53"/>
      <c r="E2" s="58" t="s">
        <v>121</v>
      </c>
      <c r="F2" s="53"/>
      <c r="G2" s="53"/>
      <c r="H2" s="53"/>
      <c r="I2" s="96"/>
    </row>
    <row r="3" spans="2:9" ht="30" customHeight="1" thickBot="1">
      <c r="B3" s="41" t="s">
        <v>21</v>
      </c>
      <c r="C3" s="42" t="s">
        <v>122</v>
      </c>
      <c r="D3" s="42" t="s">
        <v>105</v>
      </c>
      <c r="E3" s="42" t="s">
        <v>123</v>
      </c>
      <c r="F3" s="42" t="s">
        <v>6</v>
      </c>
      <c r="G3" s="43" t="s">
        <v>106</v>
      </c>
      <c r="H3" s="43" t="s">
        <v>11</v>
      </c>
      <c r="I3" s="44" t="s">
        <v>7</v>
      </c>
    </row>
    <row r="4" spans="2:9" ht="12.95" customHeight="1" thickBot="1">
      <c r="B4" s="45"/>
      <c r="C4" s="46"/>
      <c r="D4" s="46"/>
      <c r="E4" s="47" t="s">
        <v>31</v>
      </c>
      <c r="F4" s="48"/>
      <c r="G4" s="48"/>
      <c r="H4" s="48"/>
      <c r="I4" s="97"/>
    </row>
    <row r="5" spans="2:9" ht="12.95" customHeight="1" thickBot="1">
      <c r="B5" s="67">
        <f>1+MAX($B$3:B4)</f>
        <v>1</v>
      </c>
      <c r="C5" s="71" t="s">
        <v>33</v>
      </c>
      <c r="D5" s="71" t="s">
        <v>110</v>
      </c>
      <c r="E5" s="72" t="s">
        <v>275</v>
      </c>
      <c r="F5" s="68" t="s">
        <v>26</v>
      </c>
      <c r="G5" s="81">
        <f>1</f>
        <v>1</v>
      </c>
      <c r="H5" s="70"/>
      <c r="I5" s="98"/>
    </row>
    <row r="6" spans="2:9" ht="12">
      <c r="B6" s="62"/>
      <c r="C6" s="60"/>
      <c r="D6" s="60"/>
      <c r="E6" s="91" t="s">
        <v>98</v>
      </c>
      <c r="F6" s="60"/>
      <c r="G6" s="123"/>
      <c r="H6" s="100"/>
      <c r="I6" s="101"/>
    </row>
    <row r="7" spans="2:9" ht="24.75" thickBot="1">
      <c r="B7" s="63"/>
      <c r="C7" s="64"/>
      <c r="D7" s="64"/>
      <c r="E7" s="92" t="s">
        <v>234</v>
      </c>
      <c r="F7" s="64"/>
      <c r="G7" s="124"/>
      <c r="H7" s="66"/>
      <c r="I7" s="102"/>
    </row>
    <row r="8" spans="2:9" ht="15" thickBot="1">
      <c r="B8" s="67">
        <f>1+MAX($B$3:B7)</f>
        <v>2</v>
      </c>
      <c r="C8" s="71" t="s">
        <v>33</v>
      </c>
      <c r="D8" s="71" t="s">
        <v>110</v>
      </c>
      <c r="E8" s="72" t="s">
        <v>46</v>
      </c>
      <c r="F8" s="68" t="s">
        <v>24</v>
      </c>
      <c r="G8" s="81">
        <f>CEILING((14)*2*1.2,1)</f>
        <v>34</v>
      </c>
      <c r="H8" s="70"/>
      <c r="I8" s="98"/>
    </row>
    <row r="9" spans="2:9" ht="14.25">
      <c r="B9" s="62"/>
      <c r="C9" s="60"/>
      <c r="D9" s="60"/>
      <c r="E9" s="91" t="s">
        <v>195</v>
      </c>
      <c r="F9" s="60"/>
      <c r="G9" s="123"/>
      <c r="H9" s="100"/>
      <c r="I9" s="101"/>
    </row>
    <row r="10" spans="2:9" ht="36.75" thickBot="1">
      <c r="B10" s="63"/>
      <c r="C10" s="64"/>
      <c r="D10" s="64"/>
      <c r="E10" s="92" t="s">
        <v>194</v>
      </c>
      <c r="F10" s="64"/>
      <c r="G10" s="124"/>
      <c r="H10" s="66"/>
      <c r="I10" s="102"/>
    </row>
    <row r="11" spans="2:9" ht="15" thickBot="1">
      <c r="B11" s="67">
        <f>1+MAX($B$3:B10)</f>
        <v>3</v>
      </c>
      <c r="C11" s="71" t="s">
        <v>160</v>
      </c>
      <c r="D11" s="68" t="s">
        <v>111</v>
      </c>
      <c r="E11" s="72" t="s">
        <v>235</v>
      </c>
      <c r="F11" s="68" t="s">
        <v>24</v>
      </c>
      <c r="G11" s="81">
        <f>CEILING((18*3)*1.2,1)</f>
        <v>65</v>
      </c>
      <c r="H11" s="70"/>
      <c r="I11" s="98"/>
    </row>
    <row r="12" spans="2:9" ht="14.25">
      <c r="B12" s="62"/>
      <c r="C12" s="60"/>
      <c r="D12" s="60"/>
      <c r="E12" s="91" t="s">
        <v>180</v>
      </c>
      <c r="F12" s="60"/>
      <c r="G12" s="123"/>
      <c r="H12" s="100"/>
      <c r="I12" s="101"/>
    </row>
    <row r="13" spans="2:9" ht="62.1" customHeight="1" thickBot="1">
      <c r="B13" s="63"/>
      <c r="C13" s="64"/>
      <c r="D13" s="64"/>
      <c r="E13" s="92" t="s">
        <v>266</v>
      </c>
      <c r="F13" s="64"/>
      <c r="G13" s="124"/>
      <c r="H13" s="66"/>
      <c r="I13" s="102"/>
    </row>
    <row r="14" spans="2:9" ht="24.75" thickBot="1">
      <c r="B14" s="67">
        <f>1+MAX($B$3:B13)</f>
        <v>4</v>
      </c>
      <c r="C14" s="71">
        <v>184818242</v>
      </c>
      <c r="D14" s="71" t="s">
        <v>113</v>
      </c>
      <c r="E14" s="72" t="s">
        <v>62</v>
      </c>
      <c r="F14" s="68" t="s">
        <v>8</v>
      </c>
      <c r="G14" s="81">
        <f>6</f>
        <v>6</v>
      </c>
      <c r="H14" s="70"/>
      <c r="I14" s="98"/>
    </row>
    <row r="15" spans="2:9" ht="12">
      <c r="B15" s="62"/>
      <c r="C15" s="60"/>
      <c r="D15" s="60"/>
      <c r="E15" s="91" t="s">
        <v>149</v>
      </c>
      <c r="F15" s="60"/>
      <c r="G15" s="123"/>
      <c r="H15" s="100"/>
      <c r="I15" s="101"/>
    </row>
    <row r="16" spans="2:9" ht="24.75" thickBot="1">
      <c r="B16" s="63"/>
      <c r="C16" s="64"/>
      <c r="D16" s="64"/>
      <c r="E16" s="92" t="s">
        <v>161</v>
      </c>
      <c r="F16" s="64"/>
      <c r="G16" s="124"/>
      <c r="H16" s="66"/>
      <c r="I16" s="102"/>
    </row>
    <row r="17" spans="2:9" ht="26.1" customHeight="1" thickBot="1">
      <c r="B17" s="67">
        <f>1+MAX($B$3:B16)</f>
        <v>5</v>
      </c>
      <c r="C17" s="68" t="s">
        <v>163</v>
      </c>
      <c r="D17" s="68" t="s">
        <v>111</v>
      </c>
      <c r="E17" s="72" t="s">
        <v>162</v>
      </c>
      <c r="F17" s="71" t="s">
        <v>8</v>
      </c>
      <c r="G17" s="81">
        <f>CEILING((8+8+14)*1.2/2+3,1)</f>
        <v>21</v>
      </c>
      <c r="H17" s="75"/>
      <c r="I17" s="98"/>
    </row>
    <row r="18" spans="2:9" ht="24">
      <c r="B18" s="62"/>
      <c r="C18" s="60"/>
      <c r="D18" s="60"/>
      <c r="E18" s="91" t="s">
        <v>238</v>
      </c>
      <c r="F18" s="60"/>
      <c r="G18" s="123"/>
      <c r="H18" s="100"/>
      <c r="I18" s="101"/>
    </row>
    <row r="19" spans="2:9" ht="24.75" thickBot="1">
      <c r="B19" s="62"/>
      <c r="C19" s="60"/>
      <c r="D19" s="60"/>
      <c r="E19" s="119" t="s">
        <v>173</v>
      </c>
      <c r="F19" s="60"/>
      <c r="G19" s="123"/>
      <c r="H19" s="100"/>
      <c r="I19" s="101"/>
    </row>
    <row r="20" spans="2:9" ht="24.75" thickBot="1">
      <c r="B20" s="67">
        <f>1+MAX($B$3:B19)</f>
        <v>6</v>
      </c>
      <c r="C20" s="68">
        <v>155213611</v>
      </c>
      <c r="D20" s="71" t="s">
        <v>113</v>
      </c>
      <c r="E20" s="72" t="s">
        <v>71</v>
      </c>
      <c r="F20" s="71" t="s">
        <v>8</v>
      </c>
      <c r="G20" s="81">
        <f>CEILING(G17/1+(2*3),1)</f>
        <v>27</v>
      </c>
      <c r="H20" s="75"/>
      <c r="I20" s="98"/>
    </row>
    <row r="21" spans="2:9" ht="12">
      <c r="B21" s="62"/>
      <c r="C21" s="60"/>
      <c r="D21" s="60"/>
      <c r="E21" s="91" t="s">
        <v>240</v>
      </c>
      <c r="F21" s="60"/>
      <c r="G21" s="123"/>
      <c r="H21" s="100"/>
      <c r="I21" s="101"/>
    </row>
    <row r="22" spans="2:9" ht="36.75" thickBot="1">
      <c r="B22" s="62"/>
      <c r="C22" s="60"/>
      <c r="D22" s="60"/>
      <c r="E22" s="125" t="s">
        <v>174</v>
      </c>
      <c r="F22" s="60"/>
      <c r="G22" s="123"/>
      <c r="H22" s="100"/>
      <c r="I22" s="101"/>
    </row>
    <row r="23" spans="2:9" ht="12.75" thickBot="1">
      <c r="B23" s="67">
        <f>1+MAX($B$3:B22)</f>
        <v>7</v>
      </c>
      <c r="C23" s="68" t="s">
        <v>112</v>
      </c>
      <c r="D23" s="68" t="s">
        <v>111</v>
      </c>
      <c r="E23" s="72" t="s">
        <v>164</v>
      </c>
      <c r="F23" s="71" t="s">
        <v>8</v>
      </c>
      <c r="G23" s="81">
        <f>G17+G20</f>
        <v>48</v>
      </c>
      <c r="H23" s="75"/>
      <c r="I23" s="98"/>
    </row>
    <row r="24" spans="2:9" ht="12">
      <c r="B24" s="62"/>
      <c r="C24" s="60"/>
      <c r="D24" s="60"/>
      <c r="E24" s="91" t="s">
        <v>239</v>
      </c>
      <c r="F24" s="60"/>
      <c r="G24" s="123"/>
      <c r="H24" s="100"/>
      <c r="I24" s="101"/>
    </row>
    <row r="25" spans="2:9" ht="12.95" customHeight="1" thickBot="1">
      <c r="B25" s="62"/>
      <c r="C25" s="60"/>
      <c r="D25" s="60"/>
      <c r="E25" s="125" t="s">
        <v>165</v>
      </c>
      <c r="F25" s="60"/>
      <c r="G25" s="123"/>
      <c r="H25" s="100"/>
      <c r="I25" s="101"/>
    </row>
    <row r="26" spans="2:9" ht="15" thickBot="1">
      <c r="B26" s="67">
        <f>1+MAX($B$3:B25)</f>
        <v>8</v>
      </c>
      <c r="C26" s="76">
        <v>155214521</v>
      </c>
      <c r="D26" s="71" t="s">
        <v>113</v>
      </c>
      <c r="E26" s="77" t="s">
        <v>47</v>
      </c>
      <c r="F26" s="68" t="s">
        <v>24</v>
      </c>
      <c r="G26" s="81">
        <f>CEILING((8+8+14)*2,1)</f>
        <v>60</v>
      </c>
      <c r="H26" s="75"/>
      <c r="I26" s="98"/>
    </row>
    <row r="27" spans="2:9" ht="14.25">
      <c r="B27" s="62"/>
      <c r="C27" s="60"/>
      <c r="D27" s="60"/>
      <c r="E27" s="91" t="s">
        <v>241</v>
      </c>
      <c r="F27" s="60"/>
      <c r="G27" s="123"/>
      <c r="H27" s="100"/>
      <c r="I27" s="101"/>
    </row>
    <row r="28" spans="2:9" ht="26.1" customHeight="1" thickBot="1">
      <c r="B28" s="63"/>
      <c r="C28" s="64"/>
      <c r="D28" s="64"/>
      <c r="E28" s="92" t="s">
        <v>175</v>
      </c>
      <c r="F28" s="64"/>
      <c r="G28" s="124"/>
      <c r="H28" s="66"/>
      <c r="I28" s="102"/>
    </row>
    <row r="29" spans="2:9" ht="15" thickBot="1">
      <c r="B29" s="67">
        <f>1+MAX($B$3:B28)</f>
        <v>9</v>
      </c>
      <c r="C29" s="78">
        <v>919726121</v>
      </c>
      <c r="D29" s="71" t="s">
        <v>113</v>
      </c>
      <c r="E29" s="79" t="s">
        <v>48</v>
      </c>
      <c r="F29" s="80" t="s">
        <v>24</v>
      </c>
      <c r="G29" s="81">
        <f>CEILING(G26*1.2,1)</f>
        <v>72</v>
      </c>
      <c r="H29" s="75"/>
      <c r="I29" s="98"/>
    </row>
    <row r="30" spans="2:9" ht="14.25">
      <c r="B30" s="62"/>
      <c r="C30" s="60"/>
      <c r="D30" s="60"/>
      <c r="E30" s="91" t="s">
        <v>167</v>
      </c>
      <c r="F30" s="60"/>
      <c r="G30" s="123"/>
      <c r="H30" s="100"/>
      <c r="I30" s="101"/>
    </row>
    <row r="31" spans="2:9" ht="12.95" customHeight="1" thickBot="1">
      <c r="B31" s="63"/>
      <c r="C31" s="64"/>
      <c r="D31" s="64"/>
      <c r="E31" s="92" t="s">
        <v>176</v>
      </c>
      <c r="F31" s="64"/>
      <c r="G31" s="124"/>
      <c r="H31" s="66"/>
      <c r="I31" s="102"/>
    </row>
    <row r="32" spans="2:9" ht="15" thickBot="1">
      <c r="B32" s="67">
        <f>1+MAX($B$3:B31)</f>
        <v>10</v>
      </c>
      <c r="C32" s="78">
        <v>31319110</v>
      </c>
      <c r="D32" s="71" t="s">
        <v>113</v>
      </c>
      <c r="E32" s="73" t="s">
        <v>168</v>
      </c>
      <c r="F32" s="68" t="s">
        <v>24</v>
      </c>
      <c r="G32" s="81">
        <f>G29</f>
        <v>72</v>
      </c>
      <c r="H32" s="75"/>
      <c r="I32" s="98"/>
    </row>
    <row r="33" spans="2:9" ht="12">
      <c r="B33" s="62"/>
      <c r="C33" s="60"/>
      <c r="D33" s="60"/>
      <c r="E33" s="91" t="s">
        <v>130</v>
      </c>
      <c r="F33" s="60"/>
      <c r="G33" s="123"/>
      <c r="H33" s="100"/>
      <c r="I33" s="101"/>
    </row>
    <row r="34" spans="2:9" ht="24.75" thickBot="1">
      <c r="B34" s="63"/>
      <c r="C34" s="64"/>
      <c r="D34" s="64"/>
      <c r="E34" s="92" t="s">
        <v>169</v>
      </c>
      <c r="F34" s="64"/>
      <c r="G34" s="124"/>
      <c r="H34" s="66"/>
      <c r="I34" s="102"/>
    </row>
    <row r="35" spans="2:9" ht="12.75" thickBot="1">
      <c r="B35" s="67">
        <f>1+MAX($B$3:B34)</f>
        <v>11</v>
      </c>
      <c r="C35" s="68">
        <v>155214211</v>
      </c>
      <c r="D35" s="71" t="s">
        <v>113</v>
      </c>
      <c r="E35" s="73" t="s">
        <v>38</v>
      </c>
      <c r="F35" s="81" t="s">
        <v>9</v>
      </c>
      <c r="G35" s="81">
        <f>CEILING((8+8+14)*3+(G20*1*2.5),1)</f>
        <v>158</v>
      </c>
      <c r="H35" s="75"/>
      <c r="I35" s="98"/>
    </row>
    <row r="36" spans="2:9" ht="24">
      <c r="B36" s="62"/>
      <c r="C36" s="60"/>
      <c r="D36" s="60"/>
      <c r="E36" s="91" t="s">
        <v>242</v>
      </c>
      <c r="F36" s="60"/>
      <c r="G36" s="123"/>
      <c r="H36" s="100"/>
      <c r="I36" s="101"/>
    </row>
    <row r="37" spans="2:9" ht="24.75" thickBot="1">
      <c r="B37" s="63"/>
      <c r="C37" s="64"/>
      <c r="D37" s="64"/>
      <c r="E37" s="92" t="s">
        <v>177</v>
      </c>
      <c r="F37" s="64"/>
      <c r="G37" s="124"/>
      <c r="H37" s="66"/>
      <c r="I37" s="102"/>
    </row>
    <row r="38" spans="2:9" ht="12.75" thickBot="1">
      <c r="B38" s="67">
        <f>1+MAX($B$3:B37)</f>
        <v>12</v>
      </c>
      <c r="C38" s="82">
        <v>31452107</v>
      </c>
      <c r="D38" s="71" t="s">
        <v>113</v>
      </c>
      <c r="E38" s="73" t="s">
        <v>39</v>
      </c>
      <c r="F38" s="81" t="s">
        <v>9</v>
      </c>
      <c r="G38" s="81">
        <f>CEILING((G35*1.2),1)</f>
        <v>190</v>
      </c>
      <c r="H38" s="75"/>
      <c r="I38" s="98"/>
    </row>
    <row r="39" spans="2:9" ht="12">
      <c r="B39" s="62"/>
      <c r="C39" s="60"/>
      <c r="D39" s="60"/>
      <c r="E39" s="91" t="s">
        <v>79</v>
      </c>
      <c r="F39" s="60"/>
      <c r="G39" s="123"/>
      <c r="H39" s="100"/>
      <c r="I39" s="101"/>
    </row>
    <row r="40" spans="2:9" ht="24.75" thickBot="1">
      <c r="B40" s="63"/>
      <c r="C40" s="64"/>
      <c r="D40" s="64"/>
      <c r="E40" s="92" t="s">
        <v>80</v>
      </c>
      <c r="F40" s="64"/>
      <c r="G40" s="124"/>
      <c r="H40" s="66"/>
      <c r="I40" s="102"/>
    </row>
    <row r="41" spans="2:9" ht="15" thickBot="1">
      <c r="B41" s="67">
        <f>1+MAX($B$3:B40)</f>
        <v>13</v>
      </c>
      <c r="C41" s="76" t="s">
        <v>171</v>
      </c>
      <c r="D41" s="68" t="s">
        <v>111</v>
      </c>
      <c r="E41" s="73" t="s">
        <v>178</v>
      </c>
      <c r="F41" s="68" t="s">
        <v>24</v>
      </c>
      <c r="G41" s="81">
        <f>G26</f>
        <v>60</v>
      </c>
      <c r="H41" s="75"/>
      <c r="I41" s="98"/>
    </row>
    <row r="42" spans="2:9" ht="12">
      <c r="B42" s="62"/>
      <c r="C42" s="60"/>
      <c r="D42" s="60"/>
      <c r="E42" s="91" t="s">
        <v>172</v>
      </c>
      <c r="F42" s="60"/>
      <c r="G42" s="123"/>
      <c r="H42" s="100"/>
      <c r="I42" s="101"/>
    </row>
    <row r="43" spans="2:9" ht="24.75" thickBot="1">
      <c r="B43" s="63"/>
      <c r="C43" s="64"/>
      <c r="D43" s="64"/>
      <c r="E43" s="92" t="s">
        <v>179</v>
      </c>
      <c r="F43" s="64"/>
      <c r="G43" s="124"/>
      <c r="H43" s="66"/>
      <c r="I43" s="102"/>
    </row>
    <row r="44" spans="2:9" ht="24.75" thickBot="1">
      <c r="B44" s="67">
        <f>1+MAX($B$3:B43)</f>
        <v>14</v>
      </c>
      <c r="C44" s="71" t="s">
        <v>33</v>
      </c>
      <c r="D44" s="71" t="s">
        <v>110</v>
      </c>
      <c r="E44" s="73" t="s">
        <v>131</v>
      </c>
      <c r="F44" s="68" t="s">
        <v>24</v>
      </c>
      <c r="G44" s="81">
        <f>(1+12+1)*15*1.3</f>
        <v>273</v>
      </c>
      <c r="H44" s="75"/>
      <c r="I44" s="98"/>
    </row>
    <row r="45" spans="2:9" ht="15" customHeight="1">
      <c r="B45" s="62"/>
      <c r="C45" s="60"/>
      <c r="D45" s="60"/>
      <c r="E45" s="91" t="s">
        <v>264</v>
      </c>
      <c r="F45" s="60"/>
      <c r="G45" s="123"/>
      <c r="H45" s="100"/>
      <c r="I45" s="101"/>
    </row>
    <row r="46" spans="2:9" ht="101.1" customHeight="1" thickBot="1">
      <c r="B46" s="63"/>
      <c r="C46" s="64"/>
      <c r="D46" s="64"/>
      <c r="E46" s="92" t="s">
        <v>267</v>
      </c>
      <c r="F46" s="64"/>
      <c r="G46" s="124"/>
      <c r="H46" s="66"/>
      <c r="I46" s="102"/>
    </row>
    <row r="47" spans="2:9" ht="12.95" customHeight="1" thickBot="1">
      <c r="B47" s="45"/>
      <c r="C47" s="46"/>
      <c r="D47" s="46"/>
      <c r="E47" s="47" t="s">
        <v>222</v>
      </c>
      <c r="F47" s="48"/>
      <c r="G47" s="48"/>
      <c r="H47" s="48"/>
      <c r="I47" s="97"/>
    </row>
    <row r="48" spans="2:9" ht="12.95" customHeight="1" thickBot="1">
      <c r="B48" s="67">
        <f>1+MAX($B$3:B47)</f>
        <v>15</v>
      </c>
      <c r="C48" s="71">
        <v>112151112</v>
      </c>
      <c r="D48" s="71" t="s">
        <v>113</v>
      </c>
      <c r="E48" s="72" t="s">
        <v>64</v>
      </c>
      <c r="F48" s="68" t="s">
        <v>8</v>
      </c>
      <c r="G48" s="110">
        <f>34</f>
        <v>34</v>
      </c>
      <c r="H48" s="75"/>
      <c r="I48" s="98"/>
    </row>
    <row r="49" spans="2:9" ht="12">
      <c r="B49" s="62"/>
      <c r="C49" s="60"/>
      <c r="D49" s="60"/>
      <c r="E49" s="91" t="s">
        <v>192</v>
      </c>
      <c r="F49" s="60"/>
      <c r="G49" s="99"/>
      <c r="H49" s="100"/>
      <c r="I49" s="101"/>
    </row>
    <row r="50" spans="2:9" ht="48.75" thickBot="1">
      <c r="B50" s="63"/>
      <c r="C50" s="64"/>
      <c r="D50" s="64"/>
      <c r="E50" s="92" t="s">
        <v>147</v>
      </c>
      <c r="F50" s="64"/>
      <c r="G50" s="65"/>
      <c r="H50" s="66"/>
      <c r="I50" s="102"/>
    </row>
    <row r="51" spans="2:9" ht="12.75" thickBot="1">
      <c r="B51" s="67">
        <f>1+MAX($B$3:B50)</f>
        <v>16</v>
      </c>
      <c r="C51" s="71">
        <v>112211272</v>
      </c>
      <c r="D51" s="71" t="s">
        <v>113</v>
      </c>
      <c r="E51" s="72" t="s">
        <v>65</v>
      </c>
      <c r="F51" s="68" t="s">
        <v>8</v>
      </c>
      <c r="G51" s="110">
        <f>CEILING(G48*0.3,1)</f>
        <v>11</v>
      </c>
      <c r="H51" s="75"/>
      <c r="I51" s="98"/>
    </row>
    <row r="52" spans="2:9" ht="12">
      <c r="B52" s="62"/>
      <c r="C52" s="60"/>
      <c r="D52" s="60"/>
      <c r="E52" s="91" t="s">
        <v>193</v>
      </c>
      <c r="F52" s="60"/>
      <c r="G52" s="99"/>
      <c r="H52" s="100"/>
      <c r="I52" s="101"/>
    </row>
    <row r="53" spans="2:9" ht="48.75" thickBot="1">
      <c r="B53" s="63"/>
      <c r="C53" s="64"/>
      <c r="D53" s="64"/>
      <c r="E53" s="92" t="s">
        <v>148</v>
      </c>
      <c r="F53" s="64"/>
      <c r="G53" s="65"/>
      <c r="H53" s="66"/>
      <c r="I53" s="102"/>
    </row>
    <row r="54" spans="2:9" ht="26.1" customHeight="1" thickBot="1">
      <c r="B54" s="67">
        <f>1+MAX($B$3:B53)</f>
        <v>17</v>
      </c>
      <c r="C54" s="71">
        <v>155211112</v>
      </c>
      <c r="D54" s="71" t="s">
        <v>113</v>
      </c>
      <c r="E54" s="72" t="s">
        <v>125</v>
      </c>
      <c r="F54" s="68" t="s">
        <v>24</v>
      </c>
      <c r="G54" s="110">
        <f>CEILING(0.75*((414)*2.37*1.3),1)</f>
        <v>957</v>
      </c>
      <c r="H54" s="75"/>
      <c r="I54" s="98"/>
    </row>
    <row r="55" spans="2:9" ht="14.25">
      <c r="B55" s="62"/>
      <c r="C55" s="60"/>
      <c r="D55" s="60"/>
      <c r="E55" s="91" t="s">
        <v>243</v>
      </c>
      <c r="F55" s="60"/>
      <c r="G55" s="99"/>
      <c r="H55" s="100"/>
      <c r="I55" s="101"/>
    </row>
    <row r="56" spans="2:9" ht="36.75" thickBot="1">
      <c r="B56" s="63"/>
      <c r="C56" s="64"/>
      <c r="D56" s="64"/>
      <c r="E56" s="92" t="s">
        <v>103</v>
      </c>
      <c r="F56" s="64"/>
      <c r="G56" s="65"/>
      <c r="H56" s="66"/>
      <c r="I56" s="102"/>
    </row>
    <row r="57" spans="2:9" ht="15" thickBot="1">
      <c r="B57" s="67">
        <f>1+MAX($B$3:B56)</f>
        <v>18</v>
      </c>
      <c r="C57" s="71">
        <v>112155315</v>
      </c>
      <c r="D57" s="71" t="s">
        <v>113</v>
      </c>
      <c r="E57" s="72" t="s">
        <v>63</v>
      </c>
      <c r="F57" s="68" t="s">
        <v>24</v>
      </c>
      <c r="G57" s="110">
        <f>G54</f>
        <v>957</v>
      </c>
      <c r="H57" s="70"/>
      <c r="I57" s="98"/>
    </row>
    <row r="58" spans="2:9" ht="12">
      <c r="B58" s="62"/>
      <c r="C58" s="60"/>
      <c r="D58" s="60"/>
      <c r="E58" s="91" t="s">
        <v>81</v>
      </c>
      <c r="F58" s="60"/>
      <c r="G58" s="99"/>
      <c r="H58" s="100"/>
      <c r="I58" s="101"/>
    </row>
    <row r="59" spans="2:9" ht="36.75" thickBot="1">
      <c r="B59" s="63"/>
      <c r="C59" s="64"/>
      <c r="D59" s="64"/>
      <c r="E59" s="92" t="s">
        <v>155</v>
      </c>
      <c r="F59" s="64"/>
      <c r="G59" s="65"/>
      <c r="H59" s="66"/>
      <c r="I59" s="102"/>
    </row>
    <row r="60" spans="2:9" ht="15" thickBot="1">
      <c r="B60" s="67">
        <f>1+MAX($B$3:B59)</f>
        <v>19</v>
      </c>
      <c r="C60" s="68">
        <v>155211122</v>
      </c>
      <c r="D60" s="71" t="s">
        <v>113</v>
      </c>
      <c r="E60" s="69" t="s">
        <v>108</v>
      </c>
      <c r="F60" s="68" t="s">
        <v>40</v>
      </c>
      <c r="G60" s="81">
        <f>CEILING(0.9*((77)*3.86*1.3)*0.1,0.1)</f>
        <v>34.800000000000004</v>
      </c>
      <c r="H60" s="75"/>
      <c r="I60" s="98"/>
    </row>
    <row r="61" spans="2:9" ht="28.5">
      <c r="B61" s="62"/>
      <c r="C61" s="60"/>
      <c r="D61" s="60"/>
      <c r="E61" s="91" t="s">
        <v>196</v>
      </c>
      <c r="F61" s="60"/>
      <c r="G61" s="99"/>
      <c r="H61" s="100"/>
      <c r="I61" s="101"/>
    </row>
    <row r="62" spans="2:9" ht="48.75" thickBot="1">
      <c r="B62" s="63"/>
      <c r="C62" s="64"/>
      <c r="D62" s="64"/>
      <c r="E62" s="92" t="s">
        <v>156</v>
      </c>
      <c r="F62" s="64"/>
      <c r="G62" s="65"/>
      <c r="H62" s="66"/>
      <c r="I62" s="102"/>
    </row>
    <row r="63" spans="2:9" ht="26.1" customHeight="1" thickBot="1">
      <c r="B63" s="67">
        <f>1+MAX($B$3:B62)</f>
        <v>20</v>
      </c>
      <c r="C63" s="68">
        <v>155211311</v>
      </c>
      <c r="D63" s="71" t="s">
        <v>113</v>
      </c>
      <c r="E63" s="73" t="s">
        <v>49</v>
      </c>
      <c r="F63" s="68" t="s">
        <v>40</v>
      </c>
      <c r="G63" s="81">
        <f>523</f>
        <v>523</v>
      </c>
      <c r="H63" s="75"/>
      <c r="I63" s="98"/>
    </row>
    <row r="64" spans="2:9" ht="14.25">
      <c r="B64" s="62"/>
      <c r="C64" s="60"/>
      <c r="D64" s="60"/>
      <c r="E64" s="91" t="s">
        <v>276</v>
      </c>
      <c r="F64" s="60"/>
      <c r="G64" s="99"/>
      <c r="H64" s="100"/>
      <c r="I64" s="101"/>
    </row>
    <row r="65" spans="2:9" ht="51" thickBot="1">
      <c r="B65" s="63"/>
      <c r="C65" s="64"/>
      <c r="D65" s="64"/>
      <c r="E65" s="92" t="s">
        <v>197</v>
      </c>
      <c r="F65" s="64"/>
      <c r="G65" s="65"/>
      <c r="H65" s="66"/>
      <c r="I65" s="102"/>
    </row>
    <row r="66" spans="2:9" ht="24.75" thickBot="1">
      <c r="B66" s="67">
        <f>1+MAX($B$3:B65)</f>
        <v>21</v>
      </c>
      <c r="C66" s="68">
        <v>155211312</v>
      </c>
      <c r="D66" s="71" t="s">
        <v>113</v>
      </c>
      <c r="E66" s="73" t="s">
        <v>104</v>
      </c>
      <c r="F66" s="68" t="s">
        <v>40</v>
      </c>
      <c r="G66" s="81">
        <f>195</f>
        <v>195</v>
      </c>
      <c r="H66" s="75"/>
      <c r="I66" s="98"/>
    </row>
    <row r="67" spans="2:9" ht="14.25">
      <c r="B67" s="62"/>
      <c r="C67" s="60"/>
      <c r="D67" s="60"/>
      <c r="E67" s="91" t="s">
        <v>277</v>
      </c>
      <c r="F67" s="60"/>
      <c r="G67" s="99"/>
      <c r="H67" s="100"/>
      <c r="I67" s="101"/>
    </row>
    <row r="68" spans="2:9" ht="51" thickBot="1">
      <c r="B68" s="63"/>
      <c r="C68" s="64"/>
      <c r="D68" s="64"/>
      <c r="E68" s="92" t="s">
        <v>198</v>
      </c>
      <c r="F68" s="64"/>
      <c r="G68" s="65"/>
      <c r="H68" s="66"/>
      <c r="I68" s="102"/>
    </row>
    <row r="69" spans="2:9" ht="24.75" thickBot="1">
      <c r="B69" s="67">
        <f>1+MAX($B$3:B68)</f>
        <v>22</v>
      </c>
      <c r="C69" s="68">
        <v>155211313</v>
      </c>
      <c r="D69" s="71" t="s">
        <v>113</v>
      </c>
      <c r="E69" s="73" t="s">
        <v>181</v>
      </c>
      <c r="F69" s="68" t="s">
        <v>40</v>
      </c>
      <c r="G69" s="81">
        <f>67.5</f>
        <v>67.5</v>
      </c>
      <c r="H69" s="75"/>
      <c r="I69" s="98"/>
    </row>
    <row r="70" spans="2:9" ht="14.25">
      <c r="B70" s="62"/>
      <c r="C70" s="60"/>
      <c r="D70" s="60"/>
      <c r="E70" s="91" t="s">
        <v>268</v>
      </c>
      <c r="F70" s="60"/>
      <c r="G70" s="99"/>
      <c r="H70" s="100"/>
      <c r="I70" s="101"/>
    </row>
    <row r="71" spans="2:9" ht="51" thickBot="1">
      <c r="B71" s="63"/>
      <c r="C71" s="64"/>
      <c r="D71" s="64"/>
      <c r="E71" s="92" t="s">
        <v>199</v>
      </c>
      <c r="F71" s="64"/>
      <c r="G71" s="65"/>
      <c r="H71" s="66"/>
      <c r="I71" s="102"/>
    </row>
    <row r="72" spans="2:9" ht="24.75" thickBot="1">
      <c r="B72" s="67">
        <f>1+MAX($B$3:B71)</f>
        <v>23</v>
      </c>
      <c r="C72" s="71">
        <v>122211101</v>
      </c>
      <c r="D72" s="71" t="s">
        <v>113</v>
      </c>
      <c r="E72" s="72" t="s">
        <v>61</v>
      </c>
      <c r="F72" s="83" t="s">
        <v>40</v>
      </c>
      <c r="G72" s="81">
        <f>CEILING((45*1.1)*0.5,0.1)</f>
        <v>24.8</v>
      </c>
      <c r="H72" s="75"/>
      <c r="I72" s="98"/>
    </row>
    <row r="73" spans="2:9" ht="26.25">
      <c r="B73" s="62"/>
      <c r="C73" s="60"/>
      <c r="D73" s="60"/>
      <c r="E73" s="91" t="s">
        <v>269</v>
      </c>
      <c r="F73" s="60"/>
      <c r="G73" s="99"/>
      <c r="H73" s="100"/>
      <c r="I73" s="101"/>
    </row>
    <row r="74" spans="2:9" ht="39" customHeight="1" thickBot="1">
      <c r="B74" s="63"/>
      <c r="C74" s="64"/>
      <c r="D74" s="64"/>
      <c r="E74" s="92" t="s">
        <v>157</v>
      </c>
      <c r="F74" s="64"/>
      <c r="G74" s="65"/>
      <c r="H74" s="66"/>
      <c r="I74" s="102"/>
    </row>
    <row r="75" spans="2:9" ht="12.95" customHeight="1" thickBot="1">
      <c r="B75" s="45"/>
      <c r="C75" s="46"/>
      <c r="D75" s="46"/>
      <c r="E75" s="47" t="s">
        <v>34</v>
      </c>
      <c r="F75" s="48"/>
      <c r="G75" s="48"/>
      <c r="H75" s="48"/>
      <c r="I75" s="97"/>
    </row>
    <row r="76" spans="2:9" ht="26.1" customHeight="1" thickBot="1">
      <c r="B76" s="67">
        <f>1+MAX($B$3:B75)</f>
        <v>24</v>
      </c>
      <c r="C76" s="84">
        <v>155213613</v>
      </c>
      <c r="D76" s="71" t="s">
        <v>113</v>
      </c>
      <c r="E76" s="74" t="s">
        <v>107</v>
      </c>
      <c r="F76" s="80" t="s">
        <v>8</v>
      </c>
      <c r="G76" s="111">
        <f>6</f>
        <v>6</v>
      </c>
      <c r="H76" s="75"/>
      <c r="I76" s="98"/>
    </row>
    <row r="77" spans="2:9" ht="12">
      <c r="B77" s="62"/>
      <c r="C77" s="60"/>
      <c r="D77" s="60"/>
      <c r="E77" s="91" t="s">
        <v>149</v>
      </c>
      <c r="F77" s="60"/>
      <c r="G77" s="99"/>
      <c r="H77" s="100"/>
      <c r="I77" s="101"/>
    </row>
    <row r="78" spans="2:9" ht="24.75" thickBot="1">
      <c r="B78" s="63"/>
      <c r="C78" s="64"/>
      <c r="D78" s="64"/>
      <c r="E78" s="92" t="s">
        <v>220</v>
      </c>
      <c r="F78" s="64"/>
      <c r="G78" s="65"/>
      <c r="H78" s="66"/>
      <c r="I78" s="102"/>
    </row>
    <row r="79" spans="2:9" ht="12.95" customHeight="1" thickBot="1">
      <c r="B79" s="67">
        <f>1+MAX($B$3:B78)</f>
        <v>25</v>
      </c>
      <c r="C79" s="68">
        <v>789321110</v>
      </c>
      <c r="D79" s="71" t="s">
        <v>113</v>
      </c>
      <c r="E79" s="73" t="s">
        <v>59</v>
      </c>
      <c r="F79" s="68" t="s">
        <v>24</v>
      </c>
      <c r="G79" s="81">
        <f>CEILING((((2*(PI()*(0.032^2)/4))+(PI()*0.032))*1.3*4*G76+((2*0.2*0.2+4*0.2*0.01)*G76))*1.2,1)</f>
        <v>5</v>
      </c>
      <c r="H79" s="70"/>
      <c r="I79" s="98"/>
    </row>
    <row r="80" spans="2:9" ht="26.25">
      <c r="B80" s="62"/>
      <c r="C80" s="60"/>
      <c r="D80" s="60"/>
      <c r="E80" s="91" t="s">
        <v>221</v>
      </c>
      <c r="F80" s="60"/>
      <c r="G80" s="126"/>
      <c r="H80" s="100"/>
      <c r="I80" s="101"/>
    </row>
    <row r="81" spans="2:9" ht="39" thickBot="1">
      <c r="B81" s="63"/>
      <c r="C81" s="64"/>
      <c r="D81" s="64"/>
      <c r="E81" s="92" t="s">
        <v>136</v>
      </c>
      <c r="F81" s="64"/>
      <c r="G81" s="65"/>
      <c r="H81" s="66"/>
      <c r="I81" s="102"/>
    </row>
    <row r="82" spans="2:9" ht="15" thickBot="1">
      <c r="B82" s="67">
        <f>1+MAX($B$3:B81)</f>
        <v>26</v>
      </c>
      <c r="C82" s="68">
        <v>789321120</v>
      </c>
      <c r="D82" s="71" t="s">
        <v>113</v>
      </c>
      <c r="E82" s="73" t="s">
        <v>36</v>
      </c>
      <c r="F82" s="80" t="s">
        <v>24</v>
      </c>
      <c r="G82" s="110">
        <f>CEILING((((2*(PI()*(0.032^2)/4))+(PI()*0.032))*1.3*0.4*G76+((2*0.2*0.2+4*0.2*0.01)*G76))*2*1.2,1)</f>
        <v>3</v>
      </c>
      <c r="H82" s="70"/>
      <c r="I82" s="98"/>
    </row>
    <row r="83" spans="2:9" ht="26.25">
      <c r="B83" s="62"/>
      <c r="C83" s="60"/>
      <c r="D83" s="60"/>
      <c r="E83" s="91" t="s">
        <v>209</v>
      </c>
      <c r="F83" s="60"/>
      <c r="G83" s="99"/>
      <c r="H83" s="100"/>
      <c r="I83" s="101"/>
    </row>
    <row r="84" spans="2:9" ht="36.75" thickBot="1">
      <c r="B84" s="63"/>
      <c r="C84" s="64"/>
      <c r="D84" s="64"/>
      <c r="E84" s="92" t="s">
        <v>236</v>
      </c>
      <c r="F84" s="64"/>
      <c r="G84" s="65"/>
      <c r="H84" s="66"/>
      <c r="I84" s="102"/>
    </row>
    <row r="85" spans="2:9" ht="12.95" customHeight="1" thickBot="1">
      <c r="B85" s="45"/>
      <c r="C85" s="46"/>
      <c r="D85" s="46"/>
      <c r="E85" s="49" t="s">
        <v>201</v>
      </c>
      <c r="F85" s="46"/>
      <c r="G85" s="46"/>
      <c r="H85" s="59"/>
      <c r="I85" s="103"/>
    </row>
    <row r="86" spans="2:9" ht="26.1" customHeight="1" thickBot="1">
      <c r="B86" s="67">
        <f>1+MAX($B$3:B85)</f>
        <v>27</v>
      </c>
      <c r="C86" s="84">
        <v>155213613</v>
      </c>
      <c r="D86" s="71" t="s">
        <v>113</v>
      </c>
      <c r="E86" s="74" t="s">
        <v>107</v>
      </c>
      <c r="F86" s="80" t="s">
        <v>8</v>
      </c>
      <c r="G86" s="81">
        <f>CEILING(((9+19+24)*1.3/3+3)+((5+2+5)*1.3/2+3)+(G95/(3*2)*1.15),1)</f>
        <v>111</v>
      </c>
      <c r="H86" s="75"/>
      <c r="I86" s="98"/>
    </row>
    <row r="87" spans="2:9" ht="36">
      <c r="B87" s="62"/>
      <c r="C87" s="60"/>
      <c r="D87" s="60"/>
      <c r="E87" s="91" t="s">
        <v>207</v>
      </c>
      <c r="F87" s="60"/>
      <c r="G87" s="99"/>
      <c r="H87" s="100"/>
      <c r="I87" s="101"/>
    </row>
    <row r="88" spans="2:9" ht="36.75" thickBot="1">
      <c r="B88" s="63"/>
      <c r="C88" s="64"/>
      <c r="D88" s="64"/>
      <c r="E88" s="92" t="s">
        <v>200</v>
      </c>
      <c r="F88" s="64"/>
      <c r="G88" s="65"/>
      <c r="H88" s="66"/>
      <c r="I88" s="102"/>
    </row>
    <row r="89" spans="2:9" ht="15" thickBot="1">
      <c r="B89" s="67">
        <f>1+MAX($B$3:B88)</f>
        <v>28</v>
      </c>
      <c r="C89" s="68">
        <v>789321110</v>
      </c>
      <c r="D89" s="71" t="s">
        <v>113</v>
      </c>
      <c r="E89" s="73" t="s">
        <v>59</v>
      </c>
      <c r="F89" s="68" t="s">
        <v>24</v>
      </c>
      <c r="G89" s="81">
        <f>CEILING((((2*(PI()*(0.032^2)/4))+(PI()*0.032))*1.3*3.5*G86+((2*0.15*0.15+4*0.15*0.008)*G86))*1.2,1)</f>
        <v>69</v>
      </c>
      <c r="H89" s="70"/>
      <c r="I89" s="98"/>
    </row>
    <row r="90" spans="2:9" ht="26.25">
      <c r="B90" s="62"/>
      <c r="C90" s="60"/>
      <c r="D90" s="60"/>
      <c r="E90" s="91" t="s">
        <v>208</v>
      </c>
      <c r="F90" s="60"/>
      <c r="G90" s="126"/>
      <c r="H90" s="100"/>
      <c r="I90" s="101"/>
    </row>
    <row r="91" spans="2:9" ht="39" thickBot="1">
      <c r="B91" s="63"/>
      <c r="C91" s="64"/>
      <c r="D91" s="64"/>
      <c r="E91" s="92" t="s">
        <v>136</v>
      </c>
      <c r="F91" s="64"/>
      <c r="G91" s="65"/>
      <c r="H91" s="66"/>
      <c r="I91" s="102"/>
    </row>
    <row r="92" spans="2:9" ht="15" thickBot="1">
      <c r="B92" s="67">
        <f>1+MAX($B$3:B91)</f>
        <v>29</v>
      </c>
      <c r="C92" s="68">
        <v>789321120</v>
      </c>
      <c r="D92" s="71" t="s">
        <v>113</v>
      </c>
      <c r="E92" s="73" t="s">
        <v>36</v>
      </c>
      <c r="F92" s="80" t="s">
        <v>24</v>
      </c>
      <c r="G92" s="110">
        <f>CEILING((((2*(PI()*(0.032^2)/4))+(PI()*0.032))*1.3*0.4*G86+((2*0.15*0.15+4*0.15*0.008)*G86))*2*1.2,1)</f>
        <v>28</v>
      </c>
      <c r="H92" s="70"/>
      <c r="I92" s="98"/>
    </row>
    <row r="93" spans="2:9" ht="26.25">
      <c r="B93" s="62"/>
      <c r="C93" s="60"/>
      <c r="D93" s="60"/>
      <c r="E93" s="91" t="s">
        <v>170</v>
      </c>
      <c r="F93" s="60"/>
      <c r="G93" s="99"/>
      <c r="H93" s="100"/>
      <c r="I93" s="101"/>
    </row>
    <row r="94" spans="2:9" ht="36.75" thickBot="1">
      <c r="B94" s="63"/>
      <c r="C94" s="64"/>
      <c r="D94" s="64"/>
      <c r="E94" s="92" t="s">
        <v>236</v>
      </c>
      <c r="F94" s="64"/>
      <c r="G94" s="65"/>
      <c r="H94" s="66"/>
      <c r="I94" s="102"/>
    </row>
    <row r="95" spans="2:9" ht="15" thickBot="1">
      <c r="B95" s="67">
        <f>1+MAX($B$3:B94)</f>
        <v>30</v>
      </c>
      <c r="C95" s="68">
        <v>155214111</v>
      </c>
      <c r="D95" s="71" t="s">
        <v>113</v>
      </c>
      <c r="E95" s="77" t="s">
        <v>37</v>
      </c>
      <c r="F95" s="68" t="s">
        <v>24</v>
      </c>
      <c r="G95" s="81">
        <f>CEILING((77)*3.86*1.3,1)</f>
        <v>387</v>
      </c>
      <c r="H95" s="75"/>
      <c r="I95" s="98"/>
    </row>
    <row r="96" spans="2:9" ht="14.25">
      <c r="B96" s="62"/>
      <c r="C96" s="60"/>
      <c r="D96" s="60"/>
      <c r="E96" s="91" t="s">
        <v>202</v>
      </c>
      <c r="F96" s="60"/>
      <c r="G96" s="99"/>
      <c r="H96" s="100"/>
      <c r="I96" s="101"/>
    </row>
    <row r="97" spans="2:9" ht="24.75" thickBot="1">
      <c r="B97" s="63"/>
      <c r="C97" s="64"/>
      <c r="D97" s="64"/>
      <c r="E97" s="92" t="s">
        <v>84</v>
      </c>
      <c r="F97" s="64"/>
      <c r="G97" s="65"/>
      <c r="H97" s="66"/>
      <c r="I97" s="102"/>
    </row>
    <row r="98" spans="2:9" ht="12.95" customHeight="1" thickBot="1">
      <c r="B98" s="67">
        <f>1+MAX($B$3:B97)</f>
        <v>31</v>
      </c>
      <c r="C98" s="68">
        <v>31319092</v>
      </c>
      <c r="D98" s="71" t="s">
        <v>113</v>
      </c>
      <c r="E98" s="73" t="s">
        <v>205</v>
      </c>
      <c r="F98" s="68" t="s">
        <v>24</v>
      </c>
      <c r="G98" s="81">
        <f>CEILING(G95*1.2,1)</f>
        <v>465</v>
      </c>
      <c r="H98" s="75"/>
      <c r="I98" s="98"/>
    </row>
    <row r="99" spans="2:9" ht="14.25">
      <c r="B99" s="62"/>
      <c r="C99" s="60"/>
      <c r="D99" s="60"/>
      <c r="E99" s="91" t="s">
        <v>203</v>
      </c>
      <c r="F99" s="60"/>
      <c r="G99" s="99"/>
      <c r="H99" s="100"/>
      <c r="I99" s="101"/>
    </row>
    <row r="100" spans="2:9" ht="36.75" thickBot="1">
      <c r="B100" s="63"/>
      <c r="C100" s="64"/>
      <c r="D100" s="64"/>
      <c r="E100" s="92" t="s">
        <v>204</v>
      </c>
      <c r="F100" s="64"/>
      <c r="G100" s="65"/>
      <c r="H100" s="66"/>
      <c r="I100" s="102"/>
    </row>
    <row r="101" spans="2:9" ht="15" thickBot="1">
      <c r="B101" s="67">
        <f>1+MAX($B$3:B100)</f>
        <v>32</v>
      </c>
      <c r="C101" s="68">
        <v>155214112</v>
      </c>
      <c r="D101" s="71" t="s">
        <v>113</v>
      </c>
      <c r="E101" s="73" t="s">
        <v>216</v>
      </c>
      <c r="F101" s="68" t="s">
        <v>24</v>
      </c>
      <c r="G101" s="81">
        <f>CEILING(0.25*G95,1)</f>
        <v>97</v>
      </c>
      <c r="H101" s="75"/>
      <c r="I101" s="98"/>
    </row>
    <row r="102" spans="2:9" ht="14.25">
      <c r="B102" s="62"/>
      <c r="C102" s="60"/>
      <c r="D102" s="60"/>
      <c r="E102" s="91" t="s">
        <v>218</v>
      </c>
      <c r="F102" s="60"/>
      <c r="G102" s="99"/>
      <c r="H102" s="100"/>
      <c r="I102" s="101"/>
    </row>
    <row r="103" spans="2:9" ht="12.75" thickBot="1">
      <c r="B103" s="63"/>
      <c r="C103" s="64"/>
      <c r="D103" s="64"/>
      <c r="E103" s="92" t="s">
        <v>217</v>
      </c>
      <c r="F103" s="64"/>
      <c r="G103" s="65"/>
      <c r="H103" s="66"/>
      <c r="I103" s="102"/>
    </row>
    <row r="104" spans="2:9" ht="15" thickBot="1">
      <c r="B104" s="67">
        <f>1+MAX($B$3:B103)</f>
        <v>33</v>
      </c>
      <c r="C104" s="68">
        <v>69321111</v>
      </c>
      <c r="D104" s="71" t="s">
        <v>113</v>
      </c>
      <c r="E104" s="73" t="s">
        <v>210</v>
      </c>
      <c r="F104" s="68" t="s">
        <v>24</v>
      </c>
      <c r="G104" s="81">
        <f>CEILING(G101*1.2,1)</f>
        <v>117</v>
      </c>
      <c r="H104" s="75"/>
      <c r="I104" s="98"/>
    </row>
    <row r="105" spans="2:9" ht="14.25">
      <c r="B105" s="62"/>
      <c r="C105" s="60"/>
      <c r="D105" s="60"/>
      <c r="E105" s="91" t="s">
        <v>219</v>
      </c>
      <c r="F105" s="60"/>
      <c r="G105" s="99"/>
      <c r="H105" s="100"/>
      <c r="I105" s="101"/>
    </row>
    <row r="106" spans="2:9" ht="24.75" thickBot="1">
      <c r="B106" s="63"/>
      <c r="C106" s="64"/>
      <c r="D106" s="64"/>
      <c r="E106" s="92" t="s">
        <v>206</v>
      </c>
      <c r="F106" s="64"/>
      <c r="G106" s="65"/>
      <c r="H106" s="66"/>
      <c r="I106" s="102"/>
    </row>
    <row r="107" spans="2:9" ht="12.75" thickBot="1">
      <c r="B107" s="67">
        <f>1+MAX($B$3:B106)</f>
        <v>34</v>
      </c>
      <c r="C107" s="68">
        <v>155214211</v>
      </c>
      <c r="D107" s="71" t="s">
        <v>113</v>
      </c>
      <c r="E107" s="73" t="s">
        <v>38</v>
      </c>
      <c r="F107" s="76" t="s">
        <v>9</v>
      </c>
      <c r="G107" s="81">
        <f>CEILING(((9+19+24)+(5+2+5))*1.3+(G95*0.35),1)</f>
        <v>219</v>
      </c>
      <c r="H107" s="70"/>
      <c r="I107" s="98"/>
    </row>
    <row r="108" spans="2:9" ht="24">
      <c r="B108" s="62"/>
      <c r="C108" s="60"/>
      <c r="D108" s="60"/>
      <c r="E108" s="91" t="s">
        <v>211</v>
      </c>
      <c r="F108" s="60"/>
      <c r="G108" s="99"/>
      <c r="H108" s="100"/>
      <c r="I108" s="101"/>
    </row>
    <row r="109" spans="2:9" ht="36.75" thickBot="1">
      <c r="B109" s="63"/>
      <c r="C109" s="64"/>
      <c r="D109" s="64"/>
      <c r="E109" s="92" t="s">
        <v>212</v>
      </c>
      <c r="F109" s="64"/>
      <c r="G109" s="65"/>
      <c r="H109" s="66"/>
      <c r="I109" s="102"/>
    </row>
    <row r="110" spans="2:9" ht="12.75" thickBot="1">
      <c r="B110" s="67">
        <f>1+MAX($B$3:B109)</f>
        <v>35</v>
      </c>
      <c r="C110" s="68">
        <v>31452106</v>
      </c>
      <c r="D110" s="71" t="s">
        <v>113</v>
      </c>
      <c r="E110" s="73" t="s">
        <v>57</v>
      </c>
      <c r="F110" s="76" t="s">
        <v>9</v>
      </c>
      <c r="G110" s="81">
        <f>CEILING((G95*0.35)*1.2,1)</f>
        <v>163</v>
      </c>
      <c r="H110" s="75"/>
      <c r="I110" s="98"/>
    </row>
    <row r="111" spans="2:9" ht="24">
      <c r="B111" s="62"/>
      <c r="C111" s="60"/>
      <c r="D111" s="60"/>
      <c r="E111" s="91" t="s">
        <v>214</v>
      </c>
      <c r="F111" s="60"/>
      <c r="G111" s="99"/>
      <c r="H111" s="100"/>
      <c r="I111" s="101"/>
    </row>
    <row r="112" spans="2:9" ht="24.75" thickBot="1">
      <c r="B112" s="63"/>
      <c r="C112" s="64"/>
      <c r="D112" s="64"/>
      <c r="E112" s="92" t="s">
        <v>151</v>
      </c>
      <c r="F112" s="64"/>
      <c r="G112" s="65"/>
      <c r="H112" s="66"/>
      <c r="I112" s="102"/>
    </row>
    <row r="113" spans="2:9" ht="12.75" thickBot="1">
      <c r="B113" s="67">
        <f>1+MAX($B$3:B112)</f>
        <v>36</v>
      </c>
      <c r="C113" s="82">
        <v>31452107</v>
      </c>
      <c r="D113" s="71" t="s">
        <v>113</v>
      </c>
      <c r="E113" s="73" t="s">
        <v>39</v>
      </c>
      <c r="F113" s="76" t="s">
        <v>9</v>
      </c>
      <c r="G113" s="81">
        <f>CEILING(((9+19+24)+(5+2+5))*1.3*1.2,1)</f>
        <v>100</v>
      </c>
      <c r="H113" s="70"/>
      <c r="I113" s="98"/>
    </row>
    <row r="114" spans="2:9" ht="24">
      <c r="B114" s="62"/>
      <c r="C114" s="60"/>
      <c r="D114" s="60"/>
      <c r="E114" s="91" t="s">
        <v>213</v>
      </c>
      <c r="F114" s="60"/>
      <c r="G114" s="99"/>
      <c r="H114" s="100"/>
      <c r="I114" s="101"/>
    </row>
    <row r="115" spans="2:9" ht="24.75" thickBot="1">
      <c r="B115" s="63"/>
      <c r="C115" s="64"/>
      <c r="D115" s="64"/>
      <c r="E115" s="92" t="s">
        <v>152</v>
      </c>
      <c r="F115" s="64"/>
      <c r="G115" s="65"/>
      <c r="H115" s="66"/>
      <c r="I115" s="102"/>
    </row>
    <row r="116" spans="2:9" ht="12.95" customHeight="1" thickBot="1">
      <c r="B116" s="67">
        <f>1+MAX($B$3:B115)</f>
        <v>37</v>
      </c>
      <c r="C116" s="68">
        <v>155213511</v>
      </c>
      <c r="D116" s="71" t="s">
        <v>113</v>
      </c>
      <c r="E116" s="73" t="s">
        <v>35</v>
      </c>
      <c r="F116" s="68" t="s">
        <v>8</v>
      </c>
      <c r="G116" s="81">
        <f>3</f>
        <v>3</v>
      </c>
      <c r="H116" s="70"/>
      <c r="I116" s="98"/>
    </row>
    <row r="117" spans="2:9" ht="12">
      <c r="B117" s="62"/>
      <c r="C117" s="60"/>
      <c r="D117" s="60"/>
      <c r="E117" s="91" t="s">
        <v>215</v>
      </c>
      <c r="F117" s="60"/>
      <c r="G117" s="99"/>
      <c r="H117" s="100"/>
      <c r="I117" s="101"/>
    </row>
    <row r="118" spans="2:9" ht="12.75" thickBot="1">
      <c r="B118" s="63"/>
      <c r="C118" s="64"/>
      <c r="D118" s="64"/>
      <c r="E118" s="92" t="s">
        <v>83</v>
      </c>
      <c r="F118" s="64"/>
      <c r="G118" s="65"/>
      <c r="H118" s="66"/>
      <c r="I118" s="102"/>
    </row>
    <row r="119" spans="2:9" ht="12.95" customHeight="1" thickBot="1">
      <c r="B119" s="50"/>
      <c r="C119" s="46"/>
      <c r="D119" s="46"/>
      <c r="E119" s="49" t="s">
        <v>257</v>
      </c>
      <c r="F119" s="46"/>
      <c r="G119" s="46"/>
      <c r="H119" s="51"/>
      <c r="I119" s="103"/>
    </row>
    <row r="120" spans="2:9" ht="24.75" thickBot="1">
      <c r="B120" s="67">
        <f>1+MAX($B$3:B119)</f>
        <v>38</v>
      </c>
      <c r="C120" s="71">
        <v>224211116</v>
      </c>
      <c r="D120" s="71" t="s">
        <v>113</v>
      </c>
      <c r="E120" s="130" t="s">
        <v>73</v>
      </c>
      <c r="F120" s="85" t="s">
        <v>9</v>
      </c>
      <c r="G120" s="81">
        <f>G141*4+G144*2</f>
        <v>38</v>
      </c>
      <c r="H120" s="70"/>
      <c r="I120" s="98"/>
    </row>
    <row r="121" spans="2:9" ht="12">
      <c r="B121" s="62"/>
      <c r="C121" s="60"/>
      <c r="D121" s="60"/>
      <c r="E121" s="91" t="s">
        <v>245</v>
      </c>
      <c r="F121" s="60"/>
      <c r="G121" s="99"/>
      <c r="H121" s="100"/>
      <c r="I121" s="101"/>
    </row>
    <row r="122" spans="2:9" ht="36.75" thickBot="1">
      <c r="B122" s="63"/>
      <c r="C122" s="64"/>
      <c r="D122" s="64"/>
      <c r="E122" s="92" t="s">
        <v>244</v>
      </c>
      <c r="F122" s="64"/>
      <c r="G122" s="65"/>
      <c r="H122" s="66"/>
      <c r="I122" s="102"/>
    </row>
    <row r="123" spans="2:9" ht="24.75" thickBot="1">
      <c r="B123" s="67">
        <f>1+MAX($B$3:B122)</f>
        <v>39</v>
      </c>
      <c r="C123" s="71">
        <v>224311116</v>
      </c>
      <c r="D123" s="71" t="s">
        <v>113</v>
      </c>
      <c r="E123" s="130" t="s">
        <v>74</v>
      </c>
      <c r="F123" s="85" t="s">
        <v>9</v>
      </c>
      <c r="G123" s="81">
        <f>(4+2)*5+2*6</f>
        <v>42</v>
      </c>
      <c r="H123" s="70"/>
      <c r="I123" s="98"/>
    </row>
    <row r="124" spans="2:9" ht="12">
      <c r="B124" s="62"/>
      <c r="C124" s="60"/>
      <c r="D124" s="60"/>
      <c r="E124" s="91" t="s">
        <v>246</v>
      </c>
      <c r="F124" s="60"/>
      <c r="G124" s="99"/>
      <c r="H124" s="100"/>
      <c r="I124" s="101"/>
    </row>
    <row r="125" spans="2:9" ht="36.75" thickBot="1">
      <c r="B125" s="63"/>
      <c r="C125" s="64"/>
      <c r="D125" s="64"/>
      <c r="E125" s="92" t="s">
        <v>247</v>
      </c>
      <c r="F125" s="64"/>
      <c r="G125" s="65"/>
      <c r="H125" s="66"/>
      <c r="I125" s="102"/>
    </row>
    <row r="126" spans="2:9" ht="24.75" thickBot="1">
      <c r="B126" s="67">
        <f>1+MAX($B$3:B125)</f>
        <v>40</v>
      </c>
      <c r="C126" s="68">
        <v>155211311</v>
      </c>
      <c r="D126" s="71" t="s">
        <v>113</v>
      </c>
      <c r="E126" s="73" t="s">
        <v>49</v>
      </c>
      <c r="F126" s="68" t="s">
        <v>40</v>
      </c>
      <c r="G126" s="81">
        <f>CEILING(1.8*0.8,0.1)</f>
        <v>1.5</v>
      </c>
      <c r="H126" s="70"/>
      <c r="I126" s="98"/>
    </row>
    <row r="127" spans="2:9" ht="14.25">
      <c r="B127" s="62"/>
      <c r="C127" s="60"/>
      <c r="D127" s="60"/>
      <c r="E127" s="91" t="s">
        <v>146</v>
      </c>
      <c r="F127" s="60"/>
      <c r="G127" s="99"/>
      <c r="H127" s="100"/>
      <c r="I127" s="101"/>
    </row>
    <row r="128" spans="2:9" ht="48.75" thickBot="1">
      <c r="B128" s="63"/>
      <c r="C128" s="64"/>
      <c r="D128" s="64"/>
      <c r="E128" s="92" t="s">
        <v>248</v>
      </c>
      <c r="F128" s="64"/>
      <c r="G128" s="65"/>
      <c r="H128" s="66"/>
      <c r="I128" s="102"/>
    </row>
    <row r="129" spans="2:9" ht="24.75" thickBot="1">
      <c r="B129" s="67">
        <f>1+MAX($B$3:B128)</f>
        <v>41</v>
      </c>
      <c r="C129" s="71">
        <v>131213702</v>
      </c>
      <c r="D129" s="71" t="s">
        <v>113</v>
      </c>
      <c r="E129" s="72" t="s">
        <v>109</v>
      </c>
      <c r="F129" s="83" t="s">
        <v>40</v>
      </c>
      <c r="G129" s="81">
        <f>CEILING((0.5*0.5*0.8)*3*1.2,0.1)</f>
        <v>0.8</v>
      </c>
      <c r="H129" s="70"/>
      <c r="I129" s="98"/>
    </row>
    <row r="130" spans="2:9" ht="26.25">
      <c r="B130" s="62"/>
      <c r="C130" s="60"/>
      <c r="D130" s="60"/>
      <c r="E130" s="91" t="s">
        <v>249</v>
      </c>
      <c r="F130" s="60"/>
      <c r="G130" s="99"/>
      <c r="H130" s="100"/>
      <c r="I130" s="101"/>
    </row>
    <row r="131" spans="2:9" ht="36.75" thickBot="1">
      <c r="B131" s="63"/>
      <c r="C131" s="64"/>
      <c r="D131" s="64"/>
      <c r="E131" s="92" t="s">
        <v>250</v>
      </c>
      <c r="F131" s="64"/>
      <c r="G131" s="65"/>
      <c r="H131" s="66"/>
      <c r="I131" s="102"/>
    </row>
    <row r="132" spans="2:9" ht="15" thickBot="1">
      <c r="B132" s="67">
        <f>1+MAX($B$3:B131)</f>
        <v>42</v>
      </c>
      <c r="C132" s="71">
        <v>275354111</v>
      </c>
      <c r="D132" s="71" t="s">
        <v>113</v>
      </c>
      <c r="E132" s="72" t="s">
        <v>75</v>
      </c>
      <c r="F132" s="68" t="s">
        <v>24</v>
      </c>
      <c r="G132" s="81">
        <f>CEILING((0.5*0.8*4)*3*1.2,1)</f>
        <v>6</v>
      </c>
      <c r="H132" s="70"/>
      <c r="I132" s="98"/>
    </row>
    <row r="133" spans="2:9" ht="14.25">
      <c r="B133" s="62"/>
      <c r="C133" s="60"/>
      <c r="D133" s="60"/>
      <c r="E133" s="91" t="s">
        <v>251</v>
      </c>
      <c r="F133" s="60"/>
      <c r="G133" s="99"/>
      <c r="H133" s="100"/>
      <c r="I133" s="101"/>
    </row>
    <row r="134" spans="2:9" ht="12.75" thickBot="1">
      <c r="B134" s="63"/>
      <c r="C134" s="64"/>
      <c r="D134" s="64"/>
      <c r="E134" s="92" t="s">
        <v>89</v>
      </c>
      <c r="F134" s="64"/>
      <c r="G134" s="65"/>
      <c r="H134" s="66"/>
      <c r="I134" s="102"/>
    </row>
    <row r="135" spans="2:9" ht="15" thickBot="1">
      <c r="B135" s="67">
        <f>1+MAX($B$3:B134)</f>
        <v>43</v>
      </c>
      <c r="C135" s="71">
        <v>275354211</v>
      </c>
      <c r="D135" s="71" t="s">
        <v>113</v>
      </c>
      <c r="E135" s="72" t="s">
        <v>76</v>
      </c>
      <c r="F135" s="68" t="s">
        <v>24</v>
      </c>
      <c r="G135" s="81">
        <f>G132</f>
        <v>6</v>
      </c>
      <c r="H135" s="70"/>
      <c r="I135" s="98"/>
    </row>
    <row r="136" spans="2:9" ht="12">
      <c r="B136" s="62"/>
      <c r="C136" s="60"/>
      <c r="D136" s="60"/>
      <c r="E136" s="91" t="s">
        <v>88</v>
      </c>
      <c r="F136" s="60"/>
      <c r="G136" s="99"/>
      <c r="H136" s="100"/>
      <c r="I136" s="101"/>
    </row>
    <row r="137" spans="2:9" ht="12.75" thickBot="1">
      <c r="B137" s="63"/>
      <c r="C137" s="64"/>
      <c r="D137" s="64"/>
      <c r="E137" s="92" t="s">
        <v>90</v>
      </c>
      <c r="F137" s="64"/>
      <c r="G137" s="65"/>
      <c r="H137" s="66"/>
      <c r="I137" s="102"/>
    </row>
    <row r="138" spans="2:9" ht="24.75" thickBot="1">
      <c r="B138" s="67">
        <f>1+MAX($B$3:B137)</f>
        <v>44</v>
      </c>
      <c r="C138" s="84">
        <v>275311127</v>
      </c>
      <c r="D138" s="71" t="s">
        <v>113</v>
      </c>
      <c r="E138" s="72" t="s">
        <v>58</v>
      </c>
      <c r="F138" s="80" t="s">
        <v>40</v>
      </c>
      <c r="G138" s="81">
        <f>G129</f>
        <v>0.8</v>
      </c>
      <c r="H138" s="70"/>
      <c r="I138" s="98"/>
    </row>
    <row r="139" spans="2:9" ht="12">
      <c r="B139" s="62"/>
      <c r="C139" s="60"/>
      <c r="D139" s="60"/>
      <c r="E139" s="91" t="s">
        <v>129</v>
      </c>
      <c r="F139" s="60"/>
      <c r="G139" s="99"/>
      <c r="H139" s="100"/>
      <c r="I139" s="101"/>
    </row>
    <row r="140" spans="2:9" ht="24.75" thickBot="1">
      <c r="B140" s="63"/>
      <c r="C140" s="64"/>
      <c r="D140" s="64"/>
      <c r="E140" s="92" t="s">
        <v>91</v>
      </c>
      <c r="F140" s="64"/>
      <c r="G140" s="65"/>
      <c r="H140" s="66"/>
      <c r="I140" s="102"/>
    </row>
    <row r="141" spans="2:9" ht="24.75" thickBot="1">
      <c r="B141" s="67">
        <f>1+MAX($B$3:B140)</f>
        <v>45</v>
      </c>
      <c r="C141" s="84">
        <v>155213123</v>
      </c>
      <c r="D141" s="71" t="s">
        <v>113</v>
      </c>
      <c r="E141" s="72" t="s">
        <v>128</v>
      </c>
      <c r="F141" s="80" t="s">
        <v>8</v>
      </c>
      <c r="G141" s="81">
        <f>3*2</f>
        <v>6</v>
      </c>
      <c r="H141" s="70"/>
      <c r="I141" s="98"/>
    </row>
    <row r="142" spans="2:9" ht="12">
      <c r="B142" s="62"/>
      <c r="C142" s="60"/>
      <c r="D142" s="60"/>
      <c r="E142" s="91" t="s">
        <v>272</v>
      </c>
      <c r="F142" s="60"/>
      <c r="G142" s="99"/>
      <c r="H142" s="100"/>
      <c r="I142" s="101"/>
    </row>
    <row r="143" spans="2:9" ht="24.75" thickBot="1">
      <c r="B143" s="63"/>
      <c r="C143" s="64"/>
      <c r="D143" s="64"/>
      <c r="E143" s="92" t="s">
        <v>270</v>
      </c>
      <c r="F143" s="64"/>
      <c r="G143" s="65"/>
      <c r="H143" s="66"/>
      <c r="I143" s="102"/>
    </row>
    <row r="144" spans="2:9" ht="26.1" customHeight="1" thickBot="1">
      <c r="B144" s="67">
        <f>1+MAX($B$3:B143)</f>
        <v>46</v>
      </c>
      <c r="C144" s="84">
        <v>155213312</v>
      </c>
      <c r="D144" s="71" t="s">
        <v>113</v>
      </c>
      <c r="E144" s="72" t="s">
        <v>66</v>
      </c>
      <c r="F144" s="68" t="s">
        <v>8</v>
      </c>
      <c r="G144" s="81">
        <f>CEILING((1+5+1)/1.5+1+(1),1)</f>
        <v>7</v>
      </c>
      <c r="H144" s="70"/>
      <c r="I144" s="98"/>
    </row>
    <row r="145" spans="2:9" ht="12.95" customHeight="1">
      <c r="B145" s="62"/>
      <c r="C145" s="60"/>
      <c r="D145" s="60"/>
      <c r="E145" s="91" t="s">
        <v>273</v>
      </c>
      <c r="F145" s="60"/>
      <c r="G145" s="99"/>
      <c r="H145" s="100"/>
      <c r="I145" s="101"/>
    </row>
    <row r="146" spans="2:9" ht="24.75" thickBot="1">
      <c r="B146" s="63"/>
      <c r="C146" s="64"/>
      <c r="D146" s="64"/>
      <c r="E146" s="92" t="s">
        <v>271</v>
      </c>
      <c r="F146" s="64"/>
      <c r="G146" s="65"/>
      <c r="H146" s="66"/>
      <c r="I146" s="102"/>
    </row>
    <row r="147" spans="2:9" ht="15" thickBot="1">
      <c r="B147" s="67">
        <f>1+MAX($B$3:B146)</f>
        <v>47</v>
      </c>
      <c r="C147" s="68">
        <v>789321110</v>
      </c>
      <c r="D147" s="71" t="s">
        <v>113</v>
      </c>
      <c r="E147" s="73" t="s">
        <v>59</v>
      </c>
      <c r="F147" s="68" t="s">
        <v>24</v>
      </c>
      <c r="G147" s="81">
        <f>CEILING((((2*(PI()*(0.025^2)/4))+(PI()*0.025))*1.3*G144*2+((2*(PI()*(0.032^2)/4))+(PI()*0.032))*1.3*G141*4)*1.2,1)</f>
        <v>6</v>
      </c>
      <c r="H147" s="70"/>
      <c r="I147" s="98"/>
    </row>
    <row r="148" spans="2:9" ht="50.25">
      <c r="B148" s="62"/>
      <c r="C148" s="60"/>
      <c r="D148" s="60"/>
      <c r="E148" s="91" t="s">
        <v>137</v>
      </c>
      <c r="F148" s="60"/>
      <c r="G148" s="126"/>
      <c r="H148" s="100"/>
      <c r="I148" s="101"/>
    </row>
    <row r="149" spans="2:9" ht="39" thickBot="1">
      <c r="B149" s="63"/>
      <c r="C149" s="64"/>
      <c r="D149" s="64"/>
      <c r="E149" s="92" t="s">
        <v>136</v>
      </c>
      <c r="F149" s="64"/>
      <c r="G149" s="127"/>
      <c r="H149" s="66"/>
      <c r="I149" s="102"/>
    </row>
    <row r="150" spans="2:9" ht="15" thickBot="1">
      <c r="B150" s="67">
        <f>1+MAX($B$3:B149)</f>
        <v>48</v>
      </c>
      <c r="C150" s="76">
        <v>789321120</v>
      </c>
      <c r="D150" s="71" t="s">
        <v>113</v>
      </c>
      <c r="E150" s="77" t="s">
        <v>36</v>
      </c>
      <c r="F150" s="68" t="s">
        <v>24</v>
      </c>
      <c r="G150" s="81">
        <f>CEILING((((2*(PI()*(0.025^2)/4))+(PI()*0.025))*1.3*G144*0.4+((2*(PI()*(0.032^2)/4))+(PI()*0.032))*1.3*G141*0.4)*2*1.2,1)</f>
        <v>2</v>
      </c>
      <c r="H150" s="70"/>
      <c r="I150" s="98"/>
    </row>
    <row r="151" spans="2:9" ht="38.25">
      <c r="B151" s="62"/>
      <c r="C151" s="60"/>
      <c r="D151" s="60"/>
      <c r="E151" s="91" t="s">
        <v>138</v>
      </c>
      <c r="F151" s="60"/>
      <c r="G151" s="99"/>
      <c r="H151" s="100"/>
      <c r="I151" s="101"/>
    </row>
    <row r="152" spans="2:9" ht="36.75" thickBot="1">
      <c r="B152" s="63"/>
      <c r="C152" s="64"/>
      <c r="D152" s="64"/>
      <c r="E152" s="92" t="s">
        <v>236</v>
      </c>
      <c r="F152" s="64"/>
      <c r="G152" s="65"/>
      <c r="H152" s="66"/>
      <c r="I152" s="102"/>
    </row>
    <row r="153" spans="2:9" ht="12.75" thickBot="1">
      <c r="B153" s="67">
        <f>1+MAX($B$3:B152)</f>
        <v>49</v>
      </c>
      <c r="C153" s="76">
        <v>281604111</v>
      </c>
      <c r="D153" s="71" t="s">
        <v>113</v>
      </c>
      <c r="E153" s="77" t="s">
        <v>67</v>
      </c>
      <c r="F153" s="81" t="s">
        <v>10</v>
      </c>
      <c r="G153" s="81">
        <f>CEILING((G120+G123)*0.5,0.1)</f>
        <v>40</v>
      </c>
      <c r="H153" s="70"/>
      <c r="I153" s="98"/>
    </row>
    <row r="154" spans="2:9" ht="12">
      <c r="B154" s="62"/>
      <c r="C154" s="60"/>
      <c r="D154" s="60"/>
      <c r="E154" s="91" t="s">
        <v>92</v>
      </c>
      <c r="F154" s="60"/>
      <c r="G154" s="99"/>
      <c r="H154" s="100"/>
      <c r="I154" s="101"/>
    </row>
    <row r="155" spans="2:9" ht="24.75" thickBot="1">
      <c r="B155" s="63"/>
      <c r="C155" s="64"/>
      <c r="D155" s="64"/>
      <c r="E155" s="92" t="s">
        <v>82</v>
      </c>
      <c r="F155" s="64"/>
      <c r="G155" s="65"/>
      <c r="H155" s="66"/>
      <c r="I155" s="102"/>
    </row>
    <row r="156" spans="2:9" ht="15" thickBot="1">
      <c r="B156" s="67">
        <f>1+MAX($B$3:B155)</f>
        <v>50</v>
      </c>
      <c r="C156" s="114">
        <v>155215121</v>
      </c>
      <c r="D156" s="71" t="s">
        <v>113</v>
      </c>
      <c r="E156" s="72" t="s">
        <v>127</v>
      </c>
      <c r="F156" s="115" t="s">
        <v>24</v>
      </c>
      <c r="G156" s="116">
        <f>G159</f>
        <v>80</v>
      </c>
      <c r="H156" s="70"/>
      <c r="I156" s="98"/>
    </row>
    <row r="157" spans="2:9" ht="12">
      <c r="B157" s="62"/>
      <c r="C157" s="106"/>
      <c r="D157" s="106"/>
      <c r="E157" s="91" t="s">
        <v>259</v>
      </c>
      <c r="F157" s="106"/>
      <c r="G157" s="107"/>
      <c r="H157" s="100"/>
      <c r="I157" s="101"/>
    </row>
    <row r="158" spans="2:9" ht="36.95" customHeight="1" thickBot="1">
      <c r="B158" s="63"/>
      <c r="C158" s="64"/>
      <c r="D158" s="64"/>
      <c r="E158" s="92" t="s">
        <v>254</v>
      </c>
      <c r="F158" s="64"/>
      <c r="G158" s="65"/>
      <c r="H158" s="66"/>
      <c r="I158" s="102"/>
    </row>
    <row r="159" spans="2:9" ht="12.95" customHeight="1" thickBot="1">
      <c r="B159" s="67">
        <f>1+MAX($B$3:B158)</f>
        <v>51</v>
      </c>
      <c r="C159" s="71" t="s">
        <v>258</v>
      </c>
      <c r="D159" s="68" t="s">
        <v>111</v>
      </c>
      <c r="E159" s="72" t="s">
        <v>252</v>
      </c>
      <c r="F159" s="68" t="s">
        <v>24</v>
      </c>
      <c r="G159" s="81">
        <f>(8+8)*5</f>
        <v>80</v>
      </c>
      <c r="H159" s="70"/>
      <c r="I159" s="98"/>
    </row>
    <row r="160" spans="2:9" ht="12">
      <c r="B160" s="62"/>
      <c r="C160" s="60"/>
      <c r="D160" s="60"/>
      <c r="E160" s="91" t="s">
        <v>253</v>
      </c>
      <c r="F160" s="60"/>
      <c r="G160" s="99"/>
      <c r="H160" s="100"/>
      <c r="I160" s="101"/>
    </row>
    <row r="161" spans="2:9" ht="48.95" customHeight="1" thickBot="1">
      <c r="B161" s="63"/>
      <c r="C161" s="64"/>
      <c r="D161" s="64"/>
      <c r="E161" s="92" t="s">
        <v>256</v>
      </c>
      <c r="F161" s="64"/>
      <c r="G161" s="65"/>
      <c r="H161" s="66"/>
      <c r="I161" s="102"/>
    </row>
    <row r="162" spans="2:9" ht="24.75" thickBot="1">
      <c r="B162" s="67">
        <f>1+MAX($B$3:B161)</f>
        <v>52</v>
      </c>
      <c r="C162" s="71" t="s">
        <v>255</v>
      </c>
      <c r="D162" s="68" t="s">
        <v>111</v>
      </c>
      <c r="E162" s="73" t="s">
        <v>260</v>
      </c>
      <c r="F162" s="68" t="s">
        <v>24</v>
      </c>
      <c r="G162" s="81">
        <f>CEILING((1*5)*1.3*1.2,1)</f>
        <v>8</v>
      </c>
      <c r="H162" s="70"/>
      <c r="I162" s="98"/>
    </row>
    <row r="163" spans="2:9" ht="12.95" customHeight="1">
      <c r="B163" s="62"/>
      <c r="C163" s="60"/>
      <c r="D163" s="60"/>
      <c r="E163" s="91" t="s">
        <v>261</v>
      </c>
      <c r="F163" s="60"/>
      <c r="G163" s="99"/>
      <c r="H163" s="100"/>
      <c r="I163" s="101"/>
    </row>
    <row r="164" spans="2:9" ht="36.75" thickBot="1">
      <c r="B164" s="63"/>
      <c r="C164" s="64"/>
      <c r="D164" s="64"/>
      <c r="E164" s="92" t="s">
        <v>262</v>
      </c>
      <c r="F164" s="64"/>
      <c r="G164" s="65"/>
      <c r="H164" s="66"/>
      <c r="I164" s="102"/>
    </row>
    <row r="165" spans="2:9" ht="12.75" thickBot="1">
      <c r="B165" s="113">
        <f>1+MAX($B$3:B164)</f>
        <v>53</v>
      </c>
      <c r="C165" s="115">
        <v>155214212</v>
      </c>
      <c r="D165" s="71" t="s">
        <v>113</v>
      </c>
      <c r="E165" s="133" t="s">
        <v>77</v>
      </c>
      <c r="F165" s="115" t="s">
        <v>9</v>
      </c>
      <c r="G165" s="116">
        <f>CEILING((5+1)*2*1.3,1)</f>
        <v>16</v>
      </c>
      <c r="H165" s="117"/>
      <c r="I165" s="118"/>
    </row>
    <row r="166" spans="2:9" ht="12">
      <c r="B166" s="105"/>
      <c r="C166" s="106"/>
      <c r="D166" s="106"/>
      <c r="E166" s="134" t="s">
        <v>263</v>
      </c>
      <c r="F166" s="106"/>
      <c r="G166" s="107"/>
      <c r="H166" s="108"/>
      <c r="I166" s="109"/>
    </row>
    <row r="167" spans="2:9" ht="24.75" thickBot="1">
      <c r="B167" s="63"/>
      <c r="C167" s="64"/>
      <c r="D167" s="64"/>
      <c r="E167" s="92" t="s">
        <v>93</v>
      </c>
      <c r="F167" s="64"/>
      <c r="G167" s="65"/>
      <c r="H167" s="66"/>
      <c r="I167" s="102"/>
    </row>
    <row r="168" spans="2:9" ht="12.75" thickBot="1">
      <c r="B168" s="67">
        <f>1+MAX($B$3:B167)</f>
        <v>54</v>
      </c>
      <c r="C168" s="68" t="s">
        <v>120</v>
      </c>
      <c r="D168" s="68" t="s">
        <v>111</v>
      </c>
      <c r="E168" s="73" t="s">
        <v>78</v>
      </c>
      <c r="F168" s="68" t="s">
        <v>9</v>
      </c>
      <c r="G168" s="81">
        <f>CEILING(G165*1.2,1)</f>
        <v>20</v>
      </c>
      <c r="H168" s="70"/>
      <c r="I168" s="98"/>
    </row>
    <row r="169" spans="2:9" ht="12">
      <c r="B169" s="62"/>
      <c r="C169" s="60"/>
      <c r="D169" s="60"/>
      <c r="E169" s="91" t="s">
        <v>94</v>
      </c>
      <c r="F169" s="60"/>
      <c r="G169" s="99"/>
      <c r="H169" s="100"/>
      <c r="I169" s="101"/>
    </row>
    <row r="170" spans="2:9" ht="24.75" thickBot="1">
      <c r="B170" s="63"/>
      <c r="C170" s="64"/>
      <c r="D170" s="64"/>
      <c r="E170" s="92" t="s">
        <v>153</v>
      </c>
      <c r="F170" s="64"/>
      <c r="G170" s="65"/>
      <c r="H170" s="66"/>
      <c r="I170" s="102"/>
    </row>
    <row r="171" spans="2:9" ht="12.95" customHeight="1" thickBot="1">
      <c r="B171" s="50"/>
      <c r="C171" s="46"/>
      <c r="D171" s="46"/>
      <c r="E171" s="49" t="s">
        <v>68</v>
      </c>
      <c r="F171" s="46"/>
      <c r="G171" s="46"/>
      <c r="H171" s="51"/>
      <c r="I171" s="103"/>
    </row>
    <row r="172" spans="2:9" ht="24.75" thickBot="1">
      <c r="B172" s="67">
        <f>1+MAX($B$3:B171)</f>
        <v>55</v>
      </c>
      <c r="C172" s="76">
        <v>155212346</v>
      </c>
      <c r="D172" s="71" t="s">
        <v>113</v>
      </c>
      <c r="E172" s="77" t="s">
        <v>126</v>
      </c>
      <c r="F172" s="76" t="s">
        <v>9</v>
      </c>
      <c r="G172" s="112">
        <f>CEILING(G181*1.2,0.1)</f>
        <v>4.800000000000001</v>
      </c>
      <c r="H172" s="70"/>
      <c r="I172" s="98"/>
    </row>
    <row r="173" spans="2:9" ht="12">
      <c r="B173" s="62"/>
      <c r="C173" s="60"/>
      <c r="D173" s="60"/>
      <c r="E173" s="91" t="s">
        <v>132</v>
      </c>
      <c r="F173" s="60"/>
      <c r="G173" s="99"/>
      <c r="H173" s="100"/>
      <c r="I173" s="101"/>
    </row>
    <row r="174" spans="2:9" ht="36.75" thickBot="1">
      <c r="B174" s="63"/>
      <c r="C174" s="64"/>
      <c r="D174" s="64"/>
      <c r="E174" s="92" t="s">
        <v>184</v>
      </c>
      <c r="F174" s="64"/>
      <c r="G174" s="65"/>
      <c r="H174" s="66"/>
      <c r="I174" s="102"/>
    </row>
    <row r="175" spans="2:9" ht="26.1" customHeight="1" thickBot="1">
      <c r="B175" s="67">
        <f>1+MAX($B$3:B174)</f>
        <v>56</v>
      </c>
      <c r="C175" s="71">
        <v>131213702</v>
      </c>
      <c r="D175" s="71" t="s">
        <v>113</v>
      </c>
      <c r="E175" s="72" t="s">
        <v>109</v>
      </c>
      <c r="F175" s="68" t="s">
        <v>40</v>
      </c>
      <c r="G175" s="112">
        <f>CEILING(((G181+G187)*0.5*0.5*0.7)*1.2,0.1)</f>
        <v>1.7000000000000002</v>
      </c>
      <c r="H175" s="70"/>
      <c r="I175" s="98"/>
    </row>
    <row r="176" spans="2:9" ht="26.25">
      <c r="B176" s="62"/>
      <c r="C176" s="60"/>
      <c r="D176" s="60"/>
      <c r="E176" s="91" t="s">
        <v>133</v>
      </c>
      <c r="F176" s="60"/>
      <c r="G176" s="99"/>
      <c r="H176" s="100"/>
      <c r="I176" s="101"/>
    </row>
    <row r="177" spans="2:9" ht="36.75" thickBot="1">
      <c r="B177" s="63"/>
      <c r="C177" s="64"/>
      <c r="D177" s="64"/>
      <c r="E177" s="92" t="s">
        <v>134</v>
      </c>
      <c r="F177" s="64"/>
      <c r="G177" s="65"/>
      <c r="H177" s="66"/>
      <c r="I177" s="102"/>
    </row>
    <row r="178" spans="2:9" ht="24.75" thickBot="1">
      <c r="B178" s="67">
        <f>1+MAX($B$3:B177)</f>
        <v>57</v>
      </c>
      <c r="C178" s="76">
        <v>275311127</v>
      </c>
      <c r="D178" s="71" t="s">
        <v>113</v>
      </c>
      <c r="E178" s="77" t="s">
        <v>58</v>
      </c>
      <c r="F178" s="68" t="s">
        <v>40</v>
      </c>
      <c r="G178" s="112">
        <f>G175</f>
        <v>1.7000000000000002</v>
      </c>
      <c r="H178" s="70"/>
      <c r="I178" s="98"/>
    </row>
    <row r="179" spans="2:9" ht="12">
      <c r="B179" s="62"/>
      <c r="C179" s="60"/>
      <c r="D179" s="60"/>
      <c r="E179" s="91" t="s">
        <v>129</v>
      </c>
      <c r="F179" s="60"/>
      <c r="G179" s="99"/>
      <c r="H179" s="100"/>
      <c r="I179" s="101"/>
    </row>
    <row r="180" spans="2:9" ht="24.75" thickBot="1">
      <c r="B180" s="63"/>
      <c r="C180" s="64"/>
      <c r="D180" s="64"/>
      <c r="E180" s="92" t="s">
        <v>185</v>
      </c>
      <c r="F180" s="64"/>
      <c r="G180" s="65"/>
      <c r="H180" s="66"/>
      <c r="I180" s="102"/>
    </row>
    <row r="181" spans="2:9" ht="26.1" customHeight="1" thickBot="1">
      <c r="B181" s="67">
        <f>1+MAX($B$3:B180)</f>
        <v>58</v>
      </c>
      <c r="C181" s="76">
        <v>155214411</v>
      </c>
      <c r="D181" s="71" t="s">
        <v>113</v>
      </c>
      <c r="E181" s="77" t="s">
        <v>69</v>
      </c>
      <c r="F181" s="76" t="s">
        <v>8</v>
      </c>
      <c r="G181" s="112">
        <f>CEILING((9)/3+1,1)</f>
        <v>4</v>
      </c>
      <c r="H181" s="70"/>
      <c r="I181" s="98"/>
    </row>
    <row r="182" spans="2:9" ht="12">
      <c r="B182" s="62"/>
      <c r="C182" s="60"/>
      <c r="D182" s="60"/>
      <c r="E182" s="91" t="s">
        <v>182</v>
      </c>
      <c r="F182" s="60"/>
      <c r="G182" s="99"/>
      <c r="H182" s="100"/>
      <c r="I182" s="101"/>
    </row>
    <row r="183" spans="2:9" ht="48.75" thickBot="1">
      <c r="B183" s="63"/>
      <c r="C183" s="64"/>
      <c r="D183" s="64"/>
      <c r="E183" s="92" t="s">
        <v>183</v>
      </c>
      <c r="F183" s="64"/>
      <c r="G183" s="65"/>
      <c r="H183" s="66"/>
      <c r="I183" s="102"/>
    </row>
    <row r="184" spans="2:9" ht="24.75" thickBot="1">
      <c r="B184" s="67">
        <f>1+MAX($B$3:B183)</f>
        <v>59</v>
      </c>
      <c r="C184" s="76">
        <v>155214511</v>
      </c>
      <c r="D184" s="71" t="s">
        <v>113</v>
      </c>
      <c r="E184" s="73" t="s">
        <v>70</v>
      </c>
      <c r="F184" s="76" t="s">
        <v>8</v>
      </c>
      <c r="G184" s="112">
        <f>CEILING(G181+(2*1),1)</f>
        <v>6</v>
      </c>
      <c r="H184" s="70"/>
      <c r="I184" s="98"/>
    </row>
    <row r="185" spans="2:9" ht="12">
      <c r="B185" s="62"/>
      <c r="C185" s="60"/>
      <c r="D185" s="60"/>
      <c r="E185" s="91" t="s">
        <v>186</v>
      </c>
      <c r="F185" s="60"/>
      <c r="G185" s="99"/>
      <c r="H185" s="100"/>
      <c r="I185" s="101"/>
    </row>
    <row r="186" spans="2:9" ht="26.1" customHeight="1" thickBot="1">
      <c r="B186" s="63"/>
      <c r="C186" s="64"/>
      <c r="D186" s="64"/>
      <c r="E186" s="92" t="s">
        <v>154</v>
      </c>
      <c r="F186" s="64"/>
      <c r="G186" s="65"/>
      <c r="H186" s="66"/>
      <c r="I186" s="102"/>
    </row>
    <row r="187" spans="2:9" ht="24.75" thickBot="1">
      <c r="B187" s="67">
        <f>1+MAX($B$3:B186)</f>
        <v>60</v>
      </c>
      <c r="C187" s="76">
        <v>155213611</v>
      </c>
      <c r="D187" s="71" t="s">
        <v>113</v>
      </c>
      <c r="E187" s="73" t="s">
        <v>71</v>
      </c>
      <c r="F187" s="76" t="s">
        <v>8</v>
      </c>
      <c r="G187" s="112">
        <f>CEILING(G181/2+(2*1),1)</f>
        <v>4</v>
      </c>
      <c r="H187" s="70"/>
      <c r="I187" s="98"/>
    </row>
    <row r="188" spans="2:9" ht="12">
      <c r="B188" s="62"/>
      <c r="C188" s="60"/>
      <c r="D188" s="60"/>
      <c r="E188" s="91" t="s">
        <v>187</v>
      </c>
      <c r="F188" s="60"/>
      <c r="G188" s="99"/>
      <c r="H188" s="100"/>
      <c r="I188" s="101"/>
    </row>
    <row r="189" spans="2:9" ht="48.75" thickBot="1">
      <c r="B189" s="63"/>
      <c r="C189" s="64"/>
      <c r="D189" s="64"/>
      <c r="E189" s="92" t="s">
        <v>233</v>
      </c>
      <c r="F189" s="64"/>
      <c r="G189" s="65"/>
      <c r="H189" s="66"/>
      <c r="I189" s="102"/>
    </row>
    <row r="190" spans="2:9" ht="12.75" thickBot="1">
      <c r="B190" s="67">
        <f>1+MAX($B$3:B189)</f>
        <v>61</v>
      </c>
      <c r="C190" s="68" t="s">
        <v>112</v>
      </c>
      <c r="D190" s="68" t="s">
        <v>111</v>
      </c>
      <c r="E190" s="72" t="s">
        <v>164</v>
      </c>
      <c r="F190" s="71" t="s">
        <v>8</v>
      </c>
      <c r="G190" s="81">
        <f>G187</f>
        <v>4</v>
      </c>
      <c r="H190" s="70"/>
      <c r="I190" s="98"/>
    </row>
    <row r="191" spans="2:9" ht="12">
      <c r="B191" s="62"/>
      <c r="C191" s="60"/>
      <c r="D191" s="60"/>
      <c r="E191" s="91" t="s">
        <v>85</v>
      </c>
      <c r="F191" s="60"/>
      <c r="G191" s="99"/>
      <c r="H191" s="100"/>
      <c r="I191" s="101"/>
    </row>
    <row r="192" spans="2:9" ht="12.95" customHeight="1" thickBot="1">
      <c r="B192" s="63"/>
      <c r="C192" s="64"/>
      <c r="D192" s="64"/>
      <c r="E192" s="92" t="s">
        <v>166</v>
      </c>
      <c r="F192" s="64"/>
      <c r="G192" s="65"/>
      <c r="H192" s="66"/>
      <c r="I192" s="102"/>
    </row>
    <row r="193" spans="2:9" ht="15" thickBot="1">
      <c r="B193" s="67">
        <f>1+MAX($B$3:B192)</f>
        <v>62</v>
      </c>
      <c r="C193" s="68">
        <v>789321110</v>
      </c>
      <c r="D193" s="71" t="s">
        <v>113</v>
      </c>
      <c r="E193" s="73" t="s">
        <v>59</v>
      </c>
      <c r="F193" s="68" t="s">
        <v>24</v>
      </c>
      <c r="G193" s="112">
        <f>CEILING(((G181*((2*(PI()*(0.089^2)/4))+(PI()*0.089))*3)+(G187*((2*(PI()*(0.032^2)/4))+(PI()*0.032))*1.3*1.5))*1.2,1)</f>
        <v>6</v>
      </c>
      <c r="H193" s="70"/>
      <c r="I193" s="98"/>
    </row>
    <row r="194" spans="2:9" ht="26.25">
      <c r="B194" s="62"/>
      <c r="C194" s="60"/>
      <c r="D194" s="60"/>
      <c r="E194" s="91" t="s">
        <v>188</v>
      </c>
      <c r="F194" s="60"/>
      <c r="G194" s="126"/>
      <c r="H194" s="100"/>
      <c r="I194" s="101"/>
    </row>
    <row r="195" spans="2:9" ht="39" thickBot="1">
      <c r="B195" s="63"/>
      <c r="C195" s="64"/>
      <c r="D195" s="64"/>
      <c r="E195" s="92" t="s">
        <v>135</v>
      </c>
      <c r="F195" s="64"/>
      <c r="G195" s="65"/>
      <c r="H195" s="66"/>
      <c r="I195" s="102"/>
    </row>
    <row r="196" spans="2:9" ht="15" thickBot="1">
      <c r="B196" s="67">
        <f>1+MAX($B$3:B195)</f>
        <v>63</v>
      </c>
      <c r="C196" s="76">
        <v>789321120</v>
      </c>
      <c r="D196" s="71" t="s">
        <v>113</v>
      </c>
      <c r="E196" s="77" t="s">
        <v>36</v>
      </c>
      <c r="F196" s="68" t="s">
        <v>24</v>
      </c>
      <c r="G196" s="112">
        <f>CEILING(((G181*((2*(PI()*(0.089^2)/4))+(PI()*0.089))*2.3)+(G187*((2*(PI()*(0.032^2)/4))+(PI()*0.032))*1.3*0.4))*2*1.2,1)</f>
        <v>7</v>
      </c>
      <c r="H196" s="70"/>
      <c r="I196" s="98"/>
    </row>
    <row r="197" spans="2:9" ht="38.25">
      <c r="B197" s="62"/>
      <c r="C197" s="60"/>
      <c r="D197" s="60"/>
      <c r="E197" s="91" t="s">
        <v>189</v>
      </c>
      <c r="F197" s="60"/>
      <c r="G197" s="99"/>
      <c r="H197" s="100"/>
      <c r="I197" s="101"/>
    </row>
    <row r="198" spans="2:9" ht="36.75" thickBot="1">
      <c r="B198" s="63"/>
      <c r="C198" s="64"/>
      <c r="D198" s="64"/>
      <c r="E198" s="92" t="s">
        <v>237</v>
      </c>
      <c r="F198" s="64"/>
      <c r="G198" s="65"/>
      <c r="H198" s="66"/>
      <c r="I198" s="102"/>
    </row>
    <row r="199" spans="2:9" ht="15" thickBot="1">
      <c r="B199" s="67">
        <f>1+MAX($B$3:B198)</f>
        <v>64</v>
      </c>
      <c r="C199" s="76">
        <v>155214521</v>
      </c>
      <c r="D199" s="71" t="s">
        <v>113</v>
      </c>
      <c r="E199" s="77" t="s">
        <v>47</v>
      </c>
      <c r="F199" s="68" t="s">
        <v>24</v>
      </c>
      <c r="G199" s="112">
        <f>CEILING((9)*2,1)</f>
        <v>18</v>
      </c>
      <c r="H199" s="70"/>
      <c r="I199" s="98"/>
    </row>
    <row r="200" spans="2:9" ht="14.25">
      <c r="B200" s="62"/>
      <c r="C200" s="60"/>
      <c r="D200" s="60"/>
      <c r="E200" s="91" t="s">
        <v>190</v>
      </c>
      <c r="F200" s="60"/>
      <c r="G200" s="99"/>
      <c r="H200" s="100"/>
      <c r="I200" s="101"/>
    </row>
    <row r="201" spans="2:9" ht="60.75" thickBot="1">
      <c r="B201" s="63"/>
      <c r="C201" s="64"/>
      <c r="D201" s="64"/>
      <c r="E201" s="92" t="s">
        <v>232</v>
      </c>
      <c r="F201" s="64"/>
      <c r="G201" s="65"/>
      <c r="H201" s="66"/>
      <c r="I201" s="102"/>
    </row>
    <row r="202" spans="2:9" ht="15" thickBot="1">
      <c r="B202" s="67">
        <f>1+MAX($B$3:B201)</f>
        <v>65</v>
      </c>
      <c r="C202" s="76">
        <v>31319110</v>
      </c>
      <c r="D202" s="71" t="s">
        <v>113</v>
      </c>
      <c r="E202" s="77" t="s">
        <v>168</v>
      </c>
      <c r="F202" s="68" t="s">
        <v>24</v>
      </c>
      <c r="G202" s="112">
        <f>CEILING(G199*1.2,1)</f>
        <v>22</v>
      </c>
      <c r="H202" s="70"/>
      <c r="I202" s="98"/>
    </row>
    <row r="203" spans="2:9" ht="14.25">
      <c r="B203" s="62"/>
      <c r="C203" s="60"/>
      <c r="D203" s="60"/>
      <c r="E203" s="91" t="s">
        <v>86</v>
      </c>
      <c r="F203" s="60"/>
      <c r="G203" s="99"/>
      <c r="H203" s="100"/>
      <c r="I203" s="101"/>
    </row>
    <row r="204" spans="2:9" ht="24.75" thickBot="1">
      <c r="B204" s="63"/>
      <c r="C204" s="64"/>
      <c r="D204" s="64"/>
      <c r="E204" s="92" t="s">
        <v>169</v>
      </c>
      <c r="F204" s="64"/>
      <c r="G204" s="65"/>
      <c r="H204" s="66"/>
      <c r="I204" s="102"/>
    </row>
    <row r="205" spans="2:9" ht="12.75" thickBot="1">
      <c r="B205" s="67">
        <f>1+MAX($B$3:B204)</f>
        <v>66</v>
      </c>
      <c r="C205" s="76">
        <v>155214525</v>
      </c>
      <c r="D205" s="71" t="s">
        <v>113</v>
      </c>
      <c r="E205" s="77" t="s">
        <v>72</v>
      </c>
      <c r="F205" s="76" t="s">
        <v>9</v>
      </c>
      <c r="G205" s="112">
        <f>CEILING((9)*5+(3*2.5*2*1),1)</f>
        <v>60</v>
      </c>
      <c r="H205" s="70"/>
      <c r="I205" s="98"/>
    </row>
    <row r="206" spans="2:9" ht="12">
      <c r="B206" s="62"/>
      <c r="C206" s="60"/>
      <c r="D206" s="60"/>
      <c r="E206" s="91" t="s">
        <v>191</v>
      </c>
      <c r="F206" s="60"/>
      <c r="G206" s="99"/>
      <c r="H206" s="100"/>
      <c r="I206" s="101"/>
    </row>
    <row r="207" spans="2:9" ht="48.75" thickBot="1">
      <c r="B207" s="63"/>
      <c r="C207" s="64"/>
      <c r="D207" s="64"/>
      <c r="E207" s="92" t="s">
        <v>231</v>
      </c>
      <c r="F207" s="64"/>
      <c r="G207" s="65"/>
      <c r="H207" s="66"/>
      <c r="I207" s="102"/>
    </row>
    <row r="208" spans="2:9" ht="12.75" thickBot="1">
      <c r="B208" s="67">
        <f>1+MAX($B$3:B207)</f>
        <v>67</v>
      </c>
      <c r="C208" s="82">
        <v>31452107</v>
      </c>
      <c r="D208" s="71" t="s">
        <v>113</v>
      </c>
      <c r="E208" s="73" t="s">
        <v>39</v>
      </c>
      <c r="F208" s="76" t="s">
        <v>9</v>
      </c>
      <c r="G208" s="112">
        <f>CEILING(G205*1.2,1)</f>
        <v>72</v>
      </c>
      <c r="H208" s="70"/>
      <c r="I208" s="98"/>
    </row>
    <row r="209" spans="2:9" ht="12">
      <c r="B209" s="62"/>
      <c r="C209" s="60"/>
      <c r="D209" s="60"/>
      <c r="E209" s="91" t="s">
        <v>87</v>
      </c>
      <c r="F209" s="60"/>
      <c r="G209" s="99"/>
      <c r="H209" s="100"/>
      <c r="I209" s="101"/>
    </row>
    <row r="210" spans="2:9" ht="24.75" thickBot="1">
      <c r="B210" s="63"/>
      <c r="C210" s="64"/>
      <c r="D210" s="64"/>
      <c r="E210" s="92" t="s">
        <v>152</v>
      </c>
      <c r="F210" s="64"/>
      <c r="G210" s="65"/>
      <c r="H210" s="66"/>
      <c r="I210" s="102"/>
    </row>
    <row r="211" spans="2:9" ht="13.5" thickBot="1">
      <c r="B211" s="50"/>
      <c r="C211" s="46"/>
      <c r="D211" s="46"/>
      <c r="E211" s="49" t="s">
        <v>114</v>
      </c>
      <c r="F211" s="46"/>
      <c r="G211" s="46"/>
      <c r="H211" s="51"/>
      <c r="I211" s="103"/>
    </row>
    <row r="212" spans="2:9" ht="12.75" thickBot="1">
      <c r="B212" s="67">
        <f>1+MAX($B$3:B211)</f>
        <v>68</v>
      </c>
      <c r="C212" s="68" t="s">
        <v>33</v>
      </c>
      <c r="D212" s="68" t="s">
        <v>110</v>
      </c>
      <c r="E212" s="73" t="s">
        <v>115</v>
      </c>
      <c r="F212" s="68" t="s">
        <v>8</v>
      </c>
      <c r="G212" s="81">
        <f>2</f>
        <v>2</v>
      </c>
      <c r="H212" s="70"/>
      <c r="I212" s="98"/>
    </row>
    <row r="213" spans="2:9" ht="12">
      <c r="B213" s="62"/>
      <c r="C213" s="60"/>
      <c r="D213" s="60"/>
      <c r="E213" s="91" t="s">
        <v>119</v>
      </c>
      <c r="F213" s="60"/>
      <c r="G213" s="99"/>
      <c r="H213" s="100"/>
      <c r="I213" s="101"/>
    </row>
    <row r="214" spans="2:9" ht="12.75" thickBot="1">
      <c r="B214" s="63"/>
      <c r="C214" s="64"/>
      <c r="D214" s="64"/>
      <c r="E214" s="92" t="s">
        <v>117</v>
      </c>
      <c r="F214" s="64"/>
      <c r="G214" s="65"/>
      <c r="H214" s="66"/>
      <c r="I214" s="102"/>
    </row>
    <row r="215" spans="2:9" ht="12.75" thickBot="1">
      <c r="B215" s="67">
        <f>1+MAX($B$3:B214)</f>
        <v>69</v>
      </c>
      <c r="C215" s="68" t="s">
        <v>33</v>
      </c>
      <c r="D215" s="68" t="s">
        <v>110</v>
      </c>
      <c r="E215" s="73" t="s">
        <v>116</v>
      </c>
      <c r="F215" s="68" t="s">
        <v>26</v>
      </c>
      <c r="G215" s="81">
        <f>1</f>
        <v>1</v>
      </c>
      <c r="H215" s="70"/>
      <c r="I215" s="98"/>
    </row>
    <row r="216" spans="2:9" ht="12">
      <c r="B216" s="62"/>
      <c r="C216" s="60"/>
      <c r="D216" s="60"/>
      <c r="E216" s="91" t="s">
        <v>98</v>
      </c>
      <c r="F216" s="60"/>
      <c r="G216" s="99"/>
      <c r="H216" s="100"/>
      <c r="I216" s="101"/>
    </row>
    <row r="217" spans="2:9" ht="12.75" thickBot="1">
      <c r="B217" s="63"/>
      <c r="C217" s="64"/>
      <c r="D217" s="64"/>
      <c r="E217" s="92" t="s">
        <v>118</v>
      </c>
      <c r="F217" s="64"/>
      <c r="G217" s="65"/>
      <c r="H217" s="66"/>
      <c r="I217" s="102"/>
    </row>
    <row r="218" spans="2:9" ht="13.5" thickBot="1">
      <c r="B218" s="50"/>
      <c r="C218" s="46"/>
      <c r="D218" s="46"/>
      <c r="E218" s="49" t="s">
        <v>50</v>
      </c>
      <c r="F218" s="46"/>
      <c r="G218" s="46"/>
      <c r="H218" s="51"/>
      <c r="I218" s="103"/>
    </row>
    <row r="219" spans="2:9" ht="12.95" customHeight="1" thickBot="1">
      <c r="B219" s="67">
        <f>1+MAX($B$3:B218)</f>
        <v>70</v>
      </c>
      <c r="C219" s="82">
        <v>998003111</v>
      </c>
      <c r="D219" s="71" t="s">
        <v>113</v>
      </c>
      <c r="E219" s="73" t="s">
        <v>60</v>
      </c>
      <c r="F219" s="76" t="s">
        <v>52</v>
      </c>
      <c r="G219" s="81">
        <f>CEILING(((((G144-6))*3+(G144-1)*2)*0.00385)+(G141*4*0.00631)+(((G20+G187)*1.5+(G86+G116)*3.5+G76*4)*0.0036)+(G17*3.5*0.0065)+((G23+G190)*0.0005)+(G29*0.0003)+(G32*0.0012)+(G11*0.02093)+(G14*0.03203)+((G132+G135)*0.00144)+(G44*(0.0014+0.009))+(G98*0.0017)+(G104*0.0006)+(G202*0.0012)+(G110*0.00021+((G38+G113+G208)*0.00032)+G168*0.00103)+(G181*3*0.0195)+(G156*0.04505)+(G162*0.0017)+((G138+G178)*2.3),0.01)</f>
        <v>17.580000000000002</v>
      </c>
      <c r="H219" s="70"/>
      <c r="I219" s="98"/>
    </row>
    <row r="220" spans="2:9" ht="159.95" customHeight="1">
      <c r="B220" s="62"/>
      <c r="C220" s="60"/>
      <c r="D220" s="60"/>
      <c r="E220" s="91" t="s">
        <v>274</v>
      </c>
      <c r="F220" s="61"/>
      <c r="G220" s="132"/>
      <c r="H220" s="100"/>
      <c r="I220" s="101"/>
    </row>
    <row r="221" spans="2:9" ht="12.75" thickBot="1">
      <c r="B221" s="62"/>
      <c r="C221" s="60"/>
      <c r="D221" s="60"/>
      <c r="E221" s="129" t="s">
        <v>95</v>
      </c>
      <c r="F221" s="60"/>
      <c r="G221" s="99"/>
      <c r="H221" s="100"/>
      <c r="I221" s="101"/>
    </row>
    <row r="222" spans="2:9" ht="12.75" thickBot="1">
      <c r="B222" s="67">
        <f>1+MAX($B$3:B221)</f>
        <v>71</v>
      </c>
      <c r="C222" s="71">
        <v>997002611</v>
      </c>
      <c r="D222" s="71" t="s">
        <v>113</v>
      </c>
      <c r="E222" s="128" t="s">
        <v>51</v>
      </c>
      <c r="F222" s="68" t="s">
        <v>52</v>
      </c>
      <c r="G222" s="81">
        <f>CEILING(G60*2+(G129+G175)*1.9,0.01)</f>
        <v>74.35000000000001</v>
      </c>
      <c r="H222" s="70"/>
      <c r="I222" s="98"/>
    </row>
    <row r="223" spans="2:9" ht="12">
      <c r="B223" s="62"/>
      <c r="C223" s="60"/>
      <c r="D223" s="60"/>
      <c r="E223" s="91" t="s">
        <v>224</v>
      </c>
      <c r="F223" s="60"/>
      <c r="G223" s="99"/>
      <c r="H223" s="100"/>
      <c r="I223" s="101"/>
    </row>
    <row r="224" spans="2:9" ht="12.75" thickBot="1">
      <c r="B224" s="63"/>
      <c r="C224" s="64"/>
      <c r="D224" s="64"/>
      <c r="E224" s="92" t="s">
        <v>225</v>
      </c>
      <c r="F224" s="64"/>
      <c r="G224" s="65"/>
      <c r="H224" s="66"/>
      <c r="I224" s="102"/>
    </row>
    <row r="225" spans="2:9" ht="12.95" customHeight="1" thickBot="1">
      <c r="B225" s="67">
        <f>1+MAX($B$3:B224)</f>
        <v>72</v>
      </c>
      <c r="C225" s="71">
        <v>997002511</v>
      </c>
      <c r="D225" s="71" t="s">
        <v>113</v>
      </c>
      <c r="E225" s="72" t="s">
        <v>53</v>
      </c>
      <c r="F225" s="86" t="s">
        <v>52</v>
      </c>
      <c r="G225" s="122">
        <f>CEILING(G231+G237,0.01)</f>
        <v>1695.79</v>
      </c>
      <c r="H225" s="70"/>
      <c r="I225" s="98"/>
    </row>
    <row r="226" spans="2:9" ht="12">
      <c r="B226" s="62"/>
      <c r="C226" s="60"/>
      <c r="D226" s="60"/>
      <c r="E226" s="91" t="s">
        <v>227</v>
      </c>
      <c r="F226" s="60"/>
      <c r="G226" s="99"/>
      <c r="H226" s="100"/>
      <c r="I226" s="101"/>
    </row>
    <row r="227" spans="2:9" ht="24.75" thickBot="1">
      <c r="B227" s="63"/>
      <c r="C227" s="64"/>
      <c r="D227" s="64"/>
      <c r="E227" s="92" t="s">
        <v>228</v>
      </c>
      <c r="F227" s="64"/>
      <c r="G227" s="65"/>
      <c r="H227" s="66"/>
      <c r="I227" s="102"/>
    </row>
    <row r="228" spans="2:9" ht="12.75" thickBot="1">
      <c r="B228" s="67">
        <f>1+MAX($B$3:B227)</f>
        <v>73</v>
      </c>
      <c r="C228" s="71">
        <v>997002519</v>
      </c>
      <c r="D228" s="71" t="s">
        <v>113</v>
      </c>
      <c r="E228" s="72" t="s">
        <v>54</v>
      </c>
      <c r="F228" s="68" t="s">
        <v>55</v>
      </c>
      <c r="G228" s="81">
        <f>CEILING((G231+G237)*7,0.01)</f>
        <v>11870.53</v>
      </c>
      <c r="H228" s="70"/>
      <c r="I228" s="98"/>
    </row>
    <row r="229" spans="2:9" ht="12">
      <c r="B229" s="62"/>
      <c r="C229" s="60"/>
      <c r="D229" s="60"/>
      <c r="E229" s="91" t="s">
        <v>230</v>
      </c>
      <c r="F229" s="60"/>
      <c r="G229" s="104"/>
      <c r="H229" s="100"/>
      <c r="I229" s="101"/>
    </row>
    <row r="230" spans="2:9" ht="12.75" thickBot="1">
      <c r="B230" s="63"/>
      <c r="C230" s="64"/>
      <c r="D230" s="64"/>
      <c r="E230" s="92" t="s">
        <v>229</v>
      </c>
      <c r="F230" s="64"/>
      <c r="G230" s="65"/>
      <c r="H230" s="66"/>
      <c r="I230" s="102"/>
    </row>
    <row r="231" spans="2:9" ht="24.75" thickBot="1">
      <c r="B231" s="67">
        <f>1+MAX($B$3:B230)</f>
        <v>74</v>
      </c>
      <c r="C231" s="68" t="s">
        <v>140</v>
      </c>
      <c r="D231" s="68" t="s">
        <v>111</v>
      </c>
      <c r="E231" s="73" t="s">
        <v>56</v>
      </c>
      <c r="F231" s="68" t="s">
        <v>52</v>
      </c>
      <c r="G231" s="81">
        <f>CEILING((G60+G63+G66+G69+G126)*2+(G72+G129+G175)*1.9,0.01)</f>
        <v>1695.47</v>
      </c>
      <c r="H231" s="135"/>
      <c r="I231" s="98"/>
    </row>
    <row r="232" spans="2:9" ht="24">
      <c r="B232" s="62"/>
      <c r="C232" s="60"/>
      <c r="D232" s="60"/>
      <c r="E232" s="91" t="s">
        <v>223</v>
      </c>
      <c r="F232" s="60"/>
      <c r="G232" s="99"/>
      <c r="H232" s="100"/>
      <c r="I232" s="101"/>
    </row>
    <row r="233" spans="2:9" ht="74.1" customHeight="1" thickBot="1">
      <c r="B233" s="63"/>
      <c r="C233" s="64"/>
      <c r="D233" s="64"/>
      <c r="E233" s="92" t="s">
        <v>278</v>
      </c>
      <c r="F233" s="64"/>
      <c r="G233" s="65"/>
      <c r="H233" s="66"/>
      <c r="I233" s="102"/>
    </row>
    <row r="234" spans="2:9" ht="24.75" thickBot="1">
      <c r="B234" s="67">
        <f>1+MAX($B$3:B233)</f>
        <v>75</v>
      </c>
      <c r="C234" s="68" t="s">
        <v>139</v>
      </c>
      <c r="D234" s="68" t="s">
        <v>111</v>
      </c>
      <c r="E234" s="73" t="s">
        <v>143</v>
      </c>
      <c r="F234" s="68" t="s">
        <v>52</v>
      </c>
      <c r="G234" s="81">
        <f>CEILING(G57*0.008,0.01)</f>
        <v>7.66</v>
      </c>
      <c r="H234" s="135"/>
      <c r="I234" s="98"/>
    </row>
    <row r="235" spans="2:9" ht="14.25">
      <c r="B235" s="62"/>
      <c r="C235" s="60"/>
      <c r="D235" s="60"/>
      <c r="E235" s="91" t="s">
        <v>141</v>
      </c>
      <c r="F235" s="60"/>
      <c r="G235" s="126"/>
      <c r="H235" s="100"/>
      <c r="I235" s="101"/>
    </row>
    <row r="236" spans="2:9" ht="48.75" thickBot="1">
      <c r="B236" s="63"/>
      <c r="C236" s="64"/>
      <c r="D236" s="64"/>
      <c r="E236" s="92" t="s">
        <v>226</v>
      </c>
      <c r="F236" s="64"/>
      <c r="G236" s="65"/>
      <c r="H236" s="66"/>
      <c r="I236" s="102"/>
    </row>
    <row r="237" spans="2:9" ht="24.75" thickBot="1">
      <c r="B237" s="67">
        <f>1+MAX($B$3:B236)</f>
        <v>76</v>
      </c>
      <c r="C237" s="68" t="s">
        <v>142</v>
      </c>
      <c r="D237" s="68" t="s">
        <v>111</v>
      </c>
      <c r="E237" s="73" t="s">
        <v>144</v>
      </c>
      <c r="F237" s="68" t="s">
        <v>52</v>
      </c>
      <c r="G237" s="81">
        <f>CEILING(((PI()*(0.15^2))*0.5*G51)*0.8,0.01)</f>
        <v>0.32</v>
      </c>
      <c r="H237" s="135"/>
      <c r="I237" s="98"/>
    </row>
    <row r="238" spans="2:9" ht="14.25">
      <c r="B238" s="62"/>
      <c r="C238" s="60"/>
      <c r="D238" s="60"/>
      <c r="E238" s="91" t="s">
        <v>145</v>
      </c>
      <c r="F238" s="60"/>
      <c r="G238" s="126"/>
      <c r="H238" s="100"/>
      <c r="I238" s="101"/>
    </row>
    <row r="239" spans="2:9" ht="48.75" thickBot="1">
      <c r="B239" s="63"/>
      <c r="C239" s="64"/>
      <c r="D239" s="64"/>
      <c r="E239" s="92" t="s">
        <v>226</v>
      </c>
      <c r="F239" s="64"/>
      <c r="G239" s="65"/>
      <c r="H239" s="66"/>
      <c r="I239" s="102"/>
    </row>
    <row r="240" spans="2:9" ht="12.95" customHeight="1" thickBot="1">
      <c r="B240" s="50"/>
      <c r="C240" s="46"/>
      <c r="D240" s="46"/>
      <c r="E240" s="49" t="s">
        <v>16</v>
      </c>
      <c r="F240" s="46"/>
      <c r="G240" s="46"/>
      <c r="H240" s="51"/>
      <c r="I240" s="103"/>
    </row>
    <row r="241" spans="2:9" ht="12.75" thickBot="1">
      <c r="B241" s="67">
        <f>1+MAX($B$3:B240)</f>
        <v>77</v>
      </c>
      <c r="C241" s="88" t="s">
        <v>41</v>
      </c>
      <c r="D241" s="88"/>
      <c r="E241" s="130" t="s">
        <v>25</v>
      </c>
      <c r="F241" s="71" t="s">
        <v>26</v>
      </c>
      <c r="G241" s="120">
        <f>1</f>
        <v>1</v>
      </c>
      <c r="H241" s="89"/>
      <c r="I241" s="98"/>
    </row>
    <row r="242" spans="2:9" ht="12">
      <c r="B242" s="62"/>
      <c r="C242" s="60"/>
      <c r="D242" s="60"/>
      <c r="E242" s="91" t="s">
        <v>98</v>
      </c>
      <c r="F242" s="60"/>
      <c r="G242" s="99"/>
      <c r="H242" s="100"/>
      <c r="I242" s="101"/>
    </row>
    <row r="243" spans="2:9" ht="12.75" thickBot="1">
      <c r="B243" s="63"/>
      <c r="C243" s="64"/>
      <c r="D243" s="64"/>
      <c r="E243" s="92" t="s">
        <v>96</v>
      </c>
      <c r="F243" s="64"/>
      <c r="G243" s="65"/>
      <c r="H243" s="66"/>
      <c r="I243" s="102"/>
    </row>
    <row r="244" spans="2:9" ht="12.75" thickBot="1">
      <c r="B244" s="67">
        <f>1+MAX($B$3:B243)</f>
        <v>78</v>
      </c>
      <c r="C244" s="88" t="s">
        <v>42</v>
      </c>
      <c r="D244" s="88"/>
      <c r="E244" s="130" t="s">
        <v>27</v>
      </c>
      <c r="F244" s="71" t="s">
        <v>26</v>
      </c>
      <c r="G244" s="120">
        <f>1</f>
        <v>1</v>
      </c>
      <c r="H244" s="89"/>
      <c r="I244" s="98"/>
    </row>
    <row r="245" spans="2:9" ht="12">
      <c r="B245" s="62"/>
      <c r="C245" s="60"/>
      <c r="D245" s="60"/>
      <c r="E245" s="91" t="s">
        <v>98</v>
      </c>
      <c r="F245" s="60"/>
      <c r="G245" s="99"/>
      <c r="H245" s="100"/>
      <c r="I245" s="101"/>
    </row>
    <row r="246" spans="2:9" ht="12.75" thickBot="1">
      <c r="B246" s="63"/>
      <c r="C246" s="64"/>
      <c r="D246" s="64"/>
      <c r="E246" s="92" t="s">
        <v>97</v>
      </c>
      <c r="F246" s="64"/>
      <c r="G246" s="65"/>
      <c r="H246" s="66"/>
      <c r="I246" s="102"/>
    </row>
    <row r="247" spans="2:9" ht="12.75" thickBot="1">
      <c r="B247" s="67">
        <f>1+MAX($B$3:B246)</f>
        <v>79</v>
      </c>
      <c r="C247" s="88" t="s">
        <v>43</v>
      </c>
      <c r="D247" s="88"/>
      <c r="E247" s="130" t="s">
        <v>29</v>
      </c>
      <c r="F247" s="71" t="s">
        <v>26</v>
      </c>
      <c r="G247" s="120">
        <f>1</f>
        <v>1</v>
      </c>
      <c r="H247" s="89"/>
      <c r="I247" s="98"/>
    </row>
    <row r="248" spans="2:9" ht="12">
      <c r="B248" s="62"/>
      <c r="C248" s="60"/>
      <c r="D248" s="60"/>
      <c r="E248" s="91" t="s">
        <v>99</v>
      </c>
      <c r="F248" s="60"/>
      <c r="G248" s="99"/>
      <c r="H248" s="100"/>
      <c r="I248" s="101"/>
    </row>
    <row r="249" spans="2:9" ht="12.75" thickBot="1">
      <c r="B249" s="63"/>
      <c r="C249" s="64"/>
      <c r="D249" s="64"/>
      <c r="E249" s="92" t="s">
        <v>100</v>
      </c>
      <c r="F249" s="64"/>
      <c r="G249" s="65"/>
      <c r="H249" s="66"/>
      <c r="I249" s="102"/>
    </row>
    <row r="250" spans="2:9" ht="12.75" thickBot="1">
      <c r="B250" s="67">
        <f>1+MAX($B$3:B249)</f>
        <v>80</v>
      </c>
      <c r="C250" s="90" t="s">
        <v>44</v>
      </c>
      <c r="D250" s="90"/>
      <c r="E250" s="131" t="s">
        <v>30</v>
      </c>
      <c r="F250" s="71" t="s">
        <v>26</v>
      </c>
      <c r="G250" s="121">
        <f>1</f>
        <v>1</v>
      </c>
      <c r="H250" s="87"/>
      <c r="I250" s="98"/>
    </row>
    <row r="251" spans="2:9" ht="12">
      <c r="B251" s="62"/>
      <c r="C251" s="60"/>
      <c r="D251" s="60"/>
      <c r="E251" s="91" t="s">
        <v>98</v>
      </c>
      <c r="F251" s="60"/>
      <c r="G251" s="99"/>
      <c r="H251" s="100"/>
      <c r="I251" s="101"/>
    </row>
    <row r="252" spans="2:9" ht="24.75" thickBot="1">
      <c r="B252" s="63"/>
      <c r="C252" s="64"/>
      <c r="D252" s="64"/>
      <c r="E252" s="92" t="s">
        <v>150</v>
      </c>
      <c r="F252" s="64"/>
      <c r="G252" s="65"/>
      <c r="H252" s="66"/>
      <c r="I252" s="102"/>
    </row>
    <row r="253" spans="2:9" ht="12.95" customHeight="1" thickBot="1">
      <c r="B253" s="67">
        <f>1+MAX($B$3:B252)</f>
        <v>81</v>
      </c>
      <c r="C253" s="88" t="s">
        <v>45</v>
      </c>
      <c r="D253" s="88"/>
      <c r="E253" s="130" t="s">
        <v>28</v>
      </c>
      <c r="F253" s="71" t="s">
        <v>26</v>
      </c>
      <c r="G253" s="120">
        <f>1</f>
        <v>1</v>
      </c>
      <c r="H253" s="70"/>
      <c r="I253" s="98"/>
    </row>
    <row r="254" spans="2:9" ht="12">
      <c r="B254" s="62"/>
      <c r="C254" s="60"/>
      <c r="D254" s="60"/>
      <c r="E254" s="91" t="s">
        <v>98</v>
      </c>
      <c r="F254" s="60"/>
      <c r="G254" s="99"/>
      <c r="H254" s="100"/>
      <c r="I254" s="101"/>
    </row>
    <row r="255" spans="2:9" ht="12.75" thickBot="1">
      <c r="B255" s="63"/>
      <c r="C255" s="64"/>
      <c r="D255" s="64"/>
      <c r="E255" s="92" t="s">
        <v>101</v>
      </c>
      <c r="F255" s="64"/>
      <c r="G255" s="65"/>
      <c r="H255" s="66"/>
      <c r="I255" s="102"/>
    </row>
  </sheetData>
  <protectedRanges>
    <protectedRange sqref="E116" name="Oblast1_4_1_1_1_2"/>
    <protectedRange sqref="C29 C32 E29" name="Oblast1_3_1_1_1"/>
    <protectedRange sqref="F72" name="Oblast1_3_3_1_3"/>
    <protectedRange sqref="E184" name="Oblast1_3_4_5_2_2_1_1"/>
    <protectedRange sqref="E187" name="Oblast1_3_4_5_2_2_1_1_1"/>
    <protectedRange sqref="F129" name="Oblast1_3_3_1"/>
    <protectedRange sqref="E120:F120 E123:F123" name="Oblast1_3_3_1_2"/>
  </protectedRanges>
  <printOptions horizontalCentered="1"/>
  <pageMargins left="0.1968503937007874" right="0.1968503937007874" top="0.7874015748031497" bottom="0.3937007874015748" header="0" footer="0"/>
  <pageSetup fitToHeight="3" horizontalDpi="300" verticalDpi="300" orientation="landscape" paperSize="9" r:id="rId1"/>
  <headerFooter alignWithMargins="0">
    <oddFooter>&amp;C&amp;"Arial CE,Běžné"&amp;7  Strana &amp;P z &amp;N</oddFooter>
  </headerFooter>
  <ignoredErrors>
    <ignoredError sqref="G178 G202 G208 G172 G175 G181 G184 G187 G193 G196 G199 G205" unlockedFormula="1"/>
    <ignoredError sqref="C241 C244 C247 C250 C253" numberStoredAsText="1"/>
    <ignoredError sqref="G153"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Kosař Roman Ing.</cp:lastModifiedBy>
  <cp:lastPrinted>2022-11-16T12:07:50Z</cp:lastPrinted>
  <dcterms:created xsi:type="dcterms:W3CDTF">2010-05-13T13:15:26Z</dcterms:created>
  <dcterms:modified xsi:type="dcterms:W3CDTF">2023-06-26T06:54:21Z</dcterms:modified>
  <cp:category/>
  <cp:version/>
  <cp:contentType/>
  <cp:contentStatus/>
</cp:coreProperties>
</file>