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0" yWindow="75" windowWidth="26700" windowHeight="14745" activeTab="1"/>
  </bookViews>
  <sheets>
    <sheet name="Rekapitulace" sheetId="13" r:id="rId1"/>
    <sheet name="D.1.1. ASR - BP" sheetId="12" r:id="rId2"/>
  </sheets>
  <externalReferences>
    <externalReference r:id="rId3"/>
    <externalReference r:id="rId4"/>
    <externalReference r:id="rId5"/>
    <externalReference r:id="rId6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 - BP'!Values_Entered,'D.1.1. ASR - BP'!Header_Row+'D.1.1. ASR - BP'!Number_of_Payments,'D.1.1. ASR - BP'!Header_Row)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 - BP'!End_Bal,-1)+1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 - BP'!$A$1:$I$630</definedName>
    <definedName name="_xlnm.Print_Area" localSheetId="0">Rekapitulace!$A$1:$D$27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 - BP'!Loan_Start),MONTH('D.1.1. ASR - BP'!Loan_Start)+Payment_Number,DAY('D.1.1. ASR - BP'!Loan_Start))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 - BP'!Full_Print,0,0,'D.1.1. ASR - BP'!Last_Row)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 - BP'!Loan_Amount*'D.1.1. ASR - BP'!Interest_Rate*'D.1.1. ASR - BP'!Loan_Years*'D.1.1. ASR - BP'!Loan_Start&gt;0,1,0)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H100" i="12" l="1"/>
  <c r="F281" i="12" l="1"/>
  <c r="F275" i="12" l="1"/>
  <c r="F277" i="12"/>
  <c r="H275" i="12"/>
  <c r="F338" i="12"/>
  <c r="H338" i="12"/>
  <c r="F305" i="12" l="1"/>
  <c r="H305" i="12" s="1"/>
  <c r="F332" i="12"/>
  <c r="F330" i="12" l="1"/>
  <c r="H330" i="12" s="1"/>
  <c r="F167" i="12" l="1"/>
  <c r="F368" i="12"/>
  <c r="F367" i="12"/>
  <c r="F366" i="12"/>
  <c r="F365" i="12"/>
  <c r="F363" i="12" l="1"/>
  <c r="F166" i="12"/>
  <c r="H166" i="12" s="1"/>
  <c r="H363" i="12"/>
  <c r="F380" i="12"/>
  <c r="F379" i="12"/>
  <c r="F378" i="12"/>
  <c r="F377" i="12"/>
  <c r="F375" i="12"/>
  <c r="F294" i="12"/>
  <c r="F351" i="12"/>
  <c r="F349" i="12" s="1"/>
  <c r="H349" i="12" s="1"/>
  <c r="F397" i="12"/>
  <c r="H397" i="12" s="1"/>
  <c r="F385" i="12"/>
  <c r="F374" i="12"/>
  <c r="F373" i="12"/>
  <c r="F292" i="12"/>
  <c r="F291" i="12"/>
  <c r="F298" i="12" l="1"/>
  <c r="F288" i="12"/>
  <c r="F290" i="12"/>
  <c r="F362" i="12"/>
  <c r="F360" i="12" s="1"/>
  <c r="H360" i="12" s="1"/>
  <c r="F345" i="12"/>
  <c r="F344" i="12" l="1"/>
  <c r="F341" i="12" s="1"/>
  <c r="F355" i="12"/>
  <c r="F354" i="12"/>
  <c r="F352" i="12" s="1"/>
  <c r="H341" i="12" l="1"/>
  <c r="H352" i="12"/>
  <c r="F274" i="12" l="1"/>
  <c r="F273" i="12" s="1"/>
  <c r="H273" i="12" s="1"/>
  <c r="F372" i="12"/>
  <c r="F287" i="12" l="1"/>
  <c r="F284" i="12"/>
  <c r="F286" i="12"/>
  <c r="F297" i="12"/>
  <c r="F619" i="12" l="1"/>
  <c r="H619" i="12" s="1"/>
  <c r="F615" i="12"/>
  <c r="H615" i="12" s="1"/>
  <c r="H614" i="12" l="1"/>
  <c r="F213" i="12"/>
  <c r="F233" i="12"/>
  <c r="H613" i="12" l="1"/>
  <c r="C26" i="13"/>
  <c r="C25" i="13" s="1"/>
  <c r="F371" i="12"/>
  <c r="F369" i="12" s="1"/>
  <c r="H369" i="12" l="1"/>
  <c r="F325" i="12"/>
  <c r="F324" i="12"/>
  <c r="F265" i="12"/>
  <c r="F205" i="12" l="1"/>
  <c r="F198" i="12"/>
  <c r="F598" i="12" l="1"/>
  <c r="F132" i="12"/>
  <c r="F124" i="12"/>
  <c r="F95" i="12"/>
  <c r="H95" i="12" s="1"/>
  <c r="F76" i="12"/>
  <c r="F67" i="12"/>
  <c r="F54" i="12"/>
  <c r="F48" i="12"/>
  <c r="F39" i="12"/>
  <c r="F30" i="12"/>
  <c r="F149" i="12"/>
  <c r="F599" i="12" l="1"/>
  <c r="F243" i="12"/>
  <c r="F432" i="12"/>
  <c r="F249" i="12"/>
  <c r="F220" i="12"/>
  <c r="F221" i="12"/>
  <c r="F214" i="12" l="1"/>
  <c r="F227" i="12"/>
  <c r="F133" i="12"/>
  <c r="F125" i="12"/>
  <c r="F434" i="12"/>
  <c r="F430" i="12" s="1"/>
  <c r="F90" i="12"/>
  <c r="H90" i="12" s="1"/>
  <c r="F85" i="12"/>
  <c r="H85" i="12" s="1"/>
  <c r="F244" i="12" l="1"/>
  <c r="F250" i="12"/>
  <c r="F215" i="12"/>
  <c r="F228" i="12"/>
  <c r="H39" i="12"/>
  <c r="F157" i="12"/>
  <c r="F156" i="12"/>
  <c r="F154" i="12"/>
  <c r="F590" i="12"/>
  <c r="F245" i="12"/>
  <c r="F251" i="12"/>
  <c r="H430" i="12"/>
  <c r="F153" i="12"/>
  <c r="F155" i="12"/>
  <c r="F222" i="12"/>
  <c r="F216" i="12"/>
  <c r="F229" i="12"/>
  <c r="F152" i="12"/>
  <c r="F246" i="12"/>
  <c r="H76" i="12"/>
  <c r="F62" i="12"/>
  <c r="H62" i="12" s="1"/>
  <c r="H54" i="12"/>
  <c r="H48" i="12"/>
  <c r="H30" i="12"/>
  <c r="F223" i="12"/>
  <c r="F217" i="12"/>
  <c r="F218" i="12"/>
  <c r="F161" i="12"/>
  <c r="F270" i="12"/>
  <c r="H67" i="12"/>
  <c r="F211" i="12" l="1"/>
  <c r="H29" i="12"/>
  <c r="C11" i="13" s="1"/>
  <c r="F321" i="12"/>
  <c r="F199" i="12"/>
  <c r="F210" i="12"/>
  <c r="F533" i="12" l="1"/>
  <c r="H533" i="12" s="1"/>
  <c r="F296" i="12" l="1"/>
  <c r="F295" i="12" s="1"/>
  <c r="F285" i="12"/>
  <c r="F278" i="12" s="1"/>
  <c r="H295" i="12" l="1"/>
  <c r="F313" i="12"/>
  <c r="F312" i="12" s="1"/>
  <c r="F24" i="12"/>
  <c r="F26" i="12"/>
  <c r="F25" i="12" s="1"/>
  <c r="H25" i="12" s="1"/>
  <c r="F18" i="12"/>
  <c r="F204" i="12"/>
  <c r="F197" i="12"/>
  <c r="F23" i="12"/>
  <c r="F17" i="12"/>
  <c r="F409" i="12" l="1"/>
  <c r="F401" i="12" s="1"/>
  <c r="F28" i="12"/>
  <c r="F203" i="12"/>
  <c r="F196" i="12"/>
  <c r="F20" i="12"/>
  <c r="F16" i="12"/>
  <c r="F27" i="12" l="1"/>
  <c r="H27" i="12" s="1"/>
  <c r="H278" i="12"/>
  <c r="F444" i="12" l="1"/>
  <c r="F382" i="12" l="1"/>
  <c r="H382" i="12" l="1"/>
  <c r="F329" i="12" l="1"/>
  <c r="F328" i="12"/>
  <c r="F455" i="12"/>
  <c r="F418" i="12"/>
  <c r="F420" i="12" s="1"/>
  <c r="F422" i="12" s="1"/>
  <c r="H422" i="12" s="1"/>
  <c r="F322" i="12" l="1"/>
  <c r="H322" i="12" s="1"/>
  <c r="F421" i="12"/>
  <c r="H421" i="12" s="1"/>
  <c r="F423" i="12"/>
  <c r="H423" i="12" s="1"/>
  <c r="H420" i="12"/>
  <c r="G418" i="12" l="1"/>
  <c r="H418" i="12" s="1"/>
  <c r="F553" i="12" l="1"/>
  <c r="F554" i="12"/>
  <c r="F552" i="12"/>
  <c r="F551" i="12"/>
  <c r="F550" i="12"/>
  <c r="F549" i="12" l="1"/>
  <c r="F547" i="12"/>
  <c r="F546" i="12"/>
  <c r="F113" i="12"/>
  <c r="F110" i="12"/>
  <c r="F106" i="12"/>
  <c r="F544" i="12" l="1"/>
  <c r="H544" i="12" s="1"/>
  <c r="F103" i="12"/>
  <c r="F543" i="12"/>
  <c r="F542" i="12"/>
  <c r="F260" i="12"/>
  <c r="F541" i="12"/>
  <c r="F540" i="12"/>
  <c r="F539" i="12"/>
  <c r="F558" i="12"/>
  <c r="F557" i="12" s="1"/>
  <c r="H557" i="12" s="1"/>
  <c r="F581" i="12"/>
  <c r="F579" i="12" s="1"/>
  <c r="H579" i="12" s="1"/>
  <c r="F535" i="12"/>
  <c r="H535" i="12" s="1"/>
  <c r="F556" i="12"/>
  <c r="F555" i="12" s="1"/>
  <c r="H555" i="12" s="1"/>
  <c r="F530" i="12"/>
  <c r="F529" i="12" s="1"/>
  <c r="H529" i="12" s="1"/>
  <c r="F559" i="12"/>
  <c r="H559" i="12" s="1"/>
  <c r="F564" i="12"/>
  <c r="F563" i="12" s="1"/>
  <c r="H563" i="12" s="1"/>
  <c r="F562" i="12"/>
  <c r="F561" i="12" s="1"/>
  <c r="H561" i="12" s="1"/>
  <c r="F532" i="12"/>
  <c r="F531" i="12" s="1"/>
  <c r="H531" i="12" s="1"/>
  <c r="F565" i="12"/>
  <c r="H565" i="12" s="1"/>
  <c r="F511" i="12"/>
  <c r="H511" i="12" s="1"/>
  <c r="F537" i="12" l="1"/>
  <c r="H537" i="12" s="1"/>
  <c r="H528" i="12" s="1"/>
  <c r="C20" i="13" s="1"/>
  <c r="F208" i="12"/>
  <c r="H208" i="12" s="1"/>
  <c r="F569" i="12" l="1"/>
  <c r="H569" i="12" s="1"/>
  <c r="F517" i="12"/>
  <c r="H517" i="12" s="1"/>
  <c r="F571" i="12"/>
  <c r="H571" i="12" s="1"/>
  <c r="H568" i="12" l="1"/>
  <c r="C21" i="13" s="1"/>
  <c r="F176" i="12"/>
  <c r="F524" i="12"/>
  <c r="F523" i="12" l="1"/>
  <c r="F589" i="12" l="1"/>
  <c r="F522" i="12"/>
  <c r="F241" i="12" l="1"/>
  <c r="F588" i="12"/>
  <c r="F521" i="12"/>
  <c r="F519" i="12" s="1"/>
  <c r="H159" i="12"/>
  <c r="F609" i="12" l="1"/>
  <c r="F602" i="12"/>
  <c r="F591" i="12"/>
  <c r="F475" i="12"/>
  <c r="F463" i="12"/>
  <c r="F392" i="12"/>
  <c r="F320" i="12"/>
  <c r="F240" i="12"/>
  <c r="F230" i="12"/>
  <c r="F170" i="12"/>
  <c r="F194" i="12"/>
  <c r="H162" i="12" l="1"/>
  <c r="F160" i="12"/>
  <c r="H165" i="12"/>
  <c r="H164" i="12"/>
  <c r="H163" i="12"/>
  <c r="F136" i="12"/>
  <c r="F128" i="12"/>
  <c r="F326" i="12"/>
  <c r="H326" i="12" s="1"/>
  <c r="F608" i="12"/>
  <c r="F601" i="12"/>
  <c r="F193" i="12"/>
  <c r="F192" i="12" s="1"/>
  <c r="H192" i="12" s="1"/>
  <c r="F319" i="12"/>
  <c r="F317" i="12"/>
  <c r="F318" i="12"/>
  <c r="F316" i="12"/>
  <c r="F485" i="12"/>
  <c r="F470" i="12"/>
  <c r="F494" i="12"/>
  <c r="F391" i="12"/>
  <c r="F269" i="12"/>
  <c r="F239" i="12"/>
  <c r="F314" i="12" l="1"/>
  <c r="G160" i="12"/>
  <c r="H160" i="12" s="1"/>
  <c r="H312" i="12"/>
  <c r="F135" i="12" l="1"/>
  <c r="F127" i="12"/>
  <c r="F607" i="12"/>
  <c r="F600" i="12"/>
  <c r="F390" i="12"/>
  <c r="F237" i="12"/>
  <c r="F238" i="12"/>
  <c r="F169" i="12"/>
  <c r="F258" i="12"/>
  <c r="F255" i="12"/>
  <c r="F254" i="12"/>
  <c r="F151" i="12"/>
  <c r="F268" i="12"/>
  <c r="F525" i="12"/>
  <c r="H525" i="12" s="1"/>
  <c r="H241" i="12" l="1"/>
  <c r="F247" i="12"/>
  <c r="H247" i="12" s="1"/>
  <c r="F253" i="12"/>
  <c r="H519" i="12"/>
  <c r="H516" i="12" s="1"/>
  <c r="C19" i="13" s="1"/>
  <c r="F490" i="12" l="1"/>
  <c r="F134" i="12"/>
  <c r="F126" i="12"/>
  <c r="F389" i="12"/>
  <c r="F586" i="12" l="1"/>
  <c r="F592" i="12"/>
  <c r="H592" i="12" s="1"/>
  <c r="F606" i="12"/>
  <c r="F236" i="12"/>
  <c r="F234" i="12" s="1"/>
  <c r="F150" i="12"/>
  <c r="F148" i="12" s="1"/>
  <c r="H586" i="12" l="1"/>
  <c r="H585" i="12" s="1"/>
  <c r="C24" i="13" s="1"/>
  <c r="F266" i="12"/>
  <c r="F267" i="12"/>
  <c r="H485" i="12" l="1"/>
  <c r="H470" i="12"/>
  <c r="H490" i="12"/>
  <c r="F482" i="12"/>
  <c r="H482" i="12" s="1"/>
  <c r="F507" i="12"/>
  <c r="F388" i="12" l="1"/>
  <c r="F386" i="12" s="1"/>
  <c r="F202" i="12"/>
  <c r="F22" i="12"/>
  <c r="F14" i="12"/>
  <c r="F513" i="12"/>
  <c r="H513" i="12" s="1"/>
  <c r="H507" i="12"/>
  <c r="F459" i="12"/>
  <c r="H459" i="12" s="1"/>
  <c r="H458" i="12"/>
  <c r="H455" i="12"/>
  <c r="F452" i="12"/>
  <c r="H452" i="12" s="1"/>
  <c r="F448" i="12"/>
  <c r="H448" i="12" s="1"/>
  <c r="H447" i="12"/>
  <c r="H444" i="12"/>
  <c r="F441" i="12"/>
  <c r="H441" i="12" s="1"/>
  <c r="F394" i="12"/>
  <c r="H394" i="12" s="1"/>
  <c r="F578" i="12"/>
  <c r="F577" i="12"/>
  <c r="F257" i="12"/>
  <c r="F582" i="12"/>
  <c r="H582" i="12" s="1"/>
  <c r="F168" i="12"/>
  <c r="H168" i="12" s="1"/>
  <c r="F191" i="12"/>
  <c r="F190" i="12" s="1"/>
  <c r="H190" i="12" s="1"/>
  <c r="F575" i="12" l="1"/>
  <c r="H575" i="12" s="1"/>
  <c r="H574" i="12" s="1"/>
  <c r="C22" i="13" s="1"/>
  <c r="H314" i="12"/>
  <c r="H386" i="12"/>
  <c r="H451" i="12"/>
  <c r="C16" i="13" s="1"/>
  <c r="H506" i="12"/>
  <c r="C18" i="13" s="1"/>
  <c r="H440" i="12"/>
  <c r="H393" i="12"/>
  <c r="C15" i="13" l="1"/>
  <c r="F259" i="12"/>
  <c r="F261" i="12"/>
  <c r="F19" i="12"/>
  <c r="F256" i="12" l="1"/>
  <c r="F21" i="12"/>
  <c r="H21" i="12" s="1"/>
  <c r="H19" i="12"/>
  <c r="F403" i="12"/>
  <c r="F404" i="12" s="1"/>
  <c r="H404" i="12" s="1"/>
  <c r="H22" i="12"/>
  <c r="H14" i="12" l="1"/>
  <c r="H403" i="12" l="1"/>
  <c r="F405" i="12"/>
  <c r="H13" i="12"/>
  <c r="H12" i="12"/>
  <c r="H11" i="12"/>
  <c r="H10" i="12"/>
  <c r="F503" i="12"/>
  <c r="H503" i="12" s="1"/>
  <c r="F500" i="12"/>
  <c r="H500" i="12" s="1"/>
  <c r="H494" i="12"/>
  <c r="H475" i="12"/>
  <c r="H463" i="12"/>
  <c r="F183" i="12"/>
  <c r="F231" i="12"/>
  <c r="H231" i="12" s="1"/>
  <c r="F195" i="12"/>
  <c r="H9" i="12" l="1"/>
  <c r="C10" i="13" s="1"/>
  <c r="F406" i="12"/>
  <c r="H405" i="12"/>
  <c r="H462" i="12"/>
  <c r="H234" i="12"/>
  <c r="F605" i="12"/>
  <c r="F603" i="12" s="1"/>
  <c r="F596" i="12"/>
  <c r="F610" i="12"/>
  <c r="H610" i="12" s="1"/>
  <c r="C17" i="13" l="1"/>
  <c r="H603" i="12"/>
  <c r="H406" i="12"/>
  <c r="F407" i="12"/>
  <c r="H596" i="12"/>
  <c r="H211" i="12"/>
  <c r="F226" i="12"/>
  <c r="F224" i="12" s="1"/>
  <c r="H224" i="12" l="1"/>
  <c r="H595" i="12"/>
  <c r="F408" i="12"/>
  <c r="H408" i="12" s="1"/>
  <c r="H407" i="12"/>
  <c r="C23" i="13" l="1"/>
  <c r="H439" i="12"/>
  <c r="G401" i="12"/>
  <c r="H401" i="12" s="1"/>
  <c r="H202" i="12"/>
  <c r="H195" i="12"/>
  <c r="F130" i="12"/>
  <c r="F120" i="12"/>
  <c r="F264" i="12" l="1"/>
  <c r="H256" i="12"/>
  <c r="H253" i="12"/>
  <c r="H158" i="12"/>
  <c r="H157" i="12"/>
  <c r="H183" i="12"/>
  <c r="H176" i="12"/>
  <c r="H170" i="12"/>
  <c r="H147" i="12"/>
  <c r="G148" i="12" l="1"/>
  <c r="H148" i="12" s="1"/>
  <c r="H264" i="12"/>
  <c r="H146" i="12"/>
  <c r="F143" i="12"/>
  <c r="F142" i="12" s="1"/>
  <c r="H145" i="12"/>
  <c r="H144" i="12"/>
  <c r="F426" i="12"/>
  <c r="F428" i="12" s="1"/>
  <c r="H428" i="12" s="1"/>
  <c r="F424" i="12"/>
  <c r="F412" i="12"/>
  <c r="H141" i="12"/>
  <c r="H140" i="12"/>
  <c r="F139" i="12"/>
  <c r="F138" i="12" s="1"/>
  <c r="F118" i="12"/>
  <c r="F116" i="12"/>
  <c r="F115" i="12" s="1"/>
  <c r="F111" i="12"/>
  <c r="F104" i="12"/>
  <c r="F414" i="12" l="1"/>
  <c r="H414" i="12" s="1"/>
  <c r="G138" i="12"/>
  <c r="H138" i="12" s="1"/>
  <c r="G142" i="12"/>
  <c r="H142" i="12" s="1"/>
  <c r="F429" i="12"/>
  <c r="H429" i="12" s="1"/>
  <c r="F427" i="12"/>
  <c r="H427" i="12" s="1"/>
  <c r="H426" i="12"/>
  <c r="F417" i="12" l="1"/>
  <c r="H417" i="12" s="1"/>
  <c r="F416" i="12"/>
  <c r="H416" i="12" s="1"/>
  <c r="F415" i="12"/>
  <c r="H415" i="12" s="1"/>
  <c r="G424" i="12"/>
  <c r="H424" i="12" s="1"/>
  <c r="G412" i="12" l="1"/>
  <c r="H412" i="12" s="1"/>
  <c r="F117" i="12"/>
  <c r="H117" i="12" s="1"/>
  <c r="F112" i="12"/>
  <c r="H112" i="12" s="1"/>
  <c r="F105" i="12"/>
  <c r="H105" i="12" s="1"/>
  <c r="H119" i="12"/>
  <c r="F109" i="12" l="1"/>
  <c r="F114" i="12" s="1"/>
  <c r="H120" i="12"/>
  <c r="H130" i="12"/>
  <c r="F101" i="12"/>
  <c r="F108" i="12" s="1"/>
  <c r="F107" i="12" s="1"/>
  <c r="H107" i="12" s="1"/>
  <c r="H115" i="12"/>
  <c r="H101" i="12" l="1"/>
  <c r="H114" i="12"/>
  <c r="H109" i="12"/>
  <c r="C12" i="13" l="1"/>
  <c r="C14" i="13"/>
  <c r="F437" i="12"/>
  <c r="H437" i="12" s="1"/>
  <c r="H436" i="12"/>
  <c r="H435" i="12" l="1"/>
  <c r="H8" i="12" s="1"/>
  <c r="H622" i="12" s="1"/>
  <c r="C13" i="13" l="1"/>
  <c r="C9" i="13" l="1"/>
  <c r="C27" i="13" s="1"/>
  <c r="H624" i="12" l="1"/>
</calcChain>
</file>

<file path=xl/sharedStrings.xml><?xml version="1.0" encoding="utf-8"?>
<sst xmlns="http://schemas.openxmlformats.org/spreadsheetml/2006/main" count="1176" uniqueCount="657">
  <si>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</si>
  <si>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</si>
  <si>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</si>
  <si>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</si>
  <si>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</si>
  <si>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</si>
  <si>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</si>
  <si>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</si>
  <si>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</si>
  <si>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</si>
  <si>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</si>
  <si>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</si>
  <si>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</si>
  <si>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</si>
  <si>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</si>
  <si>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</si>
  <si>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</si>
  <si>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</si>
  <si>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</si>
  <si>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</si>
  <si>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</si>
  <si>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</si>
  <si>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</si>
  <si>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</si>
  <si>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</si>
  <si>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</si>
  <si>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</si>
  <si>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</si>
  <si>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</si>
  <si>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</si>
  <si>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</si>
  <si>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</si>
  <si>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</si>
  <si>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JKSO: 801.12.1.1</t>
  </si>
  <si>
    <t>t</t>
  </si>
  <si>
    <t>998</t>
  </si>
  <si>
    <t>Zemní práce</t>
  </si>
  <si>
    <t>PSV</t>
  </si>
  <si>
    <t>Práce a dodávky PSV</t>
  </si>
  <si>
    <t>941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</si>
  <si>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</si>
  <si>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</si>
  <si>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</si>
  <si>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</si>
  <si>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944</t>
  </si>
  <si>
    <t>Montáž záchytné stříšky š přes 2,5 m</t>
  </si>
  <si>
    <t>m</t>
  </si>
  <si>
    <t>Demontáž záchytné stříšky š přes 2,5 m</t>
  </si>
  <si>
    <t>D+M+Dmt Lešení pomocné pracovní pro objekty pozemních staveb, výška lešeňové podlahy přes 1,9m do 3,5m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</si>
  <si>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</si>
  <si>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</si>
  <si>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</si>
  <si>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</si>
  <si>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</si>
  <si>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</si>
  <si>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</si>
  <si>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Podlahy povlakové</t>
  </si>
  <si>
    <t>REKAPITULACE</t>
  </si>
  <si>
    <t>Kód</t>
  </si>
  <si>
    <t xml:space="preserve">Cena celkem                       </t>
  </si>
  <si>
    <t>Konstrukce tesařské</t>
  </si>
  <si>
    <t>Konstrukce klempířské</t>
  </si>
  <si>
    <t>Konstrukce pokrývačské</t>
  </si>
  <si>
    <t>Stavba:   Stavební úpravy objektu Gayerových kasáren vč. přístavby, Opletalova 334/2, Hradec Králové</t>
  </si>
  <si>
    <t>Objekt:   D.1.1. ASŘ - BOURACÍ PRÁCE</t>
  </si>
  <si>
    <t>D.1.1. ASŘ - BOURACÍ PRÁCE</t>
  </si>
  <si>
    <t>D.1.1. ASŘ - BOURACÍ PRÁCE - CELKEM</t>
  </si>
  <si>
    <t>Montáž lešení řadového trubkového lehkého s podlahami zatížení do 200 kg/m2 š do 1,2 m v do 25 m</t>
  </si>
  <si>
    <t>CS ÚRS 2018 01</t>
  </si>
  <si>
    <t>Příplatek k lešení řadovému trubkovému lehkému s podlahami š 1,2 m v 25 m za první a ZKD den použití</t>
  </si>
  <si>
    <t>Demontáž lešení řadového trubkového lehkého s podlahami zatížení do 200 kg/m2 š do 1,2 m v do 25 m</t>
  </si>
  <si>
    <t>(6,4+1,0*1+26,1+1,0*2+6,4+1,0*1)*(18,56+0,52)</t>
  </si>
  <si>
    <t>2,5*2</t>
  </si>
  <si>
    <t>" Pronájem stříšky - odhad 6 měsíců. " 5*6*30</t>
  </si>
  <si>
    <t xml:space="preserve">" Vnitřní lešení 2.PP " </t>
  </si>
  <si>
    <t xml:space="preserve">" Čistý úklid 2.PP " </t>
  </si>
  <si>
    <t>Přesun hmot pro budovy zděné v do 36 m</t>
  </si>
  <si>
    <t>95299901 SPC</t>
  </si>
  <si>
    <t>" Odstranění stropní konstrukce v 2.PP " 4,25*3,5*2+3,5*1,9</t>
  </si>
  <si>
    <t xml:space="preserve">" Odstranění slzičkového plechu - 36,4m2 " </t>
  </si>
  <si>
    <t xml:space="preserve">" Odstranění válcovaných nosníků - 73,5m " </t>
  </si>
  <si>
    <t>Vybourání ocelové stropní konstrukce - Specifikace dle PD</t>
  </si>
  <si>
    <t>978</t>
  </si>
  <si>
    <t>97899932 SPC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</si>
  <si>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</si>
  <si>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Naložení suti "</t>
  </si>
  <si>
    <t>" Odvoz suti "</t>
  </si>
  <si>
    <t>" Poplatek za uložení suti "</t>
  </si>
  <si>
    <t>97899933 SPC</t>
  </si>
  <si>
    <t>97899934 SPC</t>
  </si>
  <si>
    <t>Náklady spojené s odvozem a uložením suti - kov</t>
  </si>
  <si>
    <t>95299902 SPC</t>
  </si>
  <si>
    <t>Vybourání ocelového schodiště - Specifikace dle PD</t>
  </si>
  <si>
    <t>" Odstranění schodiště v 2.PP " 3,9*2</t>
  </si>
  <si>
    <t xml:space="preserve">" Odstranění slzičkového plechu - 14,6m2 " </t>
  </si>
  <si>
    <t xml:space="preserve">" Odstranění válcovaných nosníků a výztuh - 26,9m " </t>
  </si>
  <si>
    <t xml:space="preserve">" Odstranění zábradlí - 14,6m " </t>
  </si>
  <si>
    <t>962</t>
  </si>
  <si>
    <t>Bourání příček z cihel pálených na MVC tl do 100 mm</t>
  </si>
  <si>
    <t>Bourání příček z cihel pálených na MVC tl do 150 mm</t>
  </si>
  <si>
    <t>Bourání zdiva z cihel pálených nebo vápenopískových na MC přes 1 m3</t>
  </si>
  <si>
    <t>" Bourání příček 1.PP "</t>
  </si>
  <si>
    <t>95299903 SPC</t>
  </si>
  <si>
    <t xml:space="preserve">CS ÚRS/TEO 2018 01 </t>
  </si>
  <si>
    <t>967</t>
  </si>
  <si>
    <t>Přisekání rovných ostění v cihelném zdivu na MC</t>
  </si>
  <si>
    <t>013</t>
  </si>
  <si>
    <t>968062356 RTO</t>
  </si>
  <si>
    <t>Vybourání rámů oken dvojitých - kastllíkových - Specifikace dle PD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</si>
  <si>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</si>
  <si>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>968072456 RTO</t>
  </si>
  <si>
    <t>" V položce zahrnuto vyvěšení dřevěných nebo kovových dveřních křídel, odstranění prahů, vybourání kovových zárubní. V ceně nutné přisekání ostění. "</t>
  </si>
  <si>
    <t>Vybourání kovových dveřních zárubní a rámů - Specifikace dle PD</t>
  </si>
  <si>
    <t>964999201 SPC</t>
  </si>
  <si>
    <t>Odstranění podkladních vrstev podlah na požadovanou výškovou úroveň - Specifikace dle PD</t>
  </si>
  <si>
    <t>964999202 SPC</t>
  </si>
  <si>
    <t>" Odstranění základové desky, hydroizolace, ochranných mazanin, podsypů a odkopu zeminy na požadovanou úroveň apod. "</t>
  </si>
  <si>
    <t>Odstranění základové desky včetně podkladních vrstev - Specifikace dle PD</t>
  </si>
  <si>
    <t xml:space="preserve">" Odstranění nášlapné vrstvy z keramické dlažby " </t>
  </si>
  <si>
    <t>" 1.PP " 38,43+19,70+17,25+29,22+17,02+44,87+37,41+37,28+39,33+89,59+232,14</t>
  </si>
  <si>
    <t>Bourání podkladů pod dlažby nebo mazanin betonových nebo z litého asfaltu tl do 100 mm pl přes 4 m2</t>
  </si>
  <si>
    <t xml:space="preserve">" Bourání maltového lože pod dlažbou " </t>
  </si>
  <si>
    <t>776</t>
  </si>
  <si>
    <t xml:space="preserve">Demontáž lepených povlakových podlah s podložkou ručně </t>
  </si>
  <si>
    <t>" Odstranění nášlapné vrstvy podlah z PVC "</t>
  </si>
  <si>
    <t>HZS</t>
  </si>
  <si>
    <t>HZS2492</t>
  </si>
  <si>
    <t>Hodinová zúčtovací sazba pomocný dělník PSV</t>
  </si>
  <si>
    <t xml:space="preserve">" Stavební práce a dodávky spojené s provedením funkčního celku 776 " </t>
  </si>
  <si>
    <t xml:space="preserve">" Ostatní náklady na demontáž, odstranění apod. mj.s vazbou na stávající okolní konstrukce " </t>
  </si>
  <si>
    <t>Odstranění soklíků a lišt pryžových nebo plastových</t>
  </si>
  <si>
    <t>" Odstranění lišt.  "</t>
  </si>
  <si>
    <t>" 1.PP " 6,57*2+9,95*2+3,12*2+2,4*2</t>
  </si>
  <si>
    <t>Odsekání soklíků rovných</t>
  </si>
  <si>
    <t>Bourání podlah z dlaždic betonových, teracových nebo čedičových tl do 30 mm plochy přes 1 m2</t>
  </si>
  <si>
    <t xml:space="preserve">" Odstranění nášlapné vrstvy z teracové dlažby " </t>
  </si>
  <si>
    <t>725</t>
  </si>
  <si>
    <t>Zdravotechnika - zařizovací předměty</t>
  </si>
  <si>
    <t>721</t>
  </si>
  <si>
    <t>725110811 RTO</t>
  </si>
  <si>
    <t>Demontáž klozetu splachovacího s nádrží nebo tlakovým splachovačem - Specifikace dle PD</t>
  </si>
  <si>
    <t>kus</t>
  </si>
  <si>
    <t>" Demontáž včetně splachovací nádržky/tlakového splachovače, výtokových armatur, rohových ventilů, konzol, připojovacího potrubí, tvarovek, armatur a veškerého příslušenství. Cena včetně zaslepení stávajícího potrubí a zapravení povrchových úprav "</t>
  </si>
  <si>
    <t>725210821 RTO</t>
  </si>
  <si>
    <t>Demontáž umyvadla - Specifikace dle PD</t>
  </si>
  <si>
    <t>" Demontáž včetně výtokových armatur, baterií, sifonu, rohových ventilů, konzol, připojovacího potrubí, tvarovek, armatur a veškerého příslušenství. Cena včetně zaslepení stávajícího potrubí a zapravení povrchových úprav. "</t>
  </si>
  <si>
    <t>725330820 RTO</t>
  </si>
  <si>
    <t>Demontáž stojící výlevky - Specifikace dle PD</t>
  </si>
  <si>
    <t>" Demontáž včetně mříže, výtokových armatur, rohových ventilů, konzol, připojovacího potrubí, tvarovek, armatur a veškerého příslušenství. Cena včetně zaslepení stávajícího potrubí a zapravení povrchových úprav. "</t>
  </si>
  <si>
    <t>725999701 SPC</t>
  </si>
  <si>
    <t>Odstranění zařizovacích předmětů, vnitřního vybavení a technologie - Specifikace dle PD</t>
  </si>
  <si>
    <t>sada</t>
  </si>
  <si>
    <t xml:space="preserve">" Stavební práce a dodávky spojené s provedením funkčního celku 725 " </t>
  </si>
  <si>
    <t>" 1.PP "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</si>
  <si>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</si>
  <si>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</si>
  <si>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</si>
  <si>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</si>
  <si>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Dočasné zajištění potrubí ocelového nebo litinového DN do 200</t>
  </si>
  <si>
    <t>119001421</t>
  </si>
  <si>
    <t>Dočasné zajištění kabelů a kabelových tratí ze 3 volně ložených kabelů</t>
  </si>
  <si>
    <t xml:space="preserve">" Výkop zeminy pod podlahou v místnostech objektu " </t>
  </si>
  <si>
    <t>Vykopávky v uzavřených prostorách v hornině tř. 1 až 4</t>
  </si>
  <si>
    <t>Svislé přemístění výkopku nošením svisle do v 3 m v hornině tř. 1 až 4</t>
  </si>
  <si>
    <t>97899947 SPC</t>
  </si>
  <si>
    <t>" V položce zahrnuto naložení, odvoz sypaniny z uzavřených prostor, složení a rozprostření sypaniny, hrubé terénní úpravy, likvidace v souladu se zákonem č. 185/2001 Sb., o odpadech, dle technologie a místa určené zhotovitelem, včetně poplatků za uložení sypaniny "</t>
  </si>
  <si>
    <t xml:space="preserve">Náklady spojené s odvozem a uložením sypaniny z uzavřených prostor </t>
  </si>
  <si>
    <t>" Naložení zeminy "</t>
  </si>
  <si>
    <t>" Odvoz zeminy "</t>
  </si>
  <si>
    <t>" Rozprostření zeminy v místě dovozu "</t>
  </si>
  <si>
    <t>" Poplatek za uložení sypaniny "</t>
  </si>
  <si>
    <t>" Hrubé terénní úpravy v místě dovozu "</t>
  </si>
  <si>
    <t>" Vodorovné přemístění zeminy objektem "</t>
  </si>
  <si>
    <t>Zřízení příložného pažení stěn výkopu hl do 4 m</t>
  </si>
  <si>
    <t>Odstranění příložného pažení stěn hl do 4 m</t>
  </si>
  <si>
    <t>" Vybourání oken 4.NP " 1,19*1,99*8+0,970*1,99*6+1,19*2,38*2</t>
  </si>
  <si>
    <t>" Vybourání oken 2.NP " 1,19*2,36*78+0,97*2,36*6</t>
  </si>
  <si>
    <t>978999104 SPC</t>
  </si>
  <si>
    <t>D+M Dočasná ochrana, zakrytí, zajištění, úprava, případná demontáž a zpětná montáž stávajících konstrukcí a prvků během výstavby - Specifikace dle PD</t>
  </si>
  <si>
    <t>Bourání kamenných schodišťových stupňů zhotovených na místě</t>
  </si>
  <si>
    <t>" Bourání kamenného schodiště u vstupu do objektu " 4,4+4,0+3,4+0,8*2+0,5*2+0,2*2</t>
  </si>
  <si>
    <t>Bourání základů z betonu prostého</t>
  </si>
  <si>
    <t>Konstrukce zámečnické</t>
  </si>
  <si>
    <t>767</t>
  </si>
  <si>
    <t xml:space="preserve">" Stavební práce a dodávky spojené s provedením funkčního celku 767 " </t>
  </si>
  <si>
    <t xml:space="preserve">" Ostatní náklady na demontáž, odstranění apod. mj.s vazbou na stávající okolní konstrukce "  </t>
  </si>
  <si>
    <t>Demontáž mříží pevných nebo otevíravých</t>
  </si>
  <si>
    <t>" Vybourání oken 1.PP " 1,16*1,31*47+1,16*1,3*4+0,880*1,31*4+1,16*1,12*3+1,16*1,27*2+1,16*1,12*2+1,3*2,93</t>
  </si>
  <si>
    <t>" 1.PP " 1,16*1,31*47+1,16*1,3*4+0,880*1,31*4+1,16*1,12*3+1,16*1,27*2+1,16*1,12*2+1,3*2,93</t>
  </si>
  <si>
    <t>" 1.NP " 1,19*2,36*76+1,0*2,36*4+0,970*2,36*2</t>
  </si>
  <si>
    <t>975</t>
  </si>
  <si>
    <t>" Dočasné podepření stropu při bourání vnitřní stěn, cena včetně demontáže. "</t>
  </si>
  <si>
    <t>Demontáž, úprava a zpětná montáž prvků na fasádě - Specifikace dle PD</t>
  </si>
  <si>
    <t>" Demontáž a případná úprava, očištění, nátěr a zpětná montáž prvků na fasádě - osvětlení, větracích mřížek, revizních dvířek, plechových sříní, vypínačů, zvonků, telekomunikačního zařízení, kamerového systému, čidel, záchytných konzol, držáků, čistících rohoží, pamětní desky, apod."</t>
  </si>
  <si>
    <t xml:space="preserve">" Zpětné připevnění na fasádu pomocí systémových prvků, šroubovacích hmoždinek nebo chemických kotev přes systémové podložky " </t>
  </si>
  <si>
    <t>Zdravotechnika - vnitřní kanalizace</t>
  </si>
  <si>
    <t>721999101 SPC</t>
  </si>
  <si>
    <t>Odstranění stávajících rozvodů splaškové/dešťové kanalizace, včetně zapravení prostupů - Specifikace dle PD</t>
  </si>
  <si>
    <t>" Součástí ceny je odkrytí potrubí, odpojení, vypuštění a demontáž, demontáž připojovacího potrubí a veškerého příslušenství. V ceně také zapravení prostupů, zdiva a povrchových úprav. "</t>
  </si>
  <si>
    <t>721999102 SPC</t>
  </si>
  <si>
    <t>Odstranění kanalizačních armatur, tvarovek, podlahových vpustí a příslušenství kanalizace - Specifikace dle PD</t>
  </si>
  <si>
    <t>999721001 SPC</t>
  </si>
  <si>
    <t>D+M Požární ucpávky stávajícího funkčního potrubí - Specifikace dle PBŘ</t>
  </si>
  <si>
    <t>HZS2211</t>
  </si>
  <si>
    <t>Hodinová zúčtovací sazba instalatér</t>
  </si>
  <si>
    <t xml:space="preserve">"Stavební práce a dodávky spojené s provedením funkčního celku 721" </t>
  </si>
  <si>
    <t xml:space="preserve">"Ostatní náklady na demontáž, odstranění apod. mj.s vazbou na stávající okolní konstrukce" </t>
  </si>
  <si>
    <t>722</t>
  </si>
  <si>
    <t>Zdravotechnika - vnitřní vodovod</t>
  </si>
  <si>
    <t>722999101 SPC</t>
  </si>
  <si>
    <t>Odstranění stávajících rozvodů vody (teplé, studené, cirkulační, požární), včetně zapravení prostupů - Specifikace dle PD</t>
  </si>
  <si>
    <t>722999102 SPC</t>
  </si>
  <si>
    <t>999722001 SPC</t>
  </si>
  <si>
    <t xml:space="preserve">"Stavební práce a dodávky spojené s provedením funkčního celku 722" </t>
  </si>
  <si>
    <t>Elektromontážní práce</t>
  </si>
  <si>
    <t>741</t>
  </si>
  <si>
    <t>741999101 SPC</t>
  </si>
  <si>
    <t>" V ceně zapravení prostupů, zdiva, povrchových úprav a podlah do původního stavu. "</t>
  </si>
  <si>
    <t>HZS2221</t>
  </si>
  <si>
    <t>Hodinová zúčtovací sazba elektrikář</t>
  </si>
  <si>
    <t>" Stavební práce a dodávky spojené s provedením funkčního celku 741 "</t>
  </si>
  <si>
    <t>Odsekání a odebrání obkladů stěn z vnitřních obkládaček plochy přes 1 m2</t>
  </si>
  <si>
    <t>" Odstranění keramických obkladů stěn "</t>
  </si>
  <si>
    <t>" 1.PP " 2,5*4+(3,13*2+5,52)*2,0</t>
  </si>
  <si>
    <t>Demontáž svítidel, skříní elektro, úprava stávající elektroinstalace včetně zapravení prostupů a drážek - Specifikace dle PD</t>
  </si>
  <si>
    <t>" Odstranění svítidel, elektro skříní včetně vystrojení, úprava stávající elektroinstalace, ukončení kabelů apod. "</t>
  </si>
  <si>
    <t>Demontáž vany - Specifikace dle PD</t>
  </si>
  <si>
    <t>725220842 RTO</t>
  </si>
  <si>
    <t>" 1.NP "</t>
  </si>
  <si>
    <t>" Demontáž včetně výtokových armatur, rohových ventilů, konzol, připojovacího potrubí, tvarovek, armatur a veškerého příslušenství. Cena včetně zaslepení stávajícího potrubí a zapravení povrchových úprav. "</t>
  </si>
  <si>
    <t>725310821 RTO</t>
  </si>
  <si>
    <t>Demontáž dřezu jednoduchého - Specifikace dle PD</t>
  </si>
  <si>
    <t>725122813 RTO</t>
  </si>
  <si>
    <t>Demontáž pisoáru - Specifikace dle PD</t>
  </si>
  <si>
    <t>Demontáž kabin sprchových včetně vaničky - Specifikace dle PD</t>
  </si>
  <si>
    <t>" Demontáž včetně výtokových armatur, rohových ventilů, konzol, připojovacího potrubí, tvarovek, armatur a veškerého příslušenství. Cena včetně zaslepení stávajícího potrubí a zapravení povrchových úprav "</t>
  </si>
  <si>
    <t>" Demontáž včetně vanničky, zástěny, sifonu, výtokových armatur, rohových ventilů, konzol, připojovacího potrubí, tvarovek, armatur a veškerého příslušenství. Cena včetně zaslepení stávajícího potrubí a zapravení povrchových úprav. "</t>
  </si>
  <si>
    <t>" Vybourání dveří 1.NP "  1,0*2,02*29+0,9*2,02*7+2,4*2,24*2+0,89*1,09+0,7*2,02*5+1,55*2,02*2+1,2*2,15</t>
  </si>
  <si>
    <t>" Vybourání vstupních dveří 1.PP " 2,0*3,42</t>
  </si>
  <si>
    <t>" Bourání příček 1.NP "</t>
  </si>
  <si>
    <t xml:space="preserve">" Bourání zdiva 1.NP " </t>
  </si>
  <si>
    <t>" Odstranění stropu nad 1.NP " 50,3+50,3</t>
  </si>
  <si>
    <t>" 1.PP " 6,13*2+6,01*2+5,52*2+3,11*2+6,41*2+2,75*2+5,52*4+5,12*2+3,13*2+6,43*2+6,75*2+6,06*2+5,69*2+6,06*2+5,73*2+6,06*2+5,99*2+6,0*3+6,22+13,19+14,82+19,66*2+12,84*2+1,1*6+0,91*6+11,92*2+1,58*2+18,4*2+2,5*2+24,75*2+2,57*2+20,23*2+2,7*2+13,29*2+3,24*2</t>
  </si>
  <si>
    <t xml:space="preserve">" Odstranění soklíků u keramické dlažby " </t>
  </si>
  <si>
    <t>" 1.NP " 6,1*2+10,5*2+6,1*2+5,9*2+2,9*2+6,1*2+6,1*2+13,5*2+6,2+6,5*2+6,4*2+6,2+6,2*2+3,4*2+6,2*2+2,5*2+6,2*2+5,8*2+6,2*2+5,9*2+6,5*2+3,5*2+6,5*2+3,2*2+6,6*2+4,9*2+6,6*2+4,8*2+6,5*2+3,2*2+6,5*2+3,4*2+6,2+6,0*2+5,8*2+6,2+2,5*2+6,2+3,4*2+6,2+6,1+7,0*2+6,3+6,1+7,7+19,8+16,4+13,3+12,9</t>
  </si>
  <si>
    <t>Podlahy skládané</t>
  </si>
  <si>
    <t>775</t>
  </si>
  <si>
    <t xml:space="preserve">" Stavební práce a dodávky spojené s provedením funkčního celku 775 " </t>
  </si>
  <si>
    <t>Demontáž podlah vlysových přibíjených bez lišt</t>
  </si>
  <si>
    <t>" Odstranění nášlapné vrstvy podlah z vlysů "</t>
  </si>
  <si>
    <t>" 1.NP " 2,5*4+(3,14*2+5,52+5,44*2+5,57)*2,0</t>
  </si>
  <si>
    <t>Víceřadové podchycení stropů pro osazení nosníků v do 3,5 m pro zatížení do 1500 kg/m2</t>
  </si>
  <si>
    <t>" Čistý úklid 2.NP " 42,51+42,36+21,94+16,74+36,28+279,09+104,98+105,75+40,28+23,38+21,99+33,67+6,9+4,53+6,38+31,64+34,63+7,1+13,31+10,59+2,82+2,54+12,36+32,82+22,13+23,38+38,69+37,71+16,75+22,24+41,86+49,62+120,99+109,13</t>
  </si>
  <si>
    <t>" 2.NP "</t>
  </si>
  <si>
    <t>Demontáž hydrantů, vodovodních armatur, tvarovek a příslušenství vodovodu - Specifikace dle PD</t>
  </si>
  <si>
    <t>" Odstranění hydrantových skřínívčetně vystrojení a zapravení / doplnění zdiva, odstranění armatur a tvarovek na vodovodním potrubí. "</t>
  </si>
  <si>
    <t>" Součástí ceny je odkrytí potrubí, odpojení, vypuštění a demontáž, demontáž potrubí včetně tepelné izolace a veškerého příslušenství. V ceně také zapravení prostupů, zdiva a povrchových úprav. "</t>
  </si>
  <si>
    <t>762</t>
  </si>
  <si>
    <t xml:space="preserve">" Stavební práce a dodávky spojené s provedením funkčního celku 762 " </t>
  </si>
  <si>
    <t>965</t>
  </si>
  <si>
    <t>Odstranění násypů pod podlahami tl přes 200 mm</t>
  </si>
  <si>
    <t>" 2.NP " 109,13*0,300</t>
  </si>
  <si>
    <t>" Vybourání dveří 2.NP "  1,0*2,02*27+0,9*2,02*6+0,890*1,09+1,55*2,02*2+2,63*2,23*2+0,7*2,02*5</t>
  </si>
  <si>
    <t>" Odstranění stropu nad 2.NP " 50,3+50,5</t>
  </si>
  <si>
    <t xml:space="preserve">" Odstranění oplocení kolem schodiště z pletiva - 23,5m2 " </t>
  </si>
  <si>
    <t>" Přisekání ostění u odstraňovaných oken v 1.PP " 1,2*0,51*2*2+3,0*0,51*2</t>
  </si>
  <si>
    <t>" Přisekání ostění u odstraňovaných oken v 1.NP " 2,4*0,51*2*2</t>
  </si>
  <si>
    <t>" Vybourání oken 1.NP " 1,19*2,36*76+1,0*2,36*4+0,970*2,36*2+1,19*2,36*2</t>
  </si>
  <si>
    <t>" Bourání příček 2.NP "</t>
  </si>
  <si>
    <t xml:space="preserve">" Bourání zdiva 2.NP " </t>
  </si>
  <si>
    <t>" 2.NP " 3,2+13,1*2+0,5+0,25+0,64*2+0,1+0,085+18,8*2+2,7*2+9,4*2+2,7*2+5,8*2+2,7*2+30,3*2+2,7*2+13,5+14,3+3,3+3,4+5,6*2+3,2*2+5,4*2+5,6*2+5,4*2+3,3*2</t>
  </si>
  <si>
    <t>" 1.NP " 3,2+13,1*2+0,5+0,25+0,64*2+0,1+0,085+18,8*2+2,7*2+9,4*2+2,7*2+5,8*2+2,7*2+30,3*2+2,7*2+13,5+14,3+3,3+3,4+5,6*2+3,2*2+5,4*2+5,6*2+5,4*2+3,3*2</t>
  </si>
  <si>
    <t>" 2.NP " (5,57*2+5,4*2+3,3*2)*2,0</t>
  </si>
  <si>
    <t>" Odstranění stávajících okenních mříží "</t>
  </si>
  <si>
    <t>" 2.NP " 42,36+21,94+16,74+36,28+104,98+105,75+40,28+23,38+21,99+33,67+32,82+22,13+23,38+38,69+37,71+22,24+41,86+49,62+120,99+109,13</t>
  </si>
  <si>
    <t>" 2.NP " 42,51+16,75</t>
  </si>
  <si>
    <t>" 2.NP " 6,4*2+6,5*2+6,4*2+2,5*2</t>
  </si>
  <si>
    <t>" Čistý úklid 3.NP " 42,72+42,14+21,91+17,02+37,81+38,34+287,08+105,56+105,51+22,42+21,92+34,23+32,98+21,65+22,47+5,86+12,04+15,59+16,37+33,92+17,92+2,9+10,53+2,89+2,81+13,83+39,21+38,11+16,81+22,52+91,84+121,11+108,70</t>
  </si>
  <si>
    <t>" Bourání příček 3.NP "</t>
  </si>
  <si>
    <t xml:space="preserve">" Bourání zdiva 3.NP " </t>
  </si>
  <si>
    <t>" Bourání podkladu pod sch. stupni a základu rušeného schodiště před vstupem " 3,8*(0,300+0,800)</t>
  </si>
  <si>
    <t>" 2.NP " 279,09+6,9+4,53+6,38+31,64+34,63+2,49*0,150*26+7,1+13,31+10,59+2,82+2,54+12,36</t>
  </si>
  <si>
    <t>" 1.NP " 268,13+19,0+31,97+33,27+2,49*0,149*13+2,49*0,159*13+10,77+2,8+2,55+6,46+7,11</t>
  </si>
  <si>
    <t>" 3.NP " 287,08+22,42+22,47+5,86+12,04+17,92+2,9+10,53+2,89+2,81+13,83</t>
  </si>
  <si>
    <t>JKSO: 801.46.1.3</t>
  </si>
  <si>
    <t>" 3.NP " 3,2+13,1*2+0,5+0,25+0,64*2+0,1+0,085+18,8*2+2,7*2+9,4*2+2,7*2+5,8*2+2,7*2+30,3*2+2,7*2+13,5+14,3+3,3+3,4+6,7*2+3,4*2+6,7*2+3,4*2+3,4*2+5,8+0,6*4+5,8*2+9,2*2</t>
  </si>
  <si>
    <t>" Vybourání dveří 3.NP "  1,0*2,02*25+1,55*2,04+0,9*2,02*5+1,55*2,02*2+0,7*2,02*6+0,890*1,090+0,9*1,97+2,64*2,24*2</t>
  </si>
  <si>
    <t>" 3.NP " (5,74*2+5,4*2+3,4*2)*2,0</t>
  </si>
  <si>
    <t>" 3.NP "</t>
  </si>
  <si>
    <t>Demontáž podlah s polštáři z prken nebo fošen tloušťky přes 32 mm</t>
  </si>
  <si>
    <t>" 1.PP " 6,1+6,5+6,8*2+2,0*6+2,2*1+3,2*1+3,0*1</t>
  </si>
  <si>
    <t>" 1.NP " 6,2*3+5,6*2+2,0*2+3,2*1</t>
  </si>
  <si>
    <t>" 2.NP " 6,4*4+5,6*2+2,0*3</t>
  </si>
  <si>
    <t>" 3.NP " 6,4*6+6,8*2+5,8*2+2,0*3+2,7*1+3,7*1</t>
  </si>
  <si>
    <t>963</t>
  </si>
  <si>
    <t>Bourání ŽB schodišťových ramen monolitických samonosných</t>
  </si>
  <si>
    <t>" 3.NP " 42,72+42,14+21,91+17,02+37,81+38,34+105,56+105,51+34,23+21,65+39,21+38,11+16,81+22,52+91,84+121,11+108,70</t>
  </si>
  <si>
    <t>" 3.NP " 21,92+32,98</t>
  </si>
  <si>
    <t>" 3.NP " 6,7*2+3,2*2+4,7*2+6,8*2</t>
  </si>
  <si>
    <t>976</t>
  </si>
  <si>
    <t>Vybourání kovových madel a zábradlí</t>
  </si>
  <si>
    <t>" Odstranění zábradlí / madel u bouraného schodiště. "</t>
  </si>
  <si>
    <t>" Vnitřní lešení 2.NP " 42,51+42,36+21,94+16,74+36,28+279,09+104,98+105,75+40,28+23,38+21,99+33,67+6,9+4,53+6,38+31,64+34,63+7,1+13,31+10,59+2,82+2,54+12,36+32,82+22,13+23,38+38,69+37,71+16,75+22,24+41,86+49,62+120,99+109,13</t>
  </si>
  <si>
    <t>" Vnitřní lešení 3.NP " 42,72+42,14+21,91+17,02+37,81+38,34+287,08+105,56+105,51+22,42+21,92+34,23+32,98+21,65+22,47+5,86+12,04+15,59+16,37+33,92+17,92+2,9+10,53+2,89+2,81+13,83+39,21+38,11+16,81+22,52+91,84+121,11+108,70</t>
  </si>
  <si>
    <t>" Vnitřní lešení 4.NP " 22,19+22,02+18,85+33,77+18,51+21,53+22,16+73,18+8,67+3,96+5,12+33,51+36,99+53,74</t>
  </si>
  <si>
    <t>" Čistý úklid 4.NP " 22,19+22,02+18,85+33,77+18,51+21,53+22,16+73,18+8,67+3,96+5,12+33,51+36,99+53,74</t>
  </si>
  <si>
    <t>95299904 SPC</t>
  </si>
  <si>
    <t>Vybourání dřevěného trámového stropu - Specifikace dle PD</t>
  </si>
  <si>
    <t>" Odstranění podkladních vrstev jako tepelné izolace, hydroizolace, podkladní mazaniny, roznášecí vrstvy, maltového lože apod. "</t>
  </si>
  <si>
    <t>" Odstranění stávajících prkenných podlah pro odebrání násypu. "</t>
  </si>
  <si>
    <t>" Bourání vnitřního schodiště včetně mezipodest  - 3.NP " 3,8*1,54*4+3,4*1,5*2</t>
  </si>
  <si>
    <t>" Bourání vnitřního schodiště včetně mezipodest  - 4.NP " 3,8*1,54*4+3,4*1,5*2</t>
  </si>
  <si>
    <t>" Bourání příček 4.NP "</t>
  </si>
  <si>
    <t xml:space="preserve">" Bourání zdiva 4.NP " </t>
  </si>
  <si>
    <t>" 4.NP " 8,67+3,96+5,12</t>
  </si>
  <si>
    <t>" 4.NP " 5,8+3,5*2</t>
  </si>
  <si>
    <t>" Vybourání dveří 4.NP "  1,0*2,02*13+0,9*2,02*3+0,7*2,02*3+0,89*1,09</t>
  </si>
  <si>
    <t>" 4.NP " 6,6+5,8+2,0*2+2,2+3,2</t>
  </si>
  <si>
    <t>" 4.NP " (5,8+3,5*2)*2,0</t>
  </si>
  <si>
    <t>" 4.NP "</t>
  </si>
  <si>
    <t>" 4.NP " 22,02+18,85+33,77+18,51+21,53+33,51+36,99+53,74</t>
  </si>
  <si>
    <t>" 4.NP " 22,19+22,02+18,85+33,77+18,51+21,53+22,16+73,18+33,51+36,99+53,74</t>
  </si>
  <si>
    <t>" 4.NP " 2,96*2+24,8*2+5,4*2+6,0+6,1*2+6,0*2+9,2*2+6,0*2+3,4*2+6,9+3,2*2+6,7+2,8*2+6,8*2+4,9*2+6,8*2+2,7*2+6,8*2+3,2*2+6,8*2+3,5*2+6,8*2</t>
  </si>
  <si>
    <t xml:space="preserve">" Odstranění části násypů na klenbách - nové nášlapné vrstvy podlah " </t>
  </si>
  <si>
    <t>" 1.NP " 41,52+41,14+21,99+16,67+37,51+37,13+148,99+18,97+37,95+33,52+32,88+20,90+22,11+23,36+37,99+37,20+16,45+21,86+44,08+44,14+31,81+105,82</t>
  </si>
  <si>
    <t>" Bourání příček 5.NP - Krov "</t>
  </si>
  <si>
    <t xml:space="preserve">" Bourání zdiva 5.NP - Krov " </t>
  </si>
  <si>
    <t>765</t>
  </si>
  <si>
    <t>Demontáž krytiny keramické drážkové sklonu do 30° na sucho do suti</t>
  </si>
  <si>
    <t xml:space="preserve">" Stavební práce a dodávky spojené s provedením funkčního celku 765 " </t>
  </si>
  <si>
    <t>Demontáž laťování střech z latí osové vzdálenosti do 0,50 m</t>
  </si>
  <si>
    <t>" Odstranění stávající krytiny "</t>
  </si>
  <si>
    <t>" Odstranění laťování stávající krytiny "</t>
  </si>
  <si>
    <t>8</t>
  </si>
  <si>
    <t>" Čistý úklid 5.NP - Krov "</t>
  </si>
  <si>
    <t>Bourání podlah z cihel kladených na plocho pl přes 1 m2</t>
  </si>
  <si>
    <t xml:space="preserve">" Bourání dlažby " </t>
  </si>
  <si>
    <t>741999102 SPC</t>
  </si>
  <si>
    <t xml:space="preserve">" Stavební práce a dodávky spojené s provedením funkčního celku 764 " </t>
  </si>
  <si>
    <t>764</t>
  </si>
  <si>
    <t>Demontáž okapového plechu do suti v krytině skládané</t>
  </si>
  <si>
    <t>" Odstranění klempířských výrobků " 30,2+15,9+17,2+17,3+6,4+27,6+6,4+20,1+20,8+15,9+30,0+15,8+0,4+17,3+0,4+7,7+12,3+7,7+0,4+17,3+0,4+15,9+0,7*4</t>
  </si>
  <si>
    <t>Demontáž nástřešního žlabu do suti</t>
  </si>
  <si>
    <t>Demontáž svodu do suti</t>
  </si>
  <si>
    <t>" Odstranění klempířských výrobků " 17,0*11</t>
  </si>
  <si>
    <t>Demontáž lemování střešních prostupů do suti</t>
  </si>
  <si>
    <t>Demontáž lemování trub, konzol, držáků, ventilačních nástavců a jiných kusových prvků do suti</t>
  </si>
  <si>
    <t>" Odstranění klempířských výrobků - žlabových kotlíků "</t>
  </si>
  <si>
    <t>Demontáž úžlabí do suti</t>
  </si>
  <si>
    <t>" Odstranění klempířských výrobků " 11,2+9,4+10,2+10,4</t>
  </si>
  <si>
    <t>Demontáž komínových lávek - celé komínové lávky</t>
  </si>
  <si>
    <t>" V ceně odstranění zábradlí "</t>
  </si>
  <si>
    <t>Demontáž lemování zdí do suti</t>
  </si>
  <si>
    <t>" Odstranění klempířských výrobků " 7,4*4</t>
  </si>
  <si>
    <t>Demontáž oplechování horních ploch zdí a nadezdívek do suti</t>
  </si>
  <si>
    <t xml:space="preserve">" Odstranění klempířských výrobků " </t>
  </si>
  <si>
    <t>" Střecha " 14,3+2,1+24,1+11,7+8,2+11,7+25,7+2,3+16,1+3,3+3,8+1,3+3,9+3,7+1,7+1,7+0,8+1,2+4,4+2,3+1,7+1,2+1,1+1,6+0,6+2,2</t>
  </si>
  <si>
    <t>" Odstranění klempířských výrobků " (2,0*12,0+3,1+5,2+3,1+3,4+3,9+4,6+5,5+11,5+5,5+4,0+3,9+3,7+3,8+4,0+3,7+4,1+3,7+4,9+3,7+4,3+2,5+5,5+5,8+2,5+3,5+3,1+3,4+3,4+5,1+3,1)*0,400</t>
  </si>
  <si>
    <t>Demontáž oplechování parapetů do suti</t>
  </si>
  <si>
    <t>" Součástí ceny demontáže je také demontáž okenních křídel a vnitřních parapetů. "</t>
  </si>
  <si>
    <t>Demontáž oplechování říms a ozdobných prvků do suti</t>
  </si>
  <si>
    <t>" 1.PP " 1,16*58+1,3*1+0,88*4</t>
  </si>
  <si>
    <t>" 1.NP " 1,19*76+1,0*4+0,970*2+1,19*2</t>
  </si>
  <si>
    <t>" 2.NP " 1,19*78+0,97*6</t>
  </si>
  <si>
    <t>" 3.NP " 1,19*76+0,97*4</t>
  </si>
  <si>
    <t>" Vybourání oken 3.NP " 1,19*2,36*76+0,97*2,36*4</t>
  </si>
  <si>
    <t>" 4.NP " 1,19*8+0,970*6+1,19*2</t>
  </si>
  <si>
    <t>(92,4+1,0*2+28,7+1,0*2+14,4+1,0*2+20,7+1,0+21,4+18,7+17,2+1,0*1+14,5+1,0*2+28,7+1,0*2)*(14,71+0,52)</t>
  </si>
  <si>
    <t>" Pronájem lešení - odhad 6 měsíců. "  4910,83*6*30</t>
  </si>
  <si>
    <t>" Pronájem sítě - odhad 6 měsíců. " 4910,83*6*30</t>
  </si>
  <si>
    <t>(92,4+28,7+14,4+20,7+21,4+18,7+17,2+14,5+28,7)*3</t>
  </si>
  <si>
    <t xml:space="preserve">" Odstranění klempířských výrobků - hlavní římsy " </t>
  </si>
  <si>
    <t xml:space="preserve">" Odstranění klempířských výrobků - římsy nad okny " </t>
  </si>
  <si>
    <t>(6,4+26,1+6,4)*(3+1)</t>
  </si>
  <si>
    <t>(1,5+2,4)*24+2,2*6+3,8*3+2,6*3+3,5*3</t>
  </si>
  <si>
    <t>Odstranění původních jímacích zařízení, vedení, svodů a všech jejich součástí vedených na fasádě - Specifikace dle PD</t>
  </si>
  <si>
    <t>(1,5+2,4)*24+2,2*12+3,5*4</t>
  </si>
  <si>
    <t>(1,5+2,4)*8</t>
  </si>
  <si>
    <t>(1,5+2,4)*5</t>
  </si>
  <si>
    <t>725240812 RTO</t>
  </si>
  <si>
    <t>Náklady spojené s odvozem a uložením suti - dřevo, výrobky na bázi dřeva…</t>
  </si>
  <si>
    <t>Náklady spojené s odvozem a uložením suti - směsný stavební odpad (ŽB, PB, kámen, keramika, PVC a ostatní...)</t>
  </si>
  <si>
    <t>Podchycení schodů a podest oboustranně podepřených rovných v do 3,5 m pro zatížení do 1200 kg/m2</t>
  </si>
  <si>
    <t>" 3.NP " 3,8*4*2</t>
  </si>
  <si>
    <t>" 4.NP " 3,8*4*2</t>
  </si>
  <si>
    <t>" Vodorovné / svislé staveništní přemístění suti "</t>
  </si>
  <si>
    <t>Otlučení vnější vápenné nebo vápenocementové vnější omítky stupně členitosti 3 až 5  rozsahu do 100%</t>
  </si>
  <si>
    <t>" V ceně vyškrábání spár a očištění zdiva. "</t>
  </si>
  <si>
    <t xml:space="preserve">" Odstranění kanalizačních armatur, tvarovek, podlahových vpustí, odvodňovacích žlabů, lapačů střešních splavenin a příslušenství dešťové a splaškové kanalizace." </t>
  </si>
  <si>
    <t>973</t>
  </si>
  <si>
    <t>Vysekání kapes ve zdivu cihelném na MV nebo MVC pl do 0,10 m2 hl do 300 mm</t>
  </si>
  <si>
    <t>" Vytvoření kapes pro uložení nosníků schodiště v 2.PP. "</t>
  </si>
  <si>
    <t>" Výkop v 1.PP - dojezd výtahu " (1,85*3,05+4,25*3,7)*1,4</t>
  </si>
  <si>
    <t>" Zajištění výkopu zeminy pod podlahou v místnostech objektu - dojezd výtahu - 50% " (3,05+1,25+1,2+4,3+4,25+5,55)*1,4*0,50</t>
  </si>
  <si>
    <t>" Odstranění celé skladby podlahy - 1.PP - dojezd výtahu " 1,85*3,05+4,25*3,7</t>
  </si>
  <si>
    <t>" Odstranění základové desky - 1.PP - dojezd výtahu " 1,85*3,05+4,25*3,7</t>
  </si>
  <si>
    <t>Zásyp v uzavřených prostorech sypaninou se zhutněním</t>
  </si>
  <si>
    <t>" Zpětný zásyp kolem výtahové šachty " 29,91-(1,85*2,45+3,65*3,1)*1,4</t>
  </si>
  <si>
    <t>" Odvoz zeminy z výkopů pro výtahovou šachtu. " 29,91-7,72</t>
  </si>
  <si>
    <t>" Výkop v 1.PP - základ pod nosnou stěnou " 5,5*0,5*1,0</t>
  </si>
  <si>
    <t>" Vytažení výkopku z prostoru objektu " (1,85*3,05+4,25*3,7)*1,4+5,5*0,5*1,0</t>
  </si>
  <si>
    <t xml:space="preserve">" Odvoz zeminy z výkopů pro nový základ. " </t>
  </si>
  <si>
    <t>" Odstranění celé skladby podlahy - 1.PP - nový základ " 5,5*0,5</t>
  </si>
  <si>
    <t>" Odstranění základové desky - 1.PP - nový základ " 5,5*0,5</t>
  </si>
  <si>
    <t>" Výkop pro podbetonování základů " (4,5+5,0)*1,0*1,4</t>
  </si>
  <si>
    <t>Vytažení výkopku těženého z prostoru pod základy z hl do 2 m v hornině tř. 1 až 4</t>
  </si>
  <si>
    <t>" Vytažení výkopku pro podbetonování základů " (4,5+5,0)*1,0*1,4</t>
  </si>
  <si>
    <t xml:space="preserve">" Odvoz zeminy z výkopů pro podbetonování základů. " </t>
  </si>
  <si>
    <t>10</t>
  </si>
  <si>
    <t>Podpěrné dřevení při podezdívání základů tl do 1200 mm vyzdívka v do 2 m dl podchycení do 3 m</t>
  </si>
  <si>
    <t>" Dočasné podepření zdiva při podbetonování stávajících základů, cena včetně demontáže. " 4,5+5,0</t>
  </si>
  <si>
    <t>" Vytvoření kapes pro podchycení klenby stropu nad 1.PP. " 4,0+4,0</t>
  </si>
  <si>
    <t>Vysekání kapes ve zdivu cihelném na MV nebo MVC pl do 0,25 m2 hl do 300 mm</t>
  </si>
  <si>
    <t>Demontáž střešního výlezu do suti</t>
  </si>
  <si>
    <t xml:space="preserve">" Vnitřní lešení 5.NP - Krov " </t>
  </si>
  <si>
    <t>" 5.NP - Krov - pro bourání stropu " 17,1+53,1</t>
  </si>
  <si>
    <t>" Odstranění celé skladby podlahy - 5.NP - Krovu - bourání stropu nad 4.NP " 17,1+53,1</t>
  </si>
  <si>
    <t>" 5.NP - Krov " 5,8*4</t>
  </si>
  <si>
    <t>011</t>
  </si>
  <si>
    <t>"Včetně I profilů betonový podkladní kvádřík pro osazení nosníků , obetonování nosníků, výplň betonem mezi nosníky, bednění a podpůrné konstrukce."</t>
  </si>
  <si>
    <t>" Překlady včetně spojení nosníků při spodním povrchu pásovou ocelí a jejich vzájemného svaření. "</t>
  </si>
  <si>
    <t xml:space="preserve">" V ceně přesun hmot " </t>
  </si>
  <si>
    <t>Svislé a kompletní konstrukce</t>
  </si>
  <si>
    <t xml:space="preserve">D+M Ocelobetonový překlad s valcovanými nosníky, 4x I č. 160, dl. 2,70 m - Specifikace dle PD </t>
  </si>
  <si>
    <t xml:space="preserve">" Překlad - P01 - 4.NP " </t>
  </si>
  <si>
    <t xml:space="preserve">D+M Ocelobetonový překlad s valcovanými nosníky, 4x I č. 160, dl. 1,90 m - Specifikace dle PD </t>
  </si>
  <si>
    <t xml:space="preserve">" Překlad - P02 - 4.NP " </t>
  </si>
  <si>
    <t xml:space="preserve">D+M Ocelobetonový překlad s valcovanými nosníky, 4x I č. 100, dl. 1,40 m - Specifikace dle PD </t>
  </si>
  <si>
    <t xml:space="preserve">" Překlad - P06 - 4.NP " </t>
  </si>
  <si>
    <t>317999101 SPC</t>
  </si>
  <si>
    <t>317999102 SPC</t>
  </si>
  <si>
    <t>317999103 SPC</t>
  </si>
  <si>
    <t>317999104 SPC</t>
  </si>
  <si>
    <t xml:space="preserve">" Překlad - P07 - 4.NP " </t>
  </si>
  <si>
    <t xml:space="preserve">D+M Ocelobetonový překlad s valcovanými nosníky, 1x I č. 100, dl. 0,95 m - Specifikace dle PD </t>
  </si>
  <si>
    <t>" Odstranění stropu nad 4.NP " 17,1+53,1</t>
  </si>
  <si>
    <t xml:space="preserve">" Odstranění záklopu - 70,2m2 " </t>
  </si>
  <si>
    <t xml:space="preserve">" Odstranění násypu - tl. 300mm - 21,1m3 " </t>
  </si>
  <si>
    <t xml:space="preserve">" Odstranění dřevěných trámů - 83,0m " </t>
  </si>
  <si>
    <t>" 5.NP - Krov - pro bourání stropu " (17,1+53,1)*0,010</t>
  </si>
  <si>
    <t>" 4.NP " (8,67+3,96+5,12)*0,010</t>
  </si>
  <si>
    <t xml:space="preserve">" Bourání podkladní betonové mazaniny. " </t>
  </si>
  <si>
    <t>" 4.NP " (8,67+3,96+5,12+73,18)*0,050</t>
  </si>
  <si>
    <t>Bourání podlah z dlaždic keramických nebo xylolitových tl přes 10 mm plochy přes 1 m2</t>
  </si>
  <si>
    <t xml:space="preserve">" Překlad - P01 - 3.NP " </t>
  </si>
  <si>
    <t xml:space="preserve">" Překlad - P02 - 3.NP " </t>
  </si>
  <si>
    <t xml:space="preserve">D+M Ocelobetonový překlad s valcovanými nosníky, 4x I č. 140, dl. 2,10 m - Specifikace dle PD </t>
  </si>
  <si>
    <t xml:space="preserve">" Překlad - P03 - 3.NP " </t>
  </si>
  <si>
    <t xml:space="preserve">" Překlad - P04 - 3.NP " </t>
  </si>
  <si>
    <t xml:space="preserve">D+M Ocelobetonový překlad s valcovanými nosníky, 2x I č. 140, dl. 2,10 m - Specifikace dle PD </t>
  </si>
  <si>
    <t xml:space="preserve">" Překlad - P05 - 3.NP " </t>
  </si>
  <si>
    <t xml:space="preserve">D+M Ocelobetonový překlad s valcovanými nosníky, 4x I č. 140, dl. 1,95 m - Specifikace dle PD </t>
  </si>
  <si>
    <t xml:space="preserve">" Překlad - P06 - 3.NP " </t>
  </si>
  <si>
    <t xml:space="preserve">" Překlad - P07 - 3.NP " </t>
  </si>
  <si>
    <t>317999105 SPC</t>
  </si>
  <si>
    <t>317999106 SPC</t>
  </si>
  <si>
    <t>317999107 SPC</t>
  </si>
  <si>
    <t>" 4.NP " (22,02+18,85+33,77+18,51+21,53+73,18+8,67+3,96+5,12+33,51+36,99+53,74)*0,050</t>
  </si>
  <si>
    <t>" Odstranění stropu nad 3.NP " 53,1+52,8+21,0</t>
  </si>
  <si>
    <t xml:space="preserve">" Odstranění kompletních násypů na klenbách " </t>
  </si>
  <si>
    <t xml:space="preserve">" Odstranění části násypů na klenbách " </t>
  </si>
  <si>
    <t>Odstranění násypů pod podlahami tl do 100 mm pl přes 2 m2</t>
  </si>
  <si>
    <t>" 3.NP " (287,08+22,42+22,47+5,86+12,04+17,92+2,9+10,53+2,89+2,81+13,83)*0,010</t>
  </si>
  <si>
    <t>" 3.NP " (287,08+22,42+22,47+5,86+12,04+17,92+2,9+10,53+2,89+2,81+13,83+21,92+32,98+15,59+16,37)*0,050</t>
  </si>
  <si>
    <t>" Odstranění hl. podesty bouraného schodiště v 4.NP " 3,43*1,4*2</t>
  </si>
  <si>
    <t>" Odstranění hl. podesty bouraného schodiště v 3.NP " 3,43*1,42*2</t>
  </si>
  <si>
    <t>014</t>
  </si>
  <si>
    <t>Ruční dočištění ploch líce kleneb a podhledů ocelových kartáči</t>
  </si>
  <si>
    <t xml:space="preserve">" Očištění stávajících kleneb po odstranění celého násypu " </t>
  </si>
  <si>
    <t>" 3.NP " (42,72+42,14+21,91+17,02+37,81+38,34+105,56+91,84)*0,300</t>
  </si>
  <si>
    <t>" 3.NP " (287,08+105,51+21,92+34,23+32,98+21,65+5,86+12,04+15,59+16,37+17,92+2,9+10,53+2,89+2,81+13,83+39,21+38,11+16,81+22,52+121,11+108,70)*0,050</t>
  </si>
  <si>
    <t>" Odstranění vedl. podesty bouraného schodiště v 3.NP " 3,43*1,475*2</t>
  </si>
  <si>
    <t>" Odstranění vedl. podesty bouraného schodiště v 4.NP " 3,43*1,475*2</t>
  </si>
  <si>
    <t xml:space="preserve">" Odstranění násypu - tl. 300mm  - 139,3m3 " </t>
  </si>
  <si>
    <t xml:space="preserve">" Odstranění válcovaných nosníků - 270,5m " </t>
  </si>
  <si>
    <t xml:space="preserve">" Překlad - P01 - 2.NP " </t>
  </si>
  <si>
    <t xml:space="preserve">" Překlad - P02 - 2.NP " </t>
  </si>
  <si>
    <t xml:space="preserve">" Překlad - P04 - 2.NP " </t>
  </si>
  <si>
    <t xml:space="preserve">" Překlad - P06 - 2.NP " </t>
  </si>
  <si>
    <t xml:space="preserve">" Překlad - P07 - 2.NP " </t>
  </si>
  <si>
    <t>" 2.NP " (279,09+6,9+4,53+6,38+31,64+34,63+2,49*0,150*26+7,1+13,31+10,59+2,82+2,54+12,36)*0,010</t>
  </si>
  <si>
    <t>" 2.NP " (42,51+42,36+21,94+16,74+36,28+279,09+104,98+105,75+40,28+23,38+21,99+33,67+6,9+4,53+6,38+31,64+7,1+13,31+10,59+2,82+2,54+12,36+32,82+22,13+23,38+38,69+37,71+16,75+22,24+41,86+49,62+120,99)*0,050</t>
  </si>
  <si>
    <t xml:space="preserve">" Odstranění podbití včetně omítky - 70,2m2 " </t>
  </si>
  <si>
    <t xml:space="preserve">" Překlad - P01 - 1.NP " </t>
  </si>
  <si>
    <t xml:space="preserve">" Překlad - P04 - 1.NP " </t>
  </si>
  <si>
    <t xml:space="preserve">" Překlad - P06 - 1.NP " </t>
  </si>
  <si>
    <t xml:space="preserve">" Překlad - P07 - 1.NP " </t>
  </si>
  <si>
    <t>317999108 SPC</t>
  </si>
  <si>
    <t xml:space="preserve">" Překlad - P08 - 1.NP " </t>
  </si>
  <si>
    <t xml:space="preserve">D+M Ocelobetonový překlad s valcovanými nosníky, 2x I č. 100, dl. 1,4 m                                                - Specifikace dle PD </t>
  </si>
  <si>
    <t>317999109 SPC</t>
  </si>
  <si>
    <t xml:space="preserve">D+M Ocelobetonový překlad s valcovanými nosníky, 1x I č. 100, dl. 1,4 m                                              - Specifikace dle PD </t>
  </si>
  <si>
    <t xml:space="preserve">" Překlad - P09 - 1.NP " </t>
  </si>
  <si>
    <t>" 2.NP " 109,13</t>
  </si>
  <si>
    <t>" 3.NP " 42,72+42,14+21,91+17,02+37,81+38,34+105,56+91,84</t>
  </si>
  <si>
    <t>" Vnitřní lešení 1.NP " 41,52+41,14+21,99+16,67+37,51+268,13+37,13+148,99+18,97+37,95+23,60+21,58+33,52+32,88+19,0+31,97+33,27+20,89+10,77+2,8+2,55+6,46+7,11+22,11+23,36+37,99+37,2+16,45+21,86+44,08+44,14+43,50+41,86+31,81+105,82</t>
  </si>
  <si>
    <t>" Čistý úklid 1.NP " 41,52+41,14+21,99+16,67+37,51+268,13+37,13+148,99+18,97+37,95+23,60+21,58+33,52+32,88+19,0+31,97+33,27+20,89+10,77+2,8+2,55+6,46+7,11+22,11+23,36+37,99+37,2+16,45+21,86+44,08+44,14+43,50+41,86+31,81+105,82</t>
  </si>
  <si>
    <t>" 1.NP " (268,13+19,0+31,97+33,27+2,49*0,149*13+2,49*0,159*13+10,77+2,8+2,55+6,46+7,11)*0,010</t>
  </si>
  <si>
    <t>" 2.NP " (279,09+6,9+4,53+6,38+31,64+2,49*0,150*26+7,1+13,31+10,59+2,82+2,54+12,36+42,51+16,75)*0,050</t>
  </si>
  <si>
    <t>" 1.NP " (268,13+19,0+31,97+2,49*0,149*13+2,49*0,159*13+10,77+2,8+2,55+6,46+7,11+23,60+21,58+43,50+41,86)*0,050</t>
  </si>
  <si>
    <t>" 1.NP " (23,6+21,58+37,99+37,20+44,08+44,14+43,50+41,86+31,81+105,82)*0,300</t>
  </si>
  <si>
    <t>" 1.NP " 23,6+21,58+37,99+37,20+44,08+44,14+43,50+41,86+31,81+105,82</t>
  </si>
  <si>
    <t>" 1.NP " (41,52+41,14+21,99+16,67+37,51+268,13+37,13+148,99+18,97+37,95+33,52+32,88+19,0+31,97+20,89+10,77+2,8+2,55+6,46+7,11+22,11+23,36+16,45+21,86)*0,050</t>
  </si>
  <si>
    <t>" 1.NP " 41,52+41,14+21,99+16,67+37,51+37,13+148,99+18,97+37,95+33,52+32,88+20,89+22,11+23,36+37,99+37,20+16,45+21,86+44,08+44,14+31,81+105,82</t>
  </si>
  <si>
    <t>" 1.NP " 41,52+41,14+21,99+16,67+37,51+37,13+148,99+18,97+37,95+23,60+21,58+33,52+32,88+20,89+22,11+23,36+37,99+37,20+16,45+21,86+44,08+44,14+43,50+41,86+31,81+105,82</t>
  </si>
  <si>
    <t>" Odstranění stropu nad 1.PP " 48,1+48,2</t>
  </si>
  <si>
    <t xml:space="preserve">" Vybourání cihelné klenby včetně omítky - 464,18m2 " </t>
  </si>
  <si>
    <t xml:space="preserve">" Překlad - P02 - 1.NP " </t>
  </si>
  <si>
    <t xml:space="preserve">" Překlad - P01 - 1.PP " </t>
  </si>
  <si>
    <t xml:space="preserve">" Překlad - P02 - 1.PP " </t>
  </si>
  <si>
    <t xml:space="preserve">" Překlad - P03 - 1.PP " </t>
  </si>
  <si>
    <t xml:space="preserve">" Překlad - P04 - 1.PP " </t>
  </si>
  <si>
    <t xml:space="preserve">" Překlad - P06 - 1.PP " </t>
  </si>
  <si>
    <t xml:space="preserve">" Překlad - P07 - 1.PP " </t>
  </si>
  <si>
    <t>317999110 SPC</t>
  </si>
  <si>
    <t xml:space="preserve">" Překlad - P010 - 1.PP " </t>
  </si>
  <si>
    <t xml:space="preserve">D+M Ocelobetonový překlad s valcovanými nosníky, 1x I č. 140, dl. 2,1 m                                              - Specifikace dle PD </t>
  </si>
  <si>
    <t>" Vnitřní lešení 1.PP " 113,96+10,11+38,43+215,23+19,71+11,94+12,44+11,64+11,98+24,68+19,70+65,84+17,25+30,29+23,98+7,97+29,22+17,02+44,87+37,41+37,28+39,33+89,59+232,14</t>
  </si>
  <si>
    <t>" Čistý úklid 1.PP " 113,96+10,11+38,43+215,23+19,71+11,94+12,44+11,64+11,98+24,68+19,70+65,84+17,25+30,29+23,98+7,97+29,22+17,02+44,87+37,41+37,28+39,33+89,59+232,14</t>
  </si>
  <si>
    <t>" 1.PP " 65,84+7,97</t>
  </si>
  <si>
    <t xml:space="preserve">" Bourání zdiva 1.PP " </t>
  </si>
  <si>
    <t>" Odstranění celé skladby podlahy - 1.PP - nové svodné kanalizační potrubí " 113,9*1,0</t>
  </si>
  <si>
    <t>" Odstranění základové desky - 1.PP - nové svodné kanaliační potrubí " 113,9*1,0</t>
  </si>
  <si>
    <t>32a</t>
  </si>
  <si>
    <t>32b</t>
  </si>
  <si>
    <t>33a</t>
  </si>
  <si>
    <t>33b</t>
  </si>
  <si>
    <t>33c</t>
  </si>
  <si>
    <t>33d</t>
  </si>
  <si>
    <t>34a</t>
  </si>
  <si>
    <t>34b</t>
  </si>
  <si>
    <t>34c</t>
  </si>
  <si>
    <t>35a</t>
  </si>
  <si>
    <t>35b</t>
  </si>
  <si>
    <t>35c</t>
  </si>
  <si>
    <t>35d</t>
  </si>
  <si>
    <t>" Vybourání dveří 1.PP "  1,55*2,04*2+1,0*2,02*16+0,9*2,02*5+0,89*1,09+1,55*2,02*2+0,7*2,02*7+1,36*2,2*2+1,54*2,52*3</t>
  </si>
  <si>
    <t>" Dočasné podepření bouraných schodišť, cena včetně demontáže. "</t>
  </si>
  <si>
    <t>" 3.NP " 6,7*3,4*2</t>
  </si>
  <si>
    <t>" 4.NP " 6,7*3,4*2</t>
  </si>
  <si>
    <t>Otlučení (osekání) vnitřní vápenné nebo vápenocementové omítky stěn v rozsahu do 100 %</t>
  </si>
  <si>
    <t>" 1.PP " 215,23+19,71-18,54</t>
  </si>
  <si>
    <t>" 1.PP " (38,43+215,23+19,71-18,54+19,70+17,25+29,22+17,02+44,87+37,41+37,28+39,33+89,59)*0,010</t>
  </si>
  <si>
    <t>M</t>
  </si>
  <si>
    <t>Práce a dodávky M</t>
  </si>
  <si>
    <t>01-M</t>
  </si>
  <si>
    <t>Ostatní práce a dodávky</t>
  </si>
  <si>
    <t>330530207 RTO</t>
  </si>
  <si>
    <t>Demontáž výtahového stroje nákladního - Specifikace dle PD</t>
  </si>
  <si>
    <t xml:space="preserve">" Demontáž výtahu včetně dveří, souvisejících technologií a elektroinstalací, vybourání podstavce výtahového stroje, vybourání protiváhy, odstranění dosedů kabiny, vyčištění prohlubně šachty, průraz podlahou strojovny. " </t>
  </si>
  <si>
    <t xml:space="preserve">"Stavební práce a dodávky spojené s provedením funkčního celku M01" </t>
  </si>
  <si>
    <t xml:space="preserve">" 1PP - 4.NP " </t>
  </si>
  <si>
    <t>" Vytvoření kapes pro podchycení klenby stropu nad 1.NP. " 4,0+4,0</t>
  </si>
  <si>
    <t>" Vytvoření kapes pro nový strop nad 1.NP. " 16,0+12,0</t>
  </si>
  <si>
    <t>" Vytvoření kapes pro nový strop nad 1.PP. " 16,0+12,0</t>
  </si>
  <si>
    <t>" Otlučení stávající vnitřní omítky pro zajištění pilíře. "</t>
  </si>
  <si>
    <t>" 1.PP " (0,950*2+0,730*2)*3,5</t>
  </si>
  <si>
    <t>" 1.NP " (0,950*2+0,730*2)*3,6</t>
  </si>
  <si>
    <t>Vybourání stropu z klenby - Specifikace dle PD</t>
  </si>
  <si>
    <t>971</t>
  </si>
  <si>
    <t>Vybourání otvorů ve zdivu kamenném pl do 1 m2 na MV nebo MVC tl do 600 mm</t>
  </si>
  <si>
    <t>" Vytvoření kapes pro spojení nového základového pasu se stávajícími základy. " 0,5*1,0*0,250*2</t>
  </si>
  <si>
    <t>" Vytvoření otvorů v komínovém zdivu pro VZT potrubí 1.NP. "</t>
  </si>
  <si>
    <t>Jádrové vrty diamantovými korunkami do D 300 mm do stavebních materiálů</t>
  </si>
  <si>
    <t>" 1.PP " 0,8*2</t>
  </si>
  <si>
    <t>Jádrové vrty diamantovými korunkami do D 200 mm do stavebních materiálů</t>
  </si>
  <si>
    <t>" 1.NP " 0,8*2+0,65</t>
  </si>
  <si>
    <t>" 1.NP " 0,65*1+0,325*1</t>
  </si>
  <si>
    <t>" 2.NP " 0,775*1</t>
  </si>
  <si>
    <t>Jádrové vrty diamantovými korunkami do D 350 mm do stavebních materiálů</t>
  </si>
  <si>
    <t>" Vytvoření kapes pro nový strop nad 2.NP. " 16,0+12,0</t>
  </si>
  <si>
    <t>" Vytvoření kapes pro podchycení klenby stropu nad 2.NP. " 4,0+4,0+4,0+4,0</t>
  </si>
  <si>
    <t xml:space="preserve">" Vytvoření kapes pro nový kolejnicový systém nad 2.NP. " </t>
  </si>
  <si>
    <t>" Vytvoření kapes pro betonový podkládek nosníků podchycujících klenbu 1.PP. " 2,0+2,0</t>
  </si>
  <si>
    <t>" Vytvoření kapes pro betonový podkládek  nosníků podchycujících klenbu 1.NP. " 2,0+2,0</t>
  </si>
  <si>
    <t>" Vytvoření kapes pro betonový podkládek  nosníků podchycujících klenbu 2.NP. " 2,0+2,0+2,0+2,0</t>
  </si>
  <si>
    <t xml:space="preserve">" Strop nad 1.PP " </t>
  </si>
  <si>
    <t xml:space="preserve">" Strop nad 1.NP " </t>
  </si>
  <si>
    <t xml:space="preserve">" Strop nad 2.NP " </t>
  </si>
  <si>
    <t>" Vytvoření otvorů v komínovém zdivu pro VZT potrubí 2.NP. "</t>
  </si>
  <si>
    <t>D+M Úprava ostění a parapetu pro osazení okna - Specifikace dle PD</t>
  </si>
  <si>
    <t>" Vytvoření kapes pro nový strop nad 3.NP. " 15,0+12,0+16,0+8,0</t>
  </si>
  <si>
    <t>" Vytvoření kapes pro nový roštový systém nad 3.NP. " 10,0+20,0</t>
  </si>
  <si>
    <t xml:space="preserve">" Vytvoření kapes pro podchycení klenby stropu nad 3.NP. " </t>
  </si>
  <si>
    <t xml:space="preserve">" Vytvoření kapes pro betonový podkládek  nosníků podchycujících klenbu 3.NP. " </t>
  </si>
  <si>
    <t>" 2.NP " (0,950*2+0,730*2)*3,6</t>
  </si>
  <si>
    <t>" 3.NP " (0,950*2+0,730*2)*3,6</t>
  </si>
  <si>
    <t>2299,9+1543,7+445,9+459,6+264,2+315,3</t>
  </si>
  <si>
    <t>" Otlučení stávající vnější omítky. "</t>
  </si>
  <si>
    <t xml:space="preserve">" Úpravy v 4.NP. " </t>
  </si>
  <si>
    <t xml:space="preserve">" Úpravy v 3.NP. " </t>
  </si>
  <si>
    <t>Jádrové vrty diamantovými korunkami do D 250 mm do stavebních materiálů</t>
  </si>
  <si>
    <t>" 4.NP " 0,58+0,63</t>
  </si>
  <si>
    <t>" 4.NP " 0,64</t>
  </si>
  <si>
    <t>" Vytvoření kapes pro nový strop nad 4.NP. " 8,0+8,0+10,0+6,0</t>
  </si>
  <si>
    <t>" 4.NP " (0,950*2+0,730*2)*3,5</t>
  </si>
  <si>
    <t>" Otlučení stávající omítky na stropních nosnících kleneb - odhad 20% z plochy. "</t>
  </si>
  <si>
    <t>" 1.PP " (1390,22-112,54)*0,20</t>
  </si>
  <si>
    <t>" 1.NP " (1690,0-121,86)*0,20</t>
  </si>
  <si>
    <t>" 2.NP " (1729,33-117,8)*0,20</t>
  </si>
  <si>
    <t>" 3.NP " (1751,88-147,19)*0,20</t>
  </si>
  <si>
    <t>977</t>
  </si>
  <si>
    <t>Frézování hloubky do 30 mm komínového průduchu z cihel plných pálených</t>
  </si>
  <si>
    <t>" Frézování pro VZT. "</t>
  </si>
  <si>
    <t>Čištění budov vysátí prachu z ostatních ploch</t>
  </si>
  <si>
    <t>952</t>
  </si>
  <si>
    <t>" Vytvoření kapes pro zatažení věnce 1.PP. "</t>
  </si>
  <si>
    <t>" Vytvoření kapes pro zatažení věnce 1.NP. "</t>
  </si>
  <si>
    <t>" Vytvoření kapes pro zatažení věnce 2.NP. "</t>
  </si>
  <si>
    <t>" Vytvoření kapes pro zatažení věnce 3.NP. "</t>
  </si>
  <si>
    <t>" Vytvoření kapes pro zatažení věnce 4.NP. "</t>
  </si>
  <si>
    <t>" 1.NP " 13,0*27,9</t>
  </si>
  <si>
    <t>" 2.NP " 1,0*14,0</t>
  </si>
  <si>
    <t>" 4.NP " 23*6,2</t>
  </si>
  <si>
    <t>" 5.NP " 16*7,4</t>
  </si>
  <si>
    <t>" Vysátí suti z frézování komínů " 637,7*0,65</t>
  </si>
  <si>
    <t>Jádrové vrty diamantovými korunkami do D 100 mm do stavebních materiálů</t>
  </si>
  <si>
    <t>" Vytvoření prostupů pro příčníky u podchycování kleneb. "</t>
  </si>
  <si>
    <t>" 1.PP " 4,6+6,0</t>
  </si>
  <si>
    <t xml:space="preserve">" 1.NP " </t>
  </si>
  <si>
    <t xml:space="preserve">" 2.NP " </t>
  </si>
  <si>
    <t xml:space="preserve">" 3.NP " </t>
  </si>
  <si>
    <t xml:space="preserve">" 4.NP " </t>
  </si>
  <si>
    <t>Vysekání rýh ve zdivu cihelném hl do 50 mm š do 300 mm</t>
  </si>
  <si>
    <t>" Vysekání rýh pro osazení nosníků při podchycování kleneb. "</t>
  </si>
  <si>
    <t xml:space="preserve">" 1.PP " </t>
  </si>
  <si>
    <t>77a</t>
  </si>
  <si>
    <t>77b</t>
  </si>
  <si>
    <t>77c</t>
  </si>
  <si>
    <t>77d</t>
  </si>
  <si>
    <t>78a</t>
  </si>
  <si>
    <t>78b</t>
  </si>
  <si>
    <t>78c</t>
  </si>
  <si>
    <t>78d</t>
  </si>
  <si>
    <t>" Odstranění veškerých zařizovacích předmětů, technologického zařízení (modul pro ohřev vody, kotlů, zařízení sloužící pro ohřev TV, apod.), nábytku, kuchyňských linek, spotřebičů, nábytkových souprav apod. "</t>
  </si>
  <si>
    <t>" Vytvoření prostupů pro profese. "</t>
  </si>
  <si>
    <t>Jádrové vrty diamantovými korunkami do D 150 mm do stavebních materiálů</t>
  </si>
  <si>
    <t>" 1.PP " 0,49*1</t>
  </si>
  <si>
    <t>Vybourání otvorů ve zdivu cihelném pl do 4 m2 na MVC nebo MV tl do 900 mm</t>
  </si>
  <si>
    <t xml:space="preserve">" Vytvoření otvorů pro profese. " </t>
  </si>
  <si>
    <t>" 1.PP. " 1,1*1,29*0,86*3</t>
  </si>
  <si>
    <t>" 1.PP " 0,86*1</t>
  </si>
  <si>
    <t>" Vytvoření otvorů v komínovém zdivu pro VZT potrubí 4.NP. " 18,0+30,0</t>
  </si>
  <si>
    <t xml:space="preserve">" Vytvoření otvorů v komínovém zdivu pro VZT potrubí 5.NP. " </t>
  </si>
  <si>
    <t>77e</t>
  </si>
  <si>
    <t>77f</t>
  </si>
  <si>
    <t>79a</t>
  </si>
  <si>
    <t>79b</t>
  </si>
  <si>
    <t>79c</t>
  </si>
  <si>
    <t>79d</t>
  </si>
  <si>
    <t>80a</t>
  </si>
  <si>
    <t>80b</t>
  </si>
  <si>
    <t>80c</t>
  </si>
  <si>
    <t>80d</t>
  </si>
  <si>
    <t>82</t>
  </si>
  <si>
    <t>83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</si>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</sst>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4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sz val="8"/>
      <color rgb="FF0000FF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0"/>
      <name val="MS Sans Serif"/>
      <family val="2"/>
      <charset val="238"/>
    </font>
    <font>
      <sz val="8"/>
      <color indexed="12"/>
      <name val="Arial CE"/>
      <family val="2"/>
    </font>
    <font>
      <sz val="8"/>
      <name val="Trebuchet MS"/>
      <family val="2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</font>
    <font>
      <b/>
      <sz val="9"/>
      <color rgb="FFFF0000"/>
      <name val="Trebuchet MS"/>
      <family val="2"/>
      <charset val="238"/>
    </font>
    <font>
      <sz val="9"/>
      <color rgb="FFFF0000"/>
      <name val="Trebuchet MS"/>
      <family val="2"/>
    </font>
    <font>
      <b/>
      <sz val="11"/>
      <color rgb="FFFF0000"/>
      <name val="Trebuchet MS"/>
      <family val="2"/>
      <charset val="238"/>
    </font>
    <font>
      <b/>
      <sz val="14"/>
      <color rgb="FFFF0000"/>
      <name val="Trebuchet MS"/>
      <family val="2"/>
      <charset val="238"/>
    </font>
    <font>
      <sz val="8"/>
      <color indexed="10"/>
      <name val="Arial CE"/>
      <family val="2"/>
      <charset val="238"/>
    </font>
    <font>
      <sz val="12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b/>
      <sz val="8"/>
      <color rgb="FFFF000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222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4" fillId="2" borderId="2" xfId="0" applyNumberFormat="1" applyFont="1" applyFill="1" applyBorder="1" applyAlignment="1" applyProtection="1">
      <alignment horizontal="left" wrapText="1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2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164" fontId="8" fillId="2" borderId="2" xfId="0" applyNumberFormat="1" applyFont="1" applyFill="1" applyBorder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4" fontId="19" fillId="2" borderId="0" xfId="0" applyNumberFormat="1" applyFont="1" applyFill="1" applyAlignment="1" applyProtection="1">
      <alignment horizontal="right" vertical="top"/>
      <protection locked="0"/>
    </xf>
    <xf numFmtId="0" fontId="0" fillId="2" borderId="0" xfId="0" applyFill="1"/>
    <xf numFmtId="0" fontId="13" fillId="2" borderId="0" xfId="1" applyFont="1" applyFill="1" applyAlignment="1">
      <alignment vertical="center"/>
    </xf>
    <xf numFmtId="166" fontId="8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right" vertical="top"/>
      <protection locked="0"/>
    </xf>
    <xf numFmtId="4" fontId="19" fillId="0" borderId="0" xfId="0" applyNumberFormat="1" applyFont="1" applyFill="1" applyAlignment="1" applyProtection="1">
      <alignment horizontal="right" vertical="top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ill="1" applyAlignment="1" applyProtection="1">
      <alignment horizontal="right" vertical="top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49" fontId="8" fillId="2" borderId="2" xfId="0" applyNumberFormat="1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9" fillId="0" borderId="0" xfId="2" applyAlignment="1">
      <alignment vertical="top"/>
      <protection locked="0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2" fillId="0" borderId="2" xfId="2" applyFont="1" applyBorder="1" applyAlignment="1" applyProtection="1">
      <alignment horizontal="center" vertical="center"/>
    </xf>
    <xf numFmtId="0" fontId="22" fillId="0" borderId="2" xfId="2" applyFont="1" applyBorder="1" applyAlignment="1" applyProtection="1">
      <alignment horizontal="left" vertical="center"/>
    </xf>
    <xf numFmtId="166" fontId="22" fillId="0" borderId="2" xfId="2" applyNumberFormat="1" applyFont="1" applyBorder="1" applyAlignment="1" applyProtection="1">
      <alignment horizontal="right" vertical="center"/>
    </xf>
    <xf numFmtId="0" fontId="23" fillId="0" borderId="2" xfId="2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left" vertical="center"/>
    </xf>
    <xf numFmtId="166" fontId="23" fillId="0" borderId="2" xfId="2" applyNumberFormat="1" applyFont="1" applyBorder="1" applyAlignment="1" applyProtection="1">
      <alignment horizontal="right" vertical="center"/>
    </xf>
    <xf numFmtId="166" fontId="23" fillId="2" borderId="2" xfId="2" applyNumberFormat="1" applyFont="1" applyFill="1" applyBorder="1" applyAlignment="1" applyProtection="1">
      <alignment horizontal="right" vertical="center"/>
    </xf>
    <xf numFmtId="0" fontId="24" fillId="0" borderId="2" xfId="2" applyFont="1" applyBorder="1" applyAlignment="1" applyProtection="1">
      <alignment horizontal="center" vertical="center"/>
    </xf>
    <xf numFmtId="0" fontId="24" fillId="0" borderId="2" xfId="2" applyFont="1" applyBorder="1" applyAlignment="1" applyProtection="1">
      <alignment horizontal="left" vertical="center"/>
    </xf>
    <xf numFmtId="166" fontId="24" fillId="0" borderId="2" xfId="2" applyNumberFormat="1" applyFont="1" applyBorder="1" applyAlignment="1" applyProtection="1">
      <alignment horizontal="right" vertical="center"/>
    </xf>
    <xf numFmtId="0" fontId="25" fillId="0" borderId="2" xfId="2" applyFont="1" applyBorder="1" applyAlignment="1" applyProtection="1">
      <alignment horizontal="left" vertical="center"/>
    </xf>
    <xf numFmtId="0" fontId="26" fillId="0" borderId="2" xfId="2" applyFont="1" applyBorder="1" applyAlignment="1" applyProtection="1">
      <alignment horizontal="left" vertical="center"/>
    </xf>
    <xf numFmtId="166" fontId="26" fillId="0" borderId="2" xfId="2" applyNumberFormat="1" applyFont="1" applyBorder="1" applyAlignment="1" applyProtection="1">
      <alignment horizontal="right" vertical="center"/>
    </xf>
    <xf numFmtId="0" fontId="25" fillId="0" borderId="14" xfId="2" applyFont="1" applyBorder="1" applyAlignment="1" applyProtection="1">
      <alignment horizontal="left" vertical="center"/>
    </xf>
    <xf numFmtId="166" fontId="26" fillId="0" borderId="14" xfId="2" applyNumberFormat="1" applyFont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wrapText="1"/>
      <protection locked="0"/>
    </xf>
    <xf numFmtId="49" fontId="4" fillId="0" borderId="2" xfId="0" applyNumberFormat="1" applyFont="1" applyFill="1" applyBorder="1" applyAlignment="1" applyProtection="1">
      <alignment horizontal="left" wrapText="1"/>
      <protection locked="0"/>
    </xf>
    <xf numFmtId="164" fontId="21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/>
    <xf numFmtId="0" fontId="21" fillId="0" borderId="2" xfId="0" applyFont="1" applyFill="1" applyBorder="1" applyAlignment="1" applyProtection="1">
      <alignment horizontal="left" wrapText="1"/>
      <protection locked="0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2" fontId="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lef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49" fontId="8" fillId="0" borderId="2" xfId="0" applyNumberFormat="1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 wrapText="1"/>
      <protection locked="0"/>
    </xf>
    <xf numFmtId="2" fontId="0" fillId="0" borderId="0" xfId="0" applyNumberFormat="1" applyAlignment="1" applyProtection="1">
      <alignment horizontal="left" vertical="top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2" fontId="27" fillId="0" borderId="0" xfId="0" applyNumberFormat="1" applyFont="1" applyFill="1" applyAlignment="1" applyProtection="1">
      <alignment vertical="top"/>
      <protection locked="0"/>
    </xf>
    <xf numFmtId="0" fontId="27" fillId="0" borderId="0" xfId="0" applyFont="1" applyAlignment="1" applyProtection="1">
      <alignment horizontal="left" vertical="top"/>
      <protection locked="0"/>
    </xf>
    <xf numFmtId="2" fontId="27" fillId="0" borderId="0" xfId="0" applyNumberFormat="1" applyFont="1" applyAlignment="1" applyProtection="1">
      <alignment horizontal="left" vertical="top"/>
      <protection locked="0"/>
    </xf>
    <xf numFmtId="0" fontId="27" fillId="0" borderId="0" xfId="0" applyFont="1" applyAlignment="1" applyProtection="1">
      <alignment horizontal="right" vertical="top"/>
      <protection locked="0"/>
    </xf>
    <xf numFmtId="0" fontId="27" fillId="0" borderId="0" xfId="0" applyFont="1" applyFill="1" applyAlignment="1" applyProtection="1">
      <alignment vertical="top"/>
      <protection locked="0"/>
    </xf>
    <xf numFmtId="0" fontId="9" fillId="0" borderId="0" xfId="0" applyFont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vertical="top"/>
      <protection locked="0"/>
    </xf>
    <xf numFmtId="2" fontId="28" fillId="0" borderId="2" xfId="0" applyNumberFormat="1" applyFont="1" applyFill="1" applyBorder="1" applyAlignment="1" applyProtection="1">
      <alignment horizontal="right" wrapText="1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30" fillId="0" borderId="0" xfId="0" applyFont="1" applyFill="1" applyAlignment="1" applyProtection="1">
      <alignment horizontal="left" vertical="top"/>
      <protection locked="0"/>
    </xf>
    <xf numFmtId="0" fontId="31" fillId="0" borderId="0" xfId="0" applyFont="1" applyFill="1" applyAlignment="1" applyProtection="1">
      <alignment horizontal="left" vertical="top"/>
      <protection locked="0"/>
    </xf>
    <xf numFmtId="0" fontId="32" fillId="0" borderId="0" xfId="0" applyFont="1" applyFill="1" applyAlignment="1" applyProtection="1">
      <alignment horizontal="left" vertical="top"/>
      <protection locked="0"/>
    </xf>
    <xf numFmtId="0" fontId="33" fillId="0" borderId="0" xfId="0" applyFont="1" applyFill="1" applyAlignment="1" applyProtection="1">
      <alignment horizontal="left" vertical="top"/>
      <protection locked="0"/>
    </xf>
    <xf numFmtId="164" fontId="6" fillId="2" borderId="2" xfId="0" applyNumberFormat="1" applyFont="1" applyFill="1" applyBorder="1" applyAlignment="1" applyProtection="1">
      <alignment horizontal="right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165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right"/>
      <protection locked="0"/>
    </xf>
    <xf numFmtId="0" fontId="34" fillId="0" borderId="0" xfId="0" applyFont="1" applyFill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left" vertical="center"/>
      <protection locked="0"/>
    </xf>
    <xf numFmtId="164" fontId="21" fillId="2" borderId="2" xfId="0" applyNumberFormat="1" applyFont="1" applyFill="1" applyBorder="1" applyAlignment="1" applyProtection="1">
      <alignment horizontal="right"/>
      <protection locked="0"/>
    </xf>
    <xf numFmtId="0" fontId="21" fillId="2" borderId="2" xfId="0" applyFont="1" applyFill="1" applyBorder="1" applyAlignment="1" applyProtection="1">
      <alignment horizontal="left" wrapText="1"/>
      <protection locked="0"/>
    </xf>
    <xf numFmtId="0" fontId="37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17" applyFill="1" applyAlignment="1">
      <alignment horizontal="left" vertical="top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0" fontId="29" fillId="2" borderId="0" xfId="0" applyFont="1" applyFill="1" applyAlignment="1" applyProtection="1">
      <alignment horizontal="left" vertical="top"/>
      <protection locked="0"/>
    </xf>
    <xf numFmtId="2" fontId="7" fillId="2" borderId="2" xfId="0" applyNumberFormat="1" applyFont="1" applyFill="1" applyBorder="1" applyAlignment="1" applyProtection="1">
      <alignment horizontal="right" wrapText="1"/>
      <protection locked="0"/>
    </xf>
    <xf numFmtId="164" fontId="4" fillId="2" borderId="2" xfId="17" applyNumberFormat="1" applyFont="1" applyFill="1" applyBorder="1" applyAlignment="1">
      <alignment horizontal="right"/>
      <protection locked="0"/>
    </xf>
    <xf numFmtId="0" fontId="4" fillId="2" borderId="2" xfId="17" applyFont="1" applyFill="1" applyBorder="1" applyAlignment="1">
      <alignment horizontal="left" wrapText="1"/>
      <protection locked="0"/>
    </xf>
    <xf numFmtId="166" fontId="4" fillId="2" borderId="2" xfId="17" applyNumberFormat="1" applyFont="1" applyFill="1" applyBorder="1" applyAlignment="1">
      <alignment horizontal="center"/>
      <protection locked="0"/>
    </xf>
    <xf numFmtId="2" fontId="0" fillId="0" borderId="0" xfId="0" applyNumberFormat="1" applyFill="1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38" fillId="0" borderId="0" xfId="0" applyFont="1" applyFill="1" applyAlignment="1" applyProtection="1">
      <alignment horizontal="center" vertical="center"/>
      <protection locked="0"/>
    </xf>
    <xf numFmtId="0" fontId="40" fillId="0" borderId="0" xfId="2" applyFont="1" applyFill="1" applyAlignment="1">
      <alignment horizontal="left" vertical="top"/>
      <protection locked="0"/>
    </xf>
    <xf numFmtId="0" fontId="9" fillId="0" borderId="0" xfId="2" applyFill="1" applyAlignment="1">
      <alignment horizontal="left" vertical="top"/>
      <protection locked="0"/>
    </xf>
    <xf numFmtId="0" fontId="9" fillId="0" borderId="0" xfId="2" applyAlignment="1">
      <alignment horizontal="left" vertical="top"/>
      <protection locked="0"/>
    </xf>
    <xf numFmtId="2" fontId="0" fillId="2" borderId="0" xfId="0" applyNumberFormat="1" applyFill="1" applyAlignment="1" applyProtection="1">
      <alignment vertical="top"/>
      <protection locked="0"/>
    </xf>
    <xf numFmtId="49" fontId="3" fillId="2" borderId="2" xfId="0" applyNumberFormat="1" applyFont="1" applyFill="1" applyBorder="1" applyAlignment="1" applyProtection="1">
      <alignment horizontal="left" wrapText="1"/>
      <protection locked="0"/>
    </xf>
    <xf numFmtId="0" fontId="4" fillId="2" borderId="2" xfId="0" applyNumberFormat="1" applyFont="1" applyFill="1" applyBorder="1" applyAlignment="1" applyProtection="1">
      <alignment horizontal="left"/>
    </xf>
    <xf numFmtId="2" fontId="4" fillId="2" borderId="2" xfId="0" applyNumberFormat="1" applyFont="1" applyFill="1" applyBorder="1" applyAlignment="1" applyProtection="1">
      <alignment shrinkToFit="1"/>
    </xf>
    <xf numFmtId="166" fontId="36" fillId="2" borderId="2" xfId="0" applyNumberFormat="1" applyFont="1" applyFill="1" applyBorder="1" applyAlignment="1" applyProtection="1">
      <alignment horizontal="right"/>
      <protection locked="0"/>
    </xf>
    <xf numFmtId="164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2" fontId="4" fillId="2" borderId="2" xfId="0" applyNumberFormat="1" applyFont="1" applyFill="1" applyBorder="1" applyAlignment="1" applyProtection="1">
      <alignment horizontal="right" vertical="center"/>
      <protection locked="0"/>
    </xf>
    <xf numFmtId="166" fontId="4" fillId="2" borderId="2" xfId="0" applyNumberFormat="1" applyFont="1" applyFill="1" applyBorder="1" applyAlignment="1" applyProtection="1">
      <alignment horizontal="right" vertical="center"/>
      <protection locked="0"/>
    </xf>
    <xf numFmtId="164" fontId="8" fillId="2" borderId="2" xfId="0" applyNumberFormat="1" applyFont="1" applyFill="1" applyBorder="1" applyAlignment="1" applyProtection="1">
      <alignment horizontal="right" vertical="center"/>
      <protection locked="0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2" fontId="7" fillId="2" borderId="2" xfId="0" applyNumberFormat="1" applyFont="1" applyFill="1" applyBorder="1" applyAlignment="1" applyProtection="1">
      <alignment horizontal="right" vertical="center"/>
      <protection locked="0"/>
    </xf>
    <xf numFmtId="166" fontId="8" fillId="2" borderId="2" xfId="0" applyNumberFormat="1" applyFont="1" applyFill="1" applyBorder="1" applyAlignment="1" applyProtection="1">
      <alignment horizontal="right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49" fontId="4" fillId="2" borderId="2" xfId="0" applyNumberFormat="1" applyFont="1" applyFill="1" applyBorder="1" applyAlignment="1" applyProtection="1">
      <alignment horizontal="right" wrapText="1"/>
      <protection locked="0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49" fontId="4" fillId="2" borderId="2" xfId="0" applyNumberFormat="1" applyFont="1" applyFill="1" applyBorder="1" applyAlignment="1" applyProtection="1">
      <alignment horizontal="left" vertical="center" wrapText="1"/>
      <protection locked="0"/>
    </xf>
    <xf numFmtId="166" fontId="4" fillId="2" borderId="2" xfId="0" applyNumberFormat="1" applyFont="1" applyFill="1" applyBorder="1" applyAlignment="1" applyProtection="1">
      <alignment horizontal="center" vertical="center"/>
      <protection locked="0"/>
    </xf>
    <xf numFmtId="0" fontId="7" fillId="2" borderId="2" xfId="17" applyFont="1" applyFill="1" applyBorder="1" applyAlignment="1">
      <alignment horizontal="left" wrapText="1"/>
      <protection locked="0"/>
    </xf>
    <xf numFmtId="2" fontId="7" fillId="2" borderId="2" xfId="17" applyNumberFormat="1" applyFont="1" applyFill="1" applyBorder="1" applyAlignment="1">
      <alignment horizontal="right"/>
      <protection locked="0"/>
    </xf>
    <xf numFmtId="166" fontId="4" fillId="2" borderId="2" xfId="17" applyNumberFormat="1" applyFont="1" applyFill="1" applyBorder="1" applyAlignment="1">
      <alignment horizontal="right"/>
      <protection locked="0"/>
    </xf>
    <xf numFmtId="164" fontId="8" fillId="2" borderId="2" xfId="17" applyNumberFormat="1" applyFont="1" applyFill="1" applyBorder="1" applyAlignment="1">
      <alignment horizontal="right"/>
      <protection locked="0"/>
    </xf>
    <xf numFmtId="0" fontId="8" fillId="2" borderId="2" xfId="17" applyFont="1" applyFill="1" applyBorder="1" applyAlignment="1">
      <alignment horizontal="left" wrapText="1"/>
      <protection locked="0"/>
    </xf>
    <xf numFmtId="2" fontId="8" fillId="2" borderId="2" xfId="17" applyNumberFormat="1" applyFont="1" applyFill="1" applyBorder="1" applyAlignment="1">
      <alignment horizontal="right"/>
      <protection locked="0"/>
    </xf>
    <xf numFmtId="166" fontId="8" fillId="2" borderId="2" xfId="17" applyNumberFormat="1" applyFont="1" applyFill="1" applyBorder="1" applyAlignment="1">
      <alignment horizontal="right"/>
      <protection locked="0"/>
    </xf>
    <xf numFmtId="49" fontId="8" fillId="2" borderId="2" xfId="17" applyNumberFormat="1" applyFont="1" applyFill="1" applyBorder="1" applyAlignment="1">
      <alignment horizontal="left" wrapText="1"/>
      <protection locked="0"/>
    </xf>
    <xf numFmtId="0" fontId="9" fillId="2" borderId="2" xfId="17" applyFill="1" applyBorder="1" applyAlignment="1">
      <alignment horizontal="left" vertical="top"/>
      <protection locked="0"/>
    </xf>
    <xf numFmtId="2" fontId="4" fillId="2" borderId="2" xfId="17" applyNumberFormat="1" applyFont="1" applyFill="1" applyBorder="1" applyAlignment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0" fontId="20" fillId="2" borderId="2" xfId="0" applyFont="1" applyFill="1" applyBorder="1" applyAlignment="1" applyProtection="1">
      <alignment horizontal="left" vertical="top"/>
      <protection locked="0"/>
    </xf>
    <xf numFmtId="164" fontId="4" fillId="2" borderId="2" xfId="2" applyNumberFormat="1" applyFont="1" applyFill="1" applyBorder="1" applyAlignment="1">
      <alignment horizontal="right"/>
      <protection locked="0"/>
    </xf>
    <xf numFmtId="0" fontId="39" fillId="2" borderId="2" xfId="0" applyFont="1" applyFill="1" applyBorder="1" applyAlignment="1" applyProtection="1">
      <alignment horizontal="right" vertical="center"/>
      <protection locked="0"/>
    </xf>
    <xf numFmtId="164" fontId="7" fillId="2" borderId="2" xfId="0" applyNumberFormat="1" applyFont="1" applyFill="1" applyBorder="1" applyAlignment="1" applyProtection="1">
      <alignment horizontal="right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2" fontId="4" fillId="2" borderId="2" xfId="17" applyNumberFormat="1" applyFont="1" applyFill="1" applyBorder="1" applyAlignment="1">
      <alignment horizontal="right" wrapText="1"/>
      <protection locked="0"/>
    </xf>
    <xf numFmtId="2" fontId="4" fillId="2" borderId="2" xfId="17" applyNumberFormat="1" applyFont="1" applyFill="1" applyBorder="1" applyAlignment="1">
      <protection locked="0"/>
    </xf>
    <xf numFmtId="166" fontId="7" fillId="2" borderId="2" xfId="17" applyNumberFormat="1" applyFont="1" applyFill="1" applyBorder="1" applyAlignment="1">
      <alignment horizontal="right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workbookViewId="0">
      <selection activeCell="B32" sqref="B32"/>
    </sheetView>
  </sheetViews>
  <sheetFormatPr defaultRowHeight="10.5"/>
  <cols>
    <col min="1" max="1" width="11.7109375" style="88" customWidth="1"/>
    <col min="2" max="2" width="58.85546875" style="88" customWidth="1"/>
    <col min="3" max="3" width="15.7109375" style="88" customWidth="1"/>
    <col min="4" max="256" width="9.140625" style="88"/>
    <col min="257" max="257" width="11.7109375" style="88" customWidth="1"/>
    <col min="258" max="258" width="58.85546875" style="88" customWidth="1"/>
    <col min="259" max="259" width="15.7109375" style="88" customWidth="1"/>
    <col min="260" max="512" width="9.140625" style="88"/>
    <col min="513" max="513" width="11.7109375" style="88" customWidth="1"/>
    <col min="514" max="514" width="58.85546875" style="88" customWidth="1"/>
    <col min="515" max="515" width="15.7109375" style="88" customWidth="1"/>
    <col min="516" max="768" width="9.140625" style="88"/>
    <col min="769" max="769" width="11.7109375" style="88" customWidth="1"/>
    <col min="770" max="770" width="58.85546875" style="88" customWidth="1"/>
    <col min="771" max="771" width="15.7109375" style="88" customWidth="1"/>
    <col min="772" max="1024" width="9.140625" style="88"/>
    <col min="1025" max="1025" width="11.7109375" style="88" customWidth="1"/>
    <col min="1026" max="1026" width="58.85546875" style="88" customWidth="1"/>
    <col min="1027" max="1027" width="15.7109375" style="88" customWidth="1"/>
    <col min="1028" max="1280" width="9.140625" style="88"/>
    <col min="1281" max="1281" width="11.7109375" style="88" customWidth="1"/>
    <col min="1282" max="1282" width="58.85546875" style="88" customWidth="1"/>
    <col min="1283" max="1283" width="15.7109375" style="88" customWidth="1"/>
    <col min="1284" max="1536" width="9.140625" style="88"/>
    <col min="1537" max="1537" width="11.7109375" style="88" customWidth="1"/>
    <col min="1538" max="1538" width="58.85546875" style="88" customWidth="1"/>
    <col min="1539" max="1539" width="15.7109375" style="88" customWidth="1"/>
    <col min="1540" max="1792" width="9.140625" style="88"/>
    <col min="1793" max="1793" width="11.7109375" style="88" customWidth="1"/>
    <col min="1794" max="1794" width="58.85546875" style="88" customWidth="1"/>
    <col min="1795" max="1795" width="15.7109375" style="88" customWidth="1"/>
    <col min="1796" max="2048" width="9.140625" style="88"/>
    <col min="2049" max="2049" width="11.7109375" style="88" customWidth="1"/>
    <col min="2050" max="2050" width="58.85546875" style="88" customWidth="1"/>
    <col min="2051" max="2051" width="15.7109375" style="88" customWidth="1"/>
    <col min="2052" max="2304" width="9.140625" style="88"/>
    <col min="2305" max="2305" width="11.7109375" style="88" customWidth="1"/>
    <col min="2306" max="2306" width="58.85546875" style="88" customWidth="1"/>
    <col min="2307" max="2307" width="15.7109375" style="88" customWidth="1"/>
    <col min="2308" max="2560" width="9.140625" style="88"/>
    <col min="2561" max="2561" width="11.7109375" style="88" customWidth="1"/>
    <col min="2562" max="2562" width="58.85546875" style="88" customWidth="1"/>
    <col min="2563" max="2563" width="15.7109375" style="88" customWidth="1"/>
    <col min="2564" max="2816" width="9.140625" style="88"/>
    <col min="2817" max="2817" width="11.7109375" style="88" customWidth="1"/>
    <col min="2818" max="2818" width="58.85546875" style="88" customWidth="1"/>
    <col min="2819" max="2819" width="15.7109375" style="88" customWidth="1"/>
    <col min="2820" max="3072" width="9.140625" style="88"/>
    <col min="3073" max="3073" width="11.7109375" style="88" customWidth="1"/>
    <col min="3074" max="3074" width="58.85546875" style="88" customWidth="1"/>
    <col min="3075" max="3075" width="15.7109375" style="88" customWidth="1"/>
    <col min="3076" max="3328" width="9.140625" style="88"/>
    <col min="3329" max="3329" width="11.7109375" style="88" customWidth="1"/>
    <col min="3330" max="3330" width="58.85546875" style="88" customWidth="1"/>
    <col min="3331" max="3331" width="15.7109375" style="88" customWidth="1"/>
    <col min="3332" max="3584" width="9.140625" style="88"/>
    <col min="3585" max="3585" width="11.7109375" style="88" customWidth="1"/>
    <col min="3586" max="3586" width="58.85546875" style="88" customWidth="1"/>
    <col min="3587" max="3587" width="15.7109375" style="88" customWidth="1"/>
    <col min="3588" max="3840" width="9.140625" style="88"/>
    <col min="3841" max="3841" width="11.7109375" style="88" customWidth="1"/>
    <col min="3842" max="3842" width="58.85546875" style="88" customWidth="1"/>
    <col min="3843" max="3843" width="15.7109375" style="88" customWidth="1"/>
    <col min="3844" max="4096" width="9.140625" style="88"/>
    <col min="4097" max="4097" width="11.7109375" style="88" customWidth="1"/>
    <col min="4098" max="4098" width="58.85546875" style="88" customWidth="1"/>
    <col min="4099" max="4099" width="15.7109375" style="88" customWidth="1"/>
    <col min="4100" max="4352" width="9.140625" style="88"/>
    <col min="4353" max="4353" width="11.7109375" style="88" customWidth="1"/>
    <col min="4354" max="4354" width="58.85546875" style="88" customWidth="1"/>
    <col min="4355" max="4355" width="15.7109375" style="88" customWidth="1"/>
    <col min="4356" max="4608" width="9.140625" style="88"/>
    <col min="4609" max="4609" width="11.7109375" style="88" customWidth="1"/>
    <col min="4610" max="4610" width="58.85546875" style="88" customWidth="1"/>
    <col min="4611" max="4611" width="15.7109375" style="88" customWidth="1"/>
    <col min="4612" max="4864" width="9.140625" style="88"/>
    <col min="4865" max="4865" width="11.7109375" style="88" customWidth="1"/>
    <col min="4866" max="4866" width="58.85546875" style="88" customWidth="1"/>
    <col min="4867" max="4867" width="15.7109375" style="88" customWidth="1"/>
    <col min="4868" max="5120" width="9.140625" style="88"/>
    <col min="5121" max="5121" width="11.7109375" style="88" customWidth="1"/>
    <col min="5122" max="5122" width="58.85546875" style="88" customWidth="1"/>
    <col min="5123" max="5123" width="15.7109375" style="88" customWidth="1"/>
    <col min="5124" max="5376" width="9.140625" style="88"/>
    <col min="5377" max="5377" width="11.7109375" style="88" customWidth="1"/>
    <col min="5378" max="5378" width="58.85546875" style="88" customWidth="1"/>
    <col min="5379" max="5379" width="15.7109375" style="88" customWidth="1"/>
    <col min="5380" max="5632" width="9.140625" style="88"/>
    <col min="5633" max="5633" width="11.7109375" style="88" customWidth="1"/>
    <col min="5634" max="5634" width="58.85546875" style="88" customWidth="1"/>
    <col min="5635" max="5635" width="15.7109375" style="88" customWidth="1"/>
    <col min="5636" max="5888" width="9.140625" style="88"/>
    <col min="5889" max="5889" width="11.7109375" style="88" customWidth="1"/>
    <col min="5890" max="5890" width="58.85546875" style="88" customWidth="1"/>
    <col min="5891" max="5891" width="15.7109375" style="88" customWidth="1"/>
    <col min="5892" max="6144" width="9.140625" style="88"/>
    <col min="6145" max="6145" width="11.7109375" style="88" customWidth="1"/>
    <col min="6146" max="6146" width="58.85546875" style="88" customWidth="1"/>
    <col min="6147" max="6147" width="15.7109375" style="88" customWidth="1"/>
    <col min="6148" max="6400" width="9.140625" style="88"/>
    <col min="6401" max="6401" width="11.7109375" style="88" customWidth="1"/>
    <col min="6402" max="6402" width="58.85546875" style="88" customWidth="1"/>
    <col min="6403" max="6403" width="15.7109375" style="88" customWidth="1"/>
    <col min="6404" max="6656" width="9.140625" style="88"/>
    <col min="6657" max="6657" width="11.7109375" style="88" customWidth="1"/>
    <col min="6658" max="6658" width="58.85546875" style="88" customWidth="1"/>
    <col min="6659" max="6659" width="15.7109375" style="88" customWidth="1"/>
    <col min="6660" max="6912" width="9.140625" style="88"/>
    <col min="6913" max="6913" width="11.7109375" style="88" customWidth="1"/>
    <col min="6914" max="6914" width="58.85546875" style="88" customWidth="1"/>
    <col min="6915" max="6915" width="15.7109375" style="88" customWidth="1"/>
    <col min="6916" max="7168" width="9.140625" style="88"/>
    <col min="7169" max="7169" width="11.7109375" style="88" customWidth="1"/>
    <col min="7170" max="7170" width="58.85546875" style="88" customWidth="1"/>
    <col min="7171" max="7171" width="15.7109375" style="88" customWidth="1"/>
    <col min="7172" max="7424" width="9.140625" style="88"/>
    <col min="7425" max="7425" width="11.7109375" style="88" customWidth="1"/>
    <col min="7426" max="7426" width="58.85546875" style="88" customWidth="1"/>
    <col min="7427" max="7427" width="15.7109375" style="88" customWidth="1"/>
    <col min="7428" max="7680" width="9.140625" style="88"/>
    <col min="7681" max="7681" width="11.7109375" style="88" customWidth="1"/>
    <col min="7682" max="7682" width="58.85546875" style="88" customWidth="1"/>
    <col min="7683" max="7683" width="15.7109375" style="88" customWidth="1"/>
    <col min="7684" max="7936" width="9.140625" style="88"/>
    <col min="7937" max="7937" width="11.7109375" style="88" customWidth="1"/>
    <col min="7938" max="7938" width="58.85546875" style="88" customWidth="1"/>
    <col min="7939" max="7939" width="15.7109375" style="88" customWidth="1"/>
    <col min="7940" max="8192" width="9.140625" style="88"/>
    <col min="8193" max="8193" width="11.7109375" style="88" customWidth="1"/>
    <col min="8194" max="8194" width="58.85546875" style="88" customWidth="1"/>
    <col min="8195" max="8195" width="15.7109375" style="88" customWidth="1"/>
    <col min="8196" max="8448" width="9.140625" style="88"/>
    <col min="8449" max="8449" width="11.7109375" style="88" customWidth="1"/>
    <col min="8450" max="8450" width="58.85546875" style="88" customWidth="1"/>
    <col min="8451" max="8451" width="15.7109375" style="88" customWidth="1"/>
    <col min="8452" max="8704" width="9.140625" style="88"/>
    <col min="8705" max="8705" width="11.7109375" style="88" customWidth="1"/>
    <col min="8706" max="8706" width="58.85546875" style="88" customWidth="1"/>
    <col min="8707" max="8707" width="15.7109375" style="88" customWidth="1"/>
    <col min="8708" max="8960" width="9.140625" style="88"/>
    <col min="8961" max="8961" width="11.7109375" style="88" customWidth="1"/>
    <col min="8962" max="8962" width="58.85546875" style="88" customWidth="1"/>
    <col min="8963" max="8963" width="15.7109375" style="88" customWidth="1"/>
    <col min="8964" max="9216" width="9.140625" style="88"/>
    <col min="9217" max="9217" width="11.7109375" style="88" customWidth="1"/>
    <col min="9218" max="9218" width="58.85546875" style="88" customWidth="1"/>
    <col min="9219" max="9219" width="15.7109375" style="88" customWidth="1"/>
    <col min="9220" max="9472" width="9.140625" style="88"/>
    <col min="9473" max="9473" width="11.7109375" style="88" customWidth="1"/>
    <col min="9474" max="9474" width="58.85546875" style="88" customWidth="1"/>
    <col min="9475" max="9475" width="15.7109375" style="88" customWidth="1"/>
    <col min="9476" max="9728" width="9.140625" style="88"/>
    <col min="9729" max="9729" width="11.7109375" style="88" customWidth="1"/>
    <col min="9730" max="9730" width="58.85546875" style="88" customWidth="1"/>
    <col min="9731" max="9731" width="15.7109375" style="88" customWidth="1"/>
    <col min="9732" max="9984" width="9.140625" style="88"/>
    <col min="9985" max="9985" width="11.7109375" style="88" customWidth="1"/>
    <col min="9986" max="9986" width="58.85546875" style="88" customWidth="1"/>
    <col min="9987" max="9987" width="15.7109375" style="88" customWidth="1"/>
    <col min="9988" max="10240" width="9.140625" style="88"/>
    <col min="10241" max="10241" width="11.7109375" style="88" customWidth="1"/>
    <col min="10242" max="10242" width="58.85546875" style="88" customWidth="1"/>
    <col min="10243" max="10243" width="15.7109375" style="88" customWidth="1"/>
    <col min="10244" max="10496" width="9.140625" style="88"/>
    <col min="10497" max="10497" width="11.7109375" style="88" customWidth="1"/>
    <col min="10498" max="10498" width="58.85546875" style="88" customWidth="1"/>
    <col min="10499" max="10499" width="15.7109375" style="88" customWidth="1"/>
    <col min="10500" max="10752" width="9.140625" style="88"/>
    <col min="10753" max="10753" width="11.7109375" style="88" customWidth="1"/>
    <col min="10754" max="10754" width="58.85546875" style="88" customWidth="1"/>
    <col min="10755" max="10755" width="15.7109375" style="88" customWidth="1"/>
    <col min="10756" max="11008" width="9.140625" style="88"/>
    <col min="11009" max="11009" width="11.7109375" style="88" customWidth="1"/>
    <col min="11010" max="11010" width="58.85546875" style="88" customWidth="1"/>
    <col min="11011" max="11011" width="15.7109375" style="88" customWidth="1"/>
    <col min="11012" max="11264" width="9.140625" style="88"/>
    <col min="11265" max="11265" width="11.7109375" style="88" customWidth="1"/>
    <col min="11266" max="11266" width="58.85546875" style="88" customWidth="1"/>
    <col min="11267" max="11267" width="15.7109375" style="88" customWidth="1"/>
    <col min="11268" max="11520" width="9.140625" style="88"/>
    <col min="11521" max="11521" width="11.7109375" style="88" customWidth="1"/>
    <col min="11522" max="11522" width="58.85546875" style="88" customWidth="1"/>
    <col min="11523" max="11523" width="15.7109375" style="88" customWidth="1"/>
    <col min="11524" max="11776" width="9.140625" style="88"/>
    <col min="11777" max="11777" width="11.7109375" style="88" customWidth="1"/>
    <col min="11778" max="11778" width="58.85546875" style="88" customWidth="1"/>
    <col min="11779" max="11779" width="15.7109375" style="88" customWidth="1"/>
    <col min="11780" max="12032" width="9.140625" style="88"/>
    <col min="12033" max="12033" width="11.7109375" style="88" customWidth="1"/>
    <col min="12034" max="12034" width="58.85546875" style="88" customWidth="1"/>
    <col min="12035" max="12035" width="15.7109375" style="88" customWidth="1"/>
    <col min="12036" max="12288" width="9.140625" style="88"/>
    <col min="12289" max="12289" width="11.7109375" style="88" customWidth="1"/>
    <col min="12290" max="12290" width="58.85546875" style="88" customWidth="1"/>
    <col min="12291" max="12291" width="15.7109375" style="88" customWidth="1"/>
    <col min="12292" max="12544" width="9.140625" style="88"/>
    <col min="12545" max="12545" width="11.7109375" style="88" customWidth="1"/>
    <col min="12546" max="12546" width="58.85546875" style="88" customWidth="1"/>
    <col min="12547" max="12547" width="15.7109375" style="88" customWidth="1"/>
    <col min="12548" max="12800" width="9.140625" style="88"/>
    <col min="12801" max="12801" width="11.7109375" style="88" customWidth="1"/>
    <col min="12802" max="12802" width="58.85546875" style="88" customWidth="1"/>
    <col min="12803" max="12803" width="15.7109375" style="88" customWidth="1"/>
    <col min="12804" max="13056" width="9.140625" style="88"/>
    <col min="13057" max="13057" width="11.7109375" style="88" customWidth="1"/>
    <col min="13058" max="13058" width="58.85546875" style="88" customWidth="1"/>
    <col min="13059" max="13059" width="15.7109375" style="88" customWidth="1"/>
    <col min="13060" max="13312" width="9.140625" style="88"/>
    <col min="13313" max="13313" width="11.7109375" style="88" customWidth="1"/>
    <col min="13314" max="13314" width="58.85546875" style="88" customWidth="1"/>
    <col min="13315" max="13315" width="15.7109375" style="88" customWidth="1"/>
    <col min="13316" max="13568" width="9.140625" style="88"/>
    <col min="13569" max="13569" width="11.7109375" style="88" customWidth="1"/>
    <col min="13570" max="13570" width="58.85546875" style="88" customWidth="1"/>
    <col min="13571" max="13571" width="15.7109375" style="88" customWidth="1"/>
    <col min="13572" max="13824" width="9.140625" style="88"/>
    <col min="13825" max="13825" width="11.7109375" style="88" customWidth="1"/>
    <col min="13826" max="13826" width="58.85546875" style="88" customWidth="1"/>
    <col min="13827" max="13827" width="15.7109375" style="88" customWidth="1"/>
    <col min="13828" max="14080" width="9.140625" style="88"/>
    <col min="14081" max="14081" width="11.7109375" style="88" customWidth="1"/>
    <col min="14082" max="14082" width="58.85546875" style="88" customWidth="1"/>
    <col min="14083" max="14083" width="15.7109375" style="88" customWidth="1"/>
    <col min="14084" max="14336" width="9.140625" style="88"/>
    <col min="14337" max="14337" width="11.7109375" style="88" customWidth="1"/>
    <col min="14338" max="14338" width="58.85546875" style="88" customWidth="1"/>
    <col min="14339" max="14339" width="15.7109375" style="88" customWidth="1"/>
    <col min="14340" max="14592" width="9.140625" style="88"/>
    <col min="14593" max="14593" width="11.7109375" style="88" customWidth="1"/>
    <col min="14594" max="14594" width="58.85546875" style="88" customWidth="1"/>
    <col min="14595" max="14595" width="15.7109375" style="88" customWidth="1"/>
    <col min="14596" max="14848" width="9.140625" style="88"/>
    <col min="14849" max="14849" width="11.7109375" style="88" customWidth="1"/>
    <col min="14850" max="14850" width="58.85546875" style="88" customWidth="1"/>
    <col min="14851" max="14851" width="15.7109375" style="88" customWidth="1"/>
    <col min="14852" max="15104" width="9.140625" style="88"/>
    <col min="15105" max="15105" width="11.7109375" style="88" customWidth="1"/>
    <col min="15106" max="15106" width="58.85546875" style="88" customWidth="1"/>
    <col min="15107" max="15107" width="15.7109375" style="88" customWidth="1"/>
    <col min="15108" max="15360" width="9.140625" style="88"/>
    <col min="15361" max="15361" width="11.7109375" style="88" customWidth="1"/>
    <col min="15362" max="15362" width="58.85546875" style="88" customWidth="1"/>
    <col min="15363" max="15363" width="15.7109375" style="88" customWidth="1"/>
    <col min="15364" max="15616" width="9.140625" style="88"/>
    <col min="15617" max="15617" width="11.7109375" style="88" customWidth="1"/>
    <col min="15618" max="15618" width="58.85546875" style="88" customWidth="1"/>
    <col min="15619" max="15619" width="15.7109375" style="88" customWidth="1"/>
    <col min="15620" max="15872" width="9.140625" style="88"/>
    <col min="15873" max="15873" width="11.7109375" style="88" customWidth="1"/>
    <col min="15874" max="15874" width="58.85546875" style="88" customWidth="1"/>
    <col min="15875" max="15875" width="15.7109375" style="88" customWidth="1"/>
    <col min="15876" max="16128" width="9.140625" style="88"/>
    <col min="16129" max="16129" width="11.7109375" style="88" customWidth="1"/>
    <col min="16130" max="16130" width="58.85546875" style="88" customWidth="1"/>
    <col min="16131" max="16131" width="15.7109375" style="88" customWidth="1"/>
    <col min="16132" max="16384" width="9.140625" style="88"/>
  </cols>
  <sheetData>
    <row r="1" spans="1:9" ht="20.25" customHeight="1">
      <c r="A1" s="86" t="s">
        <v>57</v>
      </c>
      <c r="B1" s="87"/>
      <c r="C1" s="87"/>
    </row>
    <row r="2" spans="1:9" s="115" customFormat="1" ht="13.5" customHeight="1">
      <c r="A2" s="211" t="s">
        <v>63</v>
      </c>
      <c r="B2" s="212"/>
      <c r="C2" s="212"/>
      <c r="D2" s="212"/>
      <c r="E2" s="212"/>
      <c r="F2" s="212"/>
      <c r="G2" s="212"/>
      <c r="H2" s="212"/>
      <c r="I2" s="212"/>
    </row>
    <row r="3" spans="1:9" customFormat="1" ht="13.5" customHeight="1">
      <c r="A3" s="3" t="s">
        <v>64</v>
      </c>
      <c r="B3" s="4"/>
      <c r="C3" s="4"/>
      <c r="D3" s="4"/>
      <c r="E3" s="4"/>
      <c r="F3" s="1"/>
      <c r="G3" s="1"/>
      <c r="H3" s="12"/>
      <c r="I3" s="12"/>
    </row>
    <row r="4" spans="1:9" customFormat="1" ht="13.5" customHeight="1">
      <c r="A4" s="4" t="s">
        <v>33</v>
      </c>
      <c r="B4" s="4"/>
      <c r="C4" s="4"/>
      <c r="D4" s="4"/>
      <c r="E4" s="4"/>
      <c r="F4" s="1"/>
      <c r="G4" s="1"/>
      <c r="H4" s="12"/>
      <c r="I4" s="12"/>
    </row>
    <row r="5" spans="1:9" ht="13.5" customHeight="1">
      <c r="A5" s="87"/>
      <c r="B5" s="87"/>
      <c r="C5" s="87"/>
    </row>
    <row r="6" spans="1:9" ht="23.25" customHeight="1">
      <c r="A6" s="89" t="s">
        <v>58</v>
      </c>
      <c r="B6" s="90" t="s">
        <v>3</v>
      </c>
      <c r="C6" s="91" t="s">
        <v>59</v>
      </c>
    </row>
    <row r="7" spans="1:9" ht="12.6" customHeight="1">
      <c r="A7" s="92">
        <v>1</v>
      </c>
      <c r="B7" s="93">
        <v>2</v>
      </c>
      <c r="C7" s="94">
        <v>3</v>
      </c>
    </row>
    <row r="8" spans="1:9" ht="21" customHeight="1">
      <c r="A8" s="95"/>
      <c r="B8" s="96"/>
      <c r="C8" s="96"/>
    </row>
    <row r="9" spans="1:9" ht="13.5" customHeight="1">
      <c r="A9" s="97" t="s">
        <v>16</v>
      </c>
      <c r="B9" s="98" t="s">
        <v>17</v>
      </c>
      <c r="C9" s="99">
        <f>SUM(C10:C13)</f>
        <v>0</v>
      </c>
    </row>
    <row r="10" spans="1:9" ht="13.5" customHeight="1">
      <c r="A10" s="100">
        <v>1</v>
      </c>
      <c r="B10" s="101" t="s">
        <v>36</v>
      </c>
      <c r="C10" s="102">
        <f>'D.1.1. ASR - BP'!H9</f>
        <v>0</v>
      </c>
    </row>
    <row r="11" spans="1:9" ht="13.5" customHeight="1">
      <c r="A11" s="100">
        <v>3</v>
      </c>
      <c r="B11" s="101" t="s">
        <v>422</v>
      </c>
      <c r="C11" s="102">
        <f>'D.1.1. ASR - BP'!H29</f>
        <v>0</v>
      </c>
    </row>
    <row r="12" spans="1:9" ht="13.5" customHeight="1">
      <c r="A12" s="100">
        <v>9</v>
      </c>
      <c r="B12" s="101" t="s">
        <v>53</v>
      </c>
      <c r="C12" s="102">
        <f>'D.1.1. ASR - BP'!H100</f>
        <v>0</v>
      </c>
    </row>
    <row r="13" spans="1:9" ht="13.5" customHeight="1">
      <c r="A13" s="104">
        <v>99</v>
      </c>
      <c r="B13" s="105" t="s">
        <v>23</v>
      </c>
      <c r="C13" s="106">
        <f>'D.1.1. ASR - BP'!H435</f>
        <v>0</v>
      </c>
    </row>
    <row r="14" spans="1:9" ht="13.5" customHeight="1">
      <c r="A14" s="97" t="s">
        <v>37</v>
      </c>
      <c r="B14" s="98" t="s">
        <v>38</v>
      </c>
      <c r="C14" s="99">
        <f>SUM(C15:C24)</f>
        <v>0</v>
      </c>
    </row>
    <row r="15" spans="1:9" ht="13.5" customHeight="1">
      <c r="A15" s="100">
        <v>721</v>
      </c>
      <c r="B15" s="101" t="s">
        <v>195</v>
      </c>
      <c r="C15" s="102">
        <f>'D.1.1. ASR - BP'!H440</f>
        <v>0</v>
      </c>
    </row>
    <row r="16" spans="1:9" ht="13.5" customHeight="1">
      <c r="A16" s="100">
        <v>722</v>
      </c>
      <c r="B16" s="101" t="s">
        <v>208</v>
      </c>
      <c r="C16" s="103">
        <f>'D.1.1. ASR - BP'!H451</f>
        <v>0</v>
      </c>
    </row>
    <row r="17" spans="1:3" ht="13.5" customHeight="1">
      <c r="A17" s="100">
        <v>725</v>
      </c>
      <c r="B17" s="101" t="s">
        <v>137</v>
      </c>
      <c r="C17" s="103">
        <f>'D.1.1. ASR - BP'!H462</f>
        <v>0</v>
      </c>
    </row>
    <row r="18" spans="1:3" ht="13.5" customHeight="1">
      <c r="A18" s="100">
        <v>741</v>
      </c>
      <c r="B18" s="101" t="s">
        <v>214</v>
      </c>
      <c r="C18" s="102">
        <f>'D.1.1. ASR - BP'!H506</f>
        <v>0</v>
      </c>
    </row>
    <row r="19" spans="1:3" ht="13.5" customHeight="1">
      <c r="A19" s="100">
        <v>762</v>
      </c>
      <c r="B19" s="101" t="s">
        <v>60</v>
      </c>
      <c r="C19" s="102">
        <f>'D.1.1. ASR - BP'!H516</f>
        <v>0</v>
      </c>
    </row>
    <row r="20" spans="1:3" ht="13.5" customHeight="1">
      <c r="A20" s="100">
        <v>764</v>
      </c>
      <c r="B20" s="101" t="s">
        <v>61</v>
      </c>
      <c r="C20" s="102">
        <f>'D.1.1. ASR - BP'!H528</f>
        <v>0</v>
      </c>
    </row>
    <row r="21" spans="1:3" ht="13.5" customHeight="1">
      <c r="A21" s="100">
        <v>765</v>
      </c>
      <c r="B21" s="101" t="s">
        <v>62</v>
      </c>
      <c r="C21" s="102">
        <f>'D.1.1. ASR - BP'!H568</f>
        <v>0</v>
      </c>
    </row>
    <row r="22" spans="1:3" ht="13.5" customHeight="1">
      <c r="A22" s="100">
        <v>767</v>
      </c>
      <c r="B22" s="101" t="s">
        <v>182</v>
      </c>
      <c r="C22" s="102">
        <f>'D.1.1. ASR - BP'!H574</f>
        <v>0</v>
      </c>
    </row>
    <row r="23" spans="1:3" ht="13.5" customHeight="1">
      <c r="A23" s="100">
        <v>776</v>
      </c>
      <c r="B23" s="101" t="s">
        <v>56</v>
      </c>
      <c r="C23" s="102">
        <f>'D.1.1. ASR - BP'!H595</f>
        <v>0</v>
      </c>
    </row>
    <row r="24" spans="1:3" ht="13.5" customHeight="1">
      <c r="A24" s="100">
        <v>775</v>
      </c>
      <c r="B24" s="101" t="s">
        <v>245</v>
      </c>
      <c r="C24" s="102">
        <f>'D.1.1. ASR - BP'!H585</f>
        <v>0</v>
      </c>
    </row>
    <row r="25" spans="1:3" ht="13.5" customHeight="1">
      <c r="A25" s="97" t="s">
        <v>543</v>
      </c>
      <c r="B25" s="98" t="s">
        <v>544</v>
      </c>
      <c r="C25" s="99">
        <f>SUM(C26)</f>
        <v>0</v>
      </c>
    </row>
    <row r="26" spans="1:3" ht="13.5" customHeight="1">
      <c r="A26" s="100" t="s">
        <v>545</v>
      </c>
      <c r="B26" s="101" t="s">
        <v>546</v>
      </c>
      <c r="C26" s="102">
        <f>'D.1.1. ASR - BP'!H614</f>
        <v>0</v>
      </c>
    </row>
    <row r="27" spans="1:3" ht="21" customHeight="1">
      <c r="A27" s="107"/>
      <c r="B27" s="108" t="s">
        <v>66</v>
      </c>
      <c r="C27" s="109">
        <f>C14+C9+C25</f>
        <v>0</v>
      </c>
    </row>
    <row r="28" spans="1:3" ht="13.5" customHeight="1">
      <c r="A28" s="110"/>
      <c r="C28" s="111"/>
    </row>
  </sheetData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32"/>
  <sheetViews>
    <sheetView tabSelected="1" topLeftCell="A101" zoomScaleNormal="100" workbookViewId="0">
      <selection activeCell="H101" sqref="H101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9" customWidth="1"/>
    <col min="8" max="8" width="16.140625" customWidth="1"/>
    <col min="9" max="9" width="16.5703125" customWidth="1"/>
    <col min="12" max="12" width="13.140625" customWidth="1"/>
  </cols>
  <sheetData>
    <row r="1" spans="1:26" s="2" customFormat="1" ht="20.25" customHeight="1">
      <c r="A1" s="53" t="s">
        <v>656</v>
      </c>
      <c r="B1" s="54"/>
      <c r="C1" s="54"/>
      <c r="D1" s="54"/>
      <c r="E1" s="54"/>
      <c r="F1" s="54"/>
      <c r="G1" s="54"/>
      <c r="H1" s="54"/>
      <c r="I1" s="50"/>
    </row>
    <row r="2" spans="1:26" s="115" customFormat="1" ht="13.5" customHeight="1">
      <c r="A2" s="211" t="s">
        <v>63</v>
      </c>
      <c r="B2" s="212"/>
      <c r="C2" s="212"/>
      <c r="D2" s="212"/>
      <c r="E2" s="212"/>
      <c r="F2" s="212"/>
      <c r="G2" s="212"/>
      <c r="H2" s="212"/>
      <c r="I2" s="212"/>
    </row>
    <row r="3" spans="1:26" ht="13.5" customHeight="1">
      <c r="A3" s="3" t="s">
        <v>64</v>
      </c>
      <c r="B3" s="4"/>
      <c r="C3" s="4"/>
      <c r="D3" s="4"/>
      <c r="E3" s="4"/>
      <c r="F3" s="1"/>
      <c r="G3" s="1"/>
      <c r="H3" s="12"/>
      <c r="I3" s="12"/>
    </row>
    <row r="4" spans="1:26" ht="13.5" customHeight="1">
      <c r="A4" s="4" t="s">
        <v>284</v>
      </c>
      <c r="B4" s="4"/>
      <c r="C4" s="4"/>
      <c r="D4" s="4"/>
      <c r="E4" s="4"/>
      <c r="F4" s="1"/>
      <c r="G4" s="1"/>
      <c r="H4" s="12"/>
      <c r="I4" s="12"/>
    </row>
    <row r="5" spans="1:26" s="2" customFormat="1" ht="12.75" customHeight="1">
      <c r="A5" s="55"/>
      <c r="B5" s="55"/>
      <c r="C5" s="55"/>
      <c r="D5" s="55"/>
      <c r="E5" s="55"/>
      <c r="F5" s="55"/>
      <c r="G5" s="54"/>
      <c r="H5" s="54"/>
      <c r="I5" s="50"/>
    </row>
    <row r="6" spans="1:26" s="2" customFormat="1" ht="24.75" customHeight="1">
      <c r="A6" s="56" t="s">
        <v>0</v>
      </c>
      <c r="B6" s="56" t="s">
        <v>1</v>
      </c>
      <c r="C6" s="56" t="s">
        <v>2</v>
      </c>
      <c r="D6" s="56" t="s">
        <v>3</v>
      </c>
      <c r="E6" s="56" t="s">
        <v>4</v>
      </c>
      <c r="F6" s="56" t="s">
        <v>5</v>
      </c>
      <c r="G6" s="56" t="s">
        <v>6</v>
      </c>
      <c r="H6" s="56" t="s">
        <v>7</v>
      </c>
      <c r="I6" s="56" t="s">
        <v>8</v>
      </c>
    </row>
    <row r="7" spans="1:26" s="2" customFormat="1" ht="12.75" customHeight="1">
      <c r="A7" s="56" t="s">
        <v>9</v>
      </c>
      <c r="B7" s="56" t="s">
        <v>10</v>
      </c>
      <c r="C7" s="56" t="s">
        <v>11</v>
      </c>
      <c r="D7" s="56" t="s">
        <v>12</v>
      </c>
      <c r="E7" s="56" t="s">
        <v>13</v>
      </c>
      <c r="F7" s="56" t="s">
        <v>14</v>
      </c>
      <c r="G7" s="56" t="s">
        <v>15</v>
      </c>
      <c r="H7" s="56">
        <v>8</v>
      </c>
      <c r="I7" s="56">
        <v>9</v>
      </c>
    </row>
    <row r="8" spans="1:26" s="2" customFormat="1" ht="21" customHeight="1">
      <c r="A8" s="57"/>
      <c r="B8" s="58"/>
      <c r="C8" s="58" t="s">
        <v>16</v>
      </c>
      <c r="D8" s="58" t="s">
        <v>17</v>
      </c>
      <c r="E8" s="58"/>
      <c r="F8" s="59"/>
      <c r="G8" s="60"/>
      <c r="H8" s="60">
        <f>H9+H29+H100+H435</f>
        <v>0</v>
      </c>
      <c r="I8" s="50"/>
    </row>
    <row r="9" spans="1:26" s="2" customFormat="1" ht="13.5" customHeight="1">
      <c r="A9" s="5"/>
      <c r="B9" s="6"/>
      <c r="C9" s="6">
        <v>1</v>
      </c>
      <c r="D9" s="6" t="s">
        <v>36</v>
      </c>
      <c r="E9" s="6"/>
      <c r="F9" s="7"/>
      <c r="G9" s="8"/>
      <c r="H9" s="8">
        <f>SUM(H10:H28)</f>
        <v>0</v>
      </c>
      <c r="I9" s="11"/>
      <c r="J9" s="143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s="2" customFormat="1" ht="13.5" customHeight="1">
      <c r="A10" s="157">
        <v>1</v>
      </c>
      <c r="B10" s="158" t="s">
        <v>154</v>
      </c>
      <c r="C10" s="158">
        <v>115101201</v>
      </c>
      <c r="D10" s="158" t="s">
        <v>155</v>
      </c>
      <c r="E10" s="158" t="s">
        <v>28</v>
      </c>
      <c r="F10" s="208">
        <v>30</v>
      </c>
      <c r="G10" s="45"/>
      <c r="H10" s="193">
        <f>F10*G10</f>
        <v>0</v>
      </c>
      <c r="I10" s="46" t="s">
        <v>68</v>
      </c>
      <c r="J10" s="144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s="2" customFormat="1" ht="13.5" customHeight="1">
      <c r="A11" s="157">
        <v>2</v>
      </c>
      <c r="B11" s="158" t="s">
        <v>154</v>
      </c>
      <c r="C11" s="158">
        <v>115101301</v>
      </c>
      <c r="D11" s="158" t="s">
        <v>156</v>
      </c>
      <c r="E11" s="158" t="s">
        <v>157</v>
      </c>
      <c r="F11" s="208">
        <v>4</v>
      </c>
      <c r="G11" s="45"/>
      <c r="H11" s="193">
        <f>F11*G11</f>
        <v>0</v>
      </c>
      <c r="I11" s="46" t="s">
        <v>68</v>
      </c>
      <c r="J11" s="144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s="2" customFormat="1" ht="13.5" customHeight="1">
      <c r="A12" s="157">
        <v>3</v>
      </c>
      <c r="B12" s="158" t="s">
        <v>154</v>
      </c>
      <c r="C12" s="44">
        <v>119001401</v>
      </c>
      <c r="D12" s="44" t="s">
        <v>158</v>
      </c>
      <c r="E12" s="158" t="s">
        <v>46</v>
      </c>
      <c r="F12" s="209">
        <v>6</v>
      </c>
      <c r="G12" s="45"/>
      <c r="H12" s="193">
        <f>F12*G12</f>
        <v>0</v>
      </c>
      <c r="I12" s="46" t="s">
        <v>68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s="2" customFormat="1" ht="13.5" customHeight="1">
      <c r="A13" s="157">
        <v>4</v>
      </c>
      <c r="B13" s="158" t="s">
        <v>154</v>
      </c>
      <c r="C13" s="158" t="s">
        <v>159</v>
      </c>
      <c r="D13" s="158" t="s">
        <v>160</v>
      </c>
      <c r="E13" s="158" t="s">
        <v>46</v>
      </c>
      <c r="F13" s="209">
        <v>9</v>
      </c>
      <c r="G13" s="45"/>
      <c r="H13" s="193">
        <f>F13*G13</f>
        <v>0</v>
      </c>
      <c r="I13" s="46" t="s">
        <v>68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s="2" customFormat="1" ht="13.5" customHeight="1">
      <c r="A14" s="157">
        <v>5</v>
      </c>
      <c r="B14" s="158" t="s">
        <v>154</v>
      </c>
      <c r="C14" s="158">
        <v>139711101</v>
      </c>
      <c r="D14" s="158" t="s">
        <v>162</v>
      </c>
      <c r="E14" s="158" t="s">
        <v>27</v>
      </c>
      <c r="F14" s="200">
        <f>SUM(F16:F18)</f>
        <v>45.964499999999994</v>
      </c>
      <c r="G14" s="193"/>
      <c r="H14" s="193">
        <f>F14*G14</f>
        <v>0</v>
      </c>
      <c r="I14" s="46" t="s">
        <v>68</v>
      </c>
      <c r="J14" s="138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s="2" customFormat="1" ht="13.5" customHeight="1">
      <c r="A15" s="157"/>
      <c r="B15" s="158"/>
      <c r="C15" s="191"/>
      <c r="D15" s="191" t="s">
        <v>161</v>
      </c>
      <c r="E15" s="191"/>
      <c r="F15" s="49"/>
      <c r="G15" s="210"/>
      <c r="H15" s="210"/>
      <c r="I15" s="159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s="2" customFormat="1" ht="13.5" customHeight="1">
      <c r="A16" s="157"/>
      <c r="B16" s="158"/>
      <c r="C16" s="191"/>
      <c r="D16" s="191" t="s">
        <v>392</v>
      </c>
      <c r="E16" s="191"/>
      <c r="F16" s="192">
        <f>(1.85*3.05+4.25*3.7)*1.4</f>
        <v>29.914499999999997</v>
      </c>
      <c r="G16" s="210"/>
      <c r="H16" s="210"/>
      <c r="I16" s="159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s="2" customFormat="1" ht="13.5" customHeight="1">
      <c r="A17" s="157"/>
      <c r="B17" s="158"/>
      <c r="C17" s="191"/>
      <c r="D17" s="191" t="s">
        <v>399</v>
      </c>
      <c r="E17" s="191"/>
      <c r="F17" s="192">
        <f>5.5*0.5*1</f>
        <v>2.75</v>
      </c>
      <c r="G17" s="210"/>
      <c r="H17" s="210"/>
      <c r="I17" s="159"/>
      <c r="J17" s="12"/>
      <c r="K17" s="153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s="2" customFormat="1" ht="13.5" customHeight="1">
      <c r="A18" s="157"/>
      <c r="B18" s="158"/>
      <c r="C18" s="191"/>
      <c r="D18" s="191" t="s">
        <v>404</v>
      </c>
      <c r="E18" s="191"/>
      <c r="F18" s="192">
        <f>(4.5+5)*1*1.4</f>
        <v>13.299999999999999</v>
      </c>
      <c r="G18" s="210"/>
      <c r="H18" s="210"/>
      <c r="I18" s="159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s="2" customFormat="1" ht="13.5" customHeight="1">
      <c r="A19" s="157">
        <v>6</v>
      </c>
      <c r="B19" s="158" t="s">
        <v>154</v>
      </c>
      <c r="C19" s="158">
        <v>151101201</v>
      </c>
      <c r="D19" s="158" t="s">
        <v>173</v>
      </c>
      <c r="E19" s="158" t="s">
        <v>21</v>
      </c>
      <c r="F19" s="200">
        <f>F20</f>
        <v>13.72</v>
      </c>
      <c r="G19" s="193"/>
      <c r="H19" s="193">
        <f>F19*G19</f>
        <v>0</v>
      </c>
      <c r="I19" s="46" t="s">
        <v>68</v>
      </c>
      <c r="J19" s="138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s="2" customFormat="1" ht="27.75" customHeight="1">
      <c r="A20" s="157"/>
      <c r="B20" s="158"/>
      <c r="C20" s="191"/>
      <c r="D20" s="191" t="s">
        <v>393</v>
      </c>
      <c r="E20" s="191"/>
      <c r="F20" s="192">
        <f>(3.05+1.25+1.2+4.3+4.25+5.55)*1.4*0.5</f>
        <v>13.72</v>
      </c>
      <c r="G20" s="210"/>
      <c r="H20" s="210"/>
      <c r="I20" s="159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s="2" customFormat="1" ht="13.5" customHeight="1">
      <c r="A21" s="157">
        <v>7</v>
      </c>
      <c r="B21" s="158" t="s">
        <v>154</v>
      </c>
      <c r="C21" s="158">
        <v>151101211</v>
      </c>
      <c r="D21" s="158" t="s">
        <v>174</v>
      </c>
      <c r="E21" s="158" t="s">
        <v>21</v>
      </c>
      <c r="F21" s="200">
        <f>F19</f>
        <v>13.72</v>
      </c>
      <c r="G21" s="193"/>
      <c r="H21" s="193">
        <f>F21*G21</f>
        <v>0</v>
      </c>
      <c r="I21" s="46" t="s">
        <v>68</v>
      </c>
      <c r="J21" s="138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s="2" customFormat="1" ht="13.5" customHeight="1">
      <c r="A22" s="181" t="s">
        <v>333</v>
      </c>
      <c r="B22" s="158" t="s">
        <v>154</v>
      </c>
      <c r="C22" s="44">
        <v>161101501</v>
      </c>
      <c r="D22" s="44" t="s">
        <v>163</v>
      </c>
      <c r="E22" s="44" t="s">
        <v>27</v>
      </c>
      <c r="F22" s="154">
        <f>SUM(F23:F24)</f>
        <v>45.964499999999994</v>
      </c>
      <c r="G22" s="45"/>
      <c r="H22" s="45">
        <f>F22*G22</f>
        <v>0</v>
      </c>
      <c r="I22" s="46" t="s">
        <v>68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s="2" customFormat="1" ht="13.5" customHeight="1">
      <c r="A23" s="181"/>
      <c r="B23" s="158"/>
      <c r="C23" s="44"/>
      <c r="D23" s="191" t="s">
        <v>400</v>
      </c>
      <c r="E23" s="44"/>
      <c r="F23" s="192">
        <f>(1.85*3.05+4.25*3.7)*1.4+5.5*0.5*1</f>
        <v>32.664499999999997</v>
      </c>
      <c r="G23" s="45"/>
      <c r="H23" s="45"/>
      <c r="I23" s="46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s="2" customFormat="1" ht="13.5" customHeight="1">
      <c r="A24" s="181"/>
      <c r="B24" s="158"/>
      <c r="C24" s="44"/>
      <c r="D24" s="191" t="s">
        <v>406</v>
      </c>
      <c r="E24" s="44"/>
      <c r="F24" s="192">
        <f>(4.5+5)*1*1.4</f>
        <v>13.299999999999999</v>
      </c>
      <c r="G24" s="45"/>
      <c r="H24" s="45"/>
      <c r="I24" s="46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s="2" customFormat="1" ht="13.5" customHeight="1">
      <c r="A25" s="181" t="s">
        <v>52</v>
      </c>
      <c r="B25" s="158" t="s">
        <v>154</v>
      </c>
      <c r="C25" s="44">
        <v>161101601</v>
      </c>
      <c r="D25" s="44" t="s">
        <v>405</v>
      </c>
      <c r="E25" s="44" t="s">
        <v>27</v>
      </c>
      <c r="F25" s="154">
        <f>F26</f>
        <v>13.299999999999999</v>
      </c>
      <c r="G25" s="45"/>
      <c r="H25" s="45">
        <f>F25*G25</f>
        <v>0</v>
      </c>
      <c r="I25" s="46" t="s">
        <v>68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s="2" customFormat="1" ht="13.5" customHeight="1">
      <c r="A26" s="181"/>
      <c r="B26" s="158"/>
      <c r="C26" s="44"/>
      <c r="D26" s="191" t="s">
        <v>406</v>
      </c>
      <c r="E26" s="44"/>
      <c r="F26" s="192">
        <f>(4.5+5)*1*1.4</f>
        <v>13.299999999999999</v>
      </c>
      <c r="G26" s="45"/>
      <c r="H26" s="45"/>
      <c r="I26" s="46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s="2" customFormat="1" ht="13.5" customHeight="1">
      <c r="A27" s="181" t="s">
        <v>408</v>
      </c>
      <c r="B27" s="158" t="s">
        <v>154</v>
      </c>
      <c r="C27" s="44">
        <v>174101102</v>
      </c>
      <c r="D27" s="44" t="s">
        <v>396</v>
      </c>
      <c r="E27" s="44" t="s">
        <v>27</v>
      </c>
      <c r="F27" s="154">
        <f>F28</f>
        <v>7.7235000000000014</v>
      </c>
      <c r="G27" s="45"/>
      <c r="H27" s="45">
        <f>F27*G27</f>
        <v>0</v>
      </c>
      <c r="I27" s="46" t="s">
        <v>68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s="2" customFormat="1" ht="13.5" customHeight="1">
      <c r="A28" s="181"/>
      <c r="B28" s="158"/>
      <c r="C28" s="44"/>
      <c r="D28" s="191" t="s">
        <v>397</v>
      </c>
      <c r="E28" s="44"/>
      <c r="F28" s="192">
        <f>29.91-(1.85*2.45+3.65*3.1)*1.4</f>
        <v>7.7235000000000014</v>
      </c>
      <c r="G28" s="45"/>
      <c r="H28" s="45"/>
      <c r="I28" s="46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s="2" customFormat="1" ht="13.5" customHeight="1">
      <c r="A29" s="5"/>
      <c r="B29" s="6"/>
      <c r="C29" s="6">
        <v>3</v>
      </c>
      <c r="D29" s="6" t="s">
        <v>422</v>
      </c>
      <c r="E29" s="6"/>
      <c r="F29" s="7"/>
      <c r="G29" s="8"/>
      <c r="H29" s="8">
        <f>SUM(H30:H99)</f>
        <v>0</v>
      </c>
      <c r="I29" s="11"/>
    </row>
    <row r="30" spans="1:26" s="2" customFormat="1" ht="27" customHeight="1">
      <c r="A30" s="42">
        <v>11</v>
      </c>
      <c r="B30" s="43" t="s">
        <v>418</v>
      </c>
      <c r="C30" s="44" t="s">
        <v>429</v>
      </c>
      <c r="D30" s="44" t="s">
        <v>423</v>
      </c>
      <c r="E30" s="44" t="s">
        <v>141</v>
      </c>
      <c r="F30" s="154">
        <f>F34+F35+F36+F37+F38</f>
        <v>5</v>
      </c>
      <c r="G30" s="45"/>
      <c r="H30" s="45">
        <f>F30*G30</f>
        <v>0</v>
      </c>
      <c r="I30" s="46" t="s">
        <v>103</v>
      </c>
      <c r="J30" s="12"/>
      <c r="K30" s="12"/>
      <c r="L30" s="12"/>
      <c r="M30" s="12"/>
      <c r="N30" s="12"/>
    </row>
    <row r="31" spans="1:26" s="2" customFormat="1" ht="25.5" customHeight="1">
      <c r="A31" s="51"/>
      <c r="B31" s="52"/>
      <c r="C31" s="52"/>
      <c r="D31" s="47" t="s">
        <v>419</v>
      </c>
      <c r="E31" s="52"/>
      <c r="F31" s="48"/>
      <c r="G31" s="69"/>
      <c r="H31" s="45"/>
      <c r="I31" s="49"/>
      <c r="J31" s="12"/>
      <c r="K31" s="12"/>
      <c r="L31" s="12"/>
      <c r="M31" s="12"/>
      <c r="N31" s="12"/>
    </row>
    <row r="32" spans="1:26" s="2" customFormat="1" ht="25.5" customHeight="1">
      <c r="A32" s="51"/>
      <c r="B32" s="52"/>
      <c r="C32" s="52"/>
      <c r="D32" s="47" t="s">
        <v>420</v>
      </c>
      <c r="E32" s="52"/>
      <c r="F32" s="48"/>
      <c r="G32" s="69"/>
      <c r="H32" s="45"/>
      <c r="I32" s="49"/>
      <c r="J32" s="161"/>
      <c r="K32" s="161"/>
      <c r="L32" s="162"/>
      <c r="M32" s="12"/>
      <c r="N32" s="12"/>
    </row>
    <row r="33" spans="1:14" s="165" customFormat="1" ht="13.5" customHeight="1">
      <c r="A33" s="203"/>
      <c r="B33" s="43"/>
      <c r="C33" s="44"/>
      <c r="D33" s="47" t="s">
        <v>421</v>
      </c>
      <c r="E33" s="44"/>
      <c r="F33" s="48"/>
      <c r="G33" s="45"/>
      <c r="H33" s="45"/>
      <c r="I33" s="204"/>
      <c r="J33" s="163"/>
      <c r="K33" s="163"/>
      <c r="L33" s="164"/>
      <c r="M33" s="164"/>
      <c r="N33" s="164"/>
    </row>
    <row r="34" spans="1:14" s="149" customFormat="1" ht="13.5" customHeight="1">
      <c r="A34" s="205"/>
      <c r="B34" s="47"/>
      <c r="C34" s="47"/>
      <c r="D34" s="47" t="s">
        <v>508</v>
      </c>
      <c r="E34" s="47"/>
      <c r="F34" s="48">
        <v>1</v>
      </c>
      <c r="G34" s="206"/>
      <c r="H34" s="206"/>
      <c r="I34" s="207"/>
      <c r="J34" s="148"/>
      <c r="K34" s="148"/>
      <c r="L34" s="148"/>
      <c r="M34" s="148"/>
      <c r="N34" s="148"/>
    </row>
    <row r="35" spans="1:14" s="149" customFormat="1" ht="13.5" customHeight="1">
      <c r="A35" s="205"/>
      <c r="B35" s="47"/>
      <c r="C35" s="47"/>
      <c r="D35" s="47" t="s">
        <v>483</v>
      </c>
      <c r="E35" s="47"/>
      <c r="F35" s="48">
        <v>1</v>
      </c>
      <c r="G35" s="206"/>
      <c r="H35" s="206"/>
      <c r="I35" s="207"/>
      <c r="J35" s="148"/>
      <c r="K35" s="148"/>
      <c r="L35" s="148"/>
      <c r="M35" s="148"/>
      <c r="N35" s="148"/>
    </row>
    <row r="36" spans="1:14" s="149" customFormat="1" ht="13.5" customHeight="1">
      <c r="A36" s="205"/>
      <c r="B36" s="47"/>
      <c r="C36" s="47"/>
      <c r="D36" s="47" t="s">
        <v>475</v>
      </c>
      <c r="E36" s="47"/>
      <c r="F36" s="48">
        <v>1</v>
      </c>
      <c r="G36" s="206"/>
      <c r="H36" s="206"/>
      <c r="I36" s="207"/>
      <c r="J36" s="148"/>
      <c r="K36" s="148"/>
      <c r="L36" s="148"/>
      <c r="M36" s="148"/>
      <c r="N36" s="148"/>
    </row>
    <row r="37" spans="1:14" s="149" customFormat="1" ht="13.5" customHeight="1">
      <c r="A37" s="205"/>
      <c r="B37" s="47"/>
      <c r="C37" s="47"/>
      <c r="D37" s="47" t="s">
        <v>444</v>
      </c>
      <c r="E37" s="47"/>
      <c r="F37" s="48">
        <v>1</v>
      </c>
      <c r="G37" s="206"/>
      <c r="H37" s="206"/>
      <c r="I37" s="207"/>
      <c r="J37" s="148"/>
      <c r="K37" s="148"/>
      <c r="L37" s="148"/>
      <c r="M37" s="148"/>
      <c r="N37" s="148"/>
    </row>
    <row r="38" spans="1:14" s="149" customFormat="1" ht="13.5" customHeight="1">
      <c r="A38" s="205"/>
      <c r="B38" s="47"/>
      <c r="C38" s="47"/>
      <c r="D38" s="47" t="s">
        <v>424</v>
      </c>
      <c r="E38" s="47"/>
      <c r="F38" s="48">
        <v>1</v>
      </c>
      <c r="G38" s="206"/>
      <c r="H38" s="206"/>
      <c r="I38" s="207"/>
      <c r="J38" s="148"/>
      <c r="K38" s="148"/>
      <c r="L38" s="148"/>
      <c r="M38" s="148"/>
      <c r="N38" s="148"/>
    </row>
    <row r="39" spans="1:14" s="2" customFormat="1" ht="27" customHeight="1">
      <c r="A39" s="42">
        <v>12</v>
      </c>
      <c r="B39" s="43" t="s">
        <v>418</v>
      </c>
      <c r="C39" s="44" t="s">
        <v>430</v>
      </c>
      <c r="D39" s="44" t="s">
        <v>425</v>
      </c>
      <c r="E39" s="44" t="s">
        <v>141</v>
      </c>
      <c r="F39" s="154">
        <f>F43+F44+F45+F46+F47</f>
        <v>5</v>
      </c>
      <c r="G39" s="45"/>
      <c r="H39" s="45">
        <f>F39*G39</f>
        <v>0</v>
      </c>
      <c r="I39" s="46" t="s">
        <v>103</v>
      </c>
      <c r="J39" s="12"/>
      <c r="K39" s="12"/>
      <c r="L39" s="12"/>
      <c r="M39" s="12"/>
      <c r="N39" s="12"/>
    </row>
    <row r="40" spans="1:14" s="2" customFormat="1" ht="25.5" customHeight="1">
      <c r="A40" s="51"/>
      <c r="B40" s="52"/>
      <c r="C40" s="52"/>
      <c r="D40" s="47" t="s">
        <v>419</v>
      </c>
      <c r="E40" s="52"/>
      <c r="F40" s="48"/>
      <c r="G40" s="69"/>
      <c r="H40" s="45"/>
      <c r="I40" s="49"/>
      <c r="J40" s="12"/>
      <c r="K40" s="12"/>
      <c r="L40" s="12"/>
      <c r="M40" s="12"/>
      <c r="N40" s="12"/>
    </row>
    <row r="41" spans="1:14" s="2" customFormat="1" ht="25.5" customHeight="1">
      <c r="A41" s="51"/>
      <c r="B41" s="52"/>
      <c r="C41" s="52"/>
      <c r="D41" s="47" t="s">
        <v>420</v>
      </c>
      <c r="E41" s="52"/>
      <c r="F41" s="48"/>
      <c r="G41" s="69"/>
      <c r="H41" s="45"/>
      <c r="I41" s="49"/>
      <c r="J41" s="161"/>
      <c r="K41" s="161"/>
      <c r="L41" s="162"/>
      <c r="M41" s="12"/>
      <c r="N41" s="12"/>
    </row>
    <row r="42" spans="1:14" s="165" customFormat="1" ht="13.5" customHeight="1">
      <c r="A42" s="203"/>
      <c r="B42" s="43"/>
      <c r="C42" s="44"/>
      <c r="D42" s="47" t="s">
        <v>421</v>
      </c>
      <c r="E42" s="44"/>
      <c r="F42" s="48"/>
      <c r="G42" s="45"/>
      <c r="H42" s="45"/>
      <c r="I42" s="204"/>
      <c r="J42" s="163"/>
      <c r="K42" s="163"/>
      <c r="L42" s="164"/>
      <c r="M42" s="164"/>
      <c r="N42" s="164"/>
    </row>
    <row r="43" spans="1:14" s="149" customFormat="1" ht="13.5" customHeight="1">
      <c r="A43" s="205"/>
      <c r="B43" s="47"/>
      <c r="C43" s="47"/>
      <c r="D43" s="47" t="s">
        <v>509</v>
      </c>
      <c r="E43" s="47"/>
      <c r="F43" s="48">
        <v>1</v>
      </c>
      <c r="G43" s="206"/>
      <c r="H43" s="206"/>
      <c r="I43" s="207"/>
      <c r="J43" s="148"/>
      <c r="K43" s="148"/>
      <c r="L43" s="148"/>
      <c r="M43" s="148"/>
      <c r="N43" s="148"/>
    </row>
    <row r="44" spans="1:14" s="149" customFormat="1" ht="13.5" customHeight="1">
      <c r="A44" s="205"/>
      <c r="B44" s="47"/>
      <c r="C44" s="47"/>
      <c r="D44" s="47" t="s">
        <v>507</v>
      </c>
      <c r="E44" s="47"/>
      <c r="F44" s="48">
        <v>1</v>
      </c>
      <c r="G44" s="206"/>
      <c r="H44" s="206"/>
      <c r="I44" s="207"/>
      <c r="J44" s="148"/>
      <c r="K44" s="148"/>
      <c r="L44" s="148"/>
      <c r="M44" s="148"/>
      <c r="N44" s="148"/>
    </row>
    <row r="45" spans="1:14" s="149" customFormat="1" ht="13.5" customHeight="1">
      <c r="A45" s="205"/>
      <c r="B45" s="47"/>
      <c r="C45" s="47"/>
      <c r="D45" s="47" t="s">
        <v>476</v>
      </c>
      <c r="E45" s="47"/>
      <c r="F45" s="48">
        <v>1</v>
      </c>
      <c r="G45" s="206"/>
      <c r="H45" s="206"/>
      <c r="I45" s="207"/>
      <c r="J45" s="148"/>
      <c r="K45" s="148"/>
      <c r="L45" s="148"/>
      <c r="M45" s="148"/>
      <c r="N45" s="148"/>
    </row>
    <row r="46" spans="1:14" s="149" customFormat="1" ht="13.5" customHeight="1">
      <c r="A46" s="205"/>
      <c r="B46" s="47"/>
      <c r="C46" s="47"/>
      <c r="D46" s="47" t="s">
        <v>445</v>
      </c>
      <c r="E46" s="47"/>
      <c r="F46" s="48">
        <v>1</v>
      </c>
      <c r="G46" s="206"/>
      <c r="H46" s="206"/>
      <c r="I46" s="207"/>
      <c r="J46" s="148"/>
      <c r="K46" s="148"/>
      <c r="L46" s="148"/>
      <c r="M46" s="148"/>
      <c r="N46" s="148"/>
    </row>
    <row r="47" spans="1:14" s="149" customFormat="1" ht="13.5" customHeight="1">
      <c r="A47" s="205"/>
      <c r="B47" s="47"/>
      <c r="C47" s="47"/>
      <c r="D47" s="47" t="s">
        <v>426</v>
      </c>
      <c r="E47" s="47"/>
      <c r="F47" s="48">
        <v>1</v>
      </c>
      <c r="G47" s="206"/>
      <c r="H47" s="206"/>
      <c r="I47" s="207"/>
      <c r="J47" s="148"/>
      <c r="K47" s="148"/>
      <c r="L47" s="148"/>
      <c r="M47" s="148"/>
      <c r="N47" s="148"/>
    </row>
    <row r="48" spans="1:14" s="2" customFormat="1" ht="27" customHeight="1">
      <c r="A48" s="42">
        <v>13</v>
      </c>
      <c r="B48" s="43" t="s">
        <v>418</v>
      </c>
      <c r="C48" s="44" t="s">
        <v>431</v>
      </c>
      <c r="D48" s="44" t="s">
        <v>446</v>
      </c>
      <c r="E48" s="44" t="s">
        <v>141</v>
      </c>
      <c r="F48" s="154">
        <f>F52+F53</f>
        <v>2</v>
      </c>
      <c r="G48" s="45"/>
      <c r="H48" s="45">
        <f>F48*G48</f>
        <v>0</v>
      </c>
      <c r="I48" s="46" t="s">
        <v>103</v>
      </c>
      <c r="J48" s="12"/>
      <c r="K48" s="12"/>
      <c r="L48" s="12"/>
      <c r="M48" s="12"/>
      <c r="N48" s="12"/>
    </row>
    <row r="49" spans="1:14" s="2" customFormat="1" ht="25.5" customHeight="1">
      <c r="A49" s="51"/>
      <c r="B49" s="52"/>
      <c r="C49" s="52"/>
      <c r="D49" s="47" t="s">
        <v>419</v>
      </c>
      <c r="E49" s="52"/>
      <c r="F49" s="48"/>
      <c r="G49" s="69"/>
      <c r="H49" s="45"/>
      <c r="I49" s="49"/>
      <c r="J49" s="12"/>
      <c r="K49" s="12"/>
      <c r="L49" s="12"/>
      <c r="M49" s="12"/>
      <c r="N49" s="12"/>
    </row>
    <row r="50" spans="1:14" s="2" customFormat="1" ht="25.5" customHeight="1">
      <c r="A50" s="51"/>
      <c r="B50" s="52"/>
      <c r="C50" s="52"/>
      <c r="D50" s="47" t="s">
        <v>420</v>
      </c>
      <c r="E50" s="52"/>
      <c r="F50" s="48"/>
      <c r="G50" s="69"/>
      <c r="H50" s="45"/>
      <c r="I50" s="49"/>
      <c r="J50" s="161"/>
      <c r="K50" s="161"/>
      <c r="L50" s="162"/>
      <c r="M50" s="12"/>
      <c r="N50" s="12"/>
    </row>
    <row r="51" spans="1:14" s="165" customFormat="1" ht="13.5" customHeight="1">
      <c r="A51" s="203"/>
      <c r="B51" s="43"/>
      <c r="C51" s="44"/>
      <c r="D51" s="47" t="s">
        <v>421</v>
      </c>
      <c r="E51" s="44"/>
      <c r="F51" s="48"/>
      <c r="G51" s="45"/>
      <c r="H51" s="45"/>
      <c r="I51" s="204"/>
      <c r="J51" s="163"/>
      <c r="K51" s="163"/>
      <c r="L51" s="164"/>
      <c r="M51" s="164"/>
      <c r="N51" s="164"/>
    </row>
    <row r="52" spans="1:14" s="149" customFormat="1" ht="13.5" customHeight="1">
      <c r="A52" s="205"/>
      <c r="B52" s="47"/>
      <c r="C52" s="47"/>
      <c r="D52" s="47" t="s">
        <v>510</v>
      </c>
      <c r="E52" s="47"/>
      <c r="F52" s="48">
        <v>1</v>
      </c>
      <c r="G52" s="206"/>
      <c r="H52" s="206"/>
      <c r="I52" s="207"/>
      <c r="J52" s="148"/>
      <c r="K52" s="148"/>
      <c r="L52" s="148"/>
      <c r="M52" s="148"/>
      <c r="N52" s="148"/>
    </row>
    <row r="53" spans="1:14" s="149" customFormat="1" ht="13.5" customHeight="1">
      <c r="A53" s="205"/>
      <c r="B53" s="47"/>
      <c r="C53" s="47"/>
      <c r="D53" s="47" t="s">
        <v>447</v>
      </c>
      <c r="E53" s="47"/>
      <c r="F53" s="48">
        <v>1</v>
      </c>
      <c r="G53" s="206"/>
      <c r="H53" s="206"/>
      <c r="I53" s="207"/>
      <c r="J53" s="148"/>
      <c r="K53" s="148"/>
      <c r="L53" s="148"/>
      <c r="M53" s="148"/>
      <c r="N53" s="148"/>
    </row>
    <row r="54" spans="1:14" s="2" customFormat="1" ht="27" customHeight="1">
      <c r="A54" s="42">
        <v>14</v>
      </c>
      <c r="B54" s="43" t="s">
        <v>418</v>
      </c>
      <c r="C54" s="44" t="s">
        <v>432</v>
      </c>
      <c r="D54" s="44" t="s">
        <v>449</v>
      </c>
      <c r="E54" s="44" t="s">
        <v>141</v>
      </c>
      <c r="F54" s="154">
        <f>F58+F59+F60+F61</f>
        <v>7</v>
      </c>
      <c r="G54" s="45"/>
      <c r="H54" s="45">
        <f>F54*G54</f>
        <v>0</v>
      </c>
      <c r="I54" s="46" t="s">
        <v>103</v>
      </c>
      <c r="J54" s="12"/>
      <c r="K54" s="12"/>
      <c r="L54" s="12"/>
      <c r="M54" s="12"/>
      <c r="N54" s="12"/>
    </row>
    <row r="55" spans="1:14" s="2" customFormat="1" ht="25.5" customHeight="1">
      <c r="A55" s="51"/>
      <c r="B55" s="52"/>
      <c r="C55" s="52"/>
      <c r="D55" s="47" t="s">
        <v>419</v>
      </c>
      <c r="E55" s="52"/>
      <c r="F55" s="48"/>
      <c r="G55" s="69"/>
      <c r="H55" s="45"/>
      <c r="I55" s="49"/>
      <c r="J55" s="12"/>
      <c r="K55" s="12"/>
      <c r="L55" s="12"/>
      <c r="M55" s="12"/>
      <c r="N55" s="12"/>
    </row>
    <row r="56" spans="1:14" s="2" customFormat="1" ht="25.5" customHeight="1">
      <c r="A56" s="51"/>
      <c r="B56" s="52"/>
      <c r="C56" s="52"/>
      <c r="D56" s="47" t="s">
        <v>420</v>
      </c>
      <c r="E56" s="52"/>
      <c r="F56" s="48"/>
      <c r="G56" s="69"/>
      <c r="H56" s="45"/>
      <c r="I56" s="49"/>
      <c r="J56" s="161"/>
      <c r="K56" s="161"/>
      <c r="L56" s="162"/>
      <c r="M56" s="12"/>
      <c r="N56" s="12"/>
    </row>
    <row r="57" spans="1:14" s="165" customFormat="1" ht="13.5" customHeight="1">
      <c r="A57" s="203"/>
      <c r="B57" s="43"/>
      <c r="C57" s="44"/>
      <c r="D57" s="47" t="s">
        <v>421</v>
      </c>
      <c r="E57" s="44"/>
      <c r="F57" s="48"/>
      <c r="G57" s="45"/>
      <c r="H57" s="45"/>
      <c r="I57" s="204"/>
      <c r="J57" s="163"/>
      <c r="K57" s="163"/>
      <c r="L57" s="164"/>
      <c r="M57" s="164"/>
      <c r="N57" s="164"/>
    </row>
    <row r="58" spans="1:14" s="149" customFormat="1" ht="13.5" customHeight="1">
      <c r="A58" s="205"/>
      <c r="B58" s="47"/>
      <c r="C58" s="47"/>
      <c r="D58" s="47" t="s">
        <v>511</v>
      </c>
      <c r="E58" s="47"/>
      <c r="F58" s="48">
        <v>1</v>
      </c>
      <c r="G58" s="206"/>
      <c r="H58" s="206"/>
      <c r="I58" s="207"/>
      <c r="J58" s="148"/>
      <c r="K58" s="148"/>
      <c r="L58" s="148"/>
      <c r="M58" s="148"/>
      <c r="N58" s="148"/>
    </row>
    <row r="59" spans="1:14" s="149" customFormat="1" ht="13.5" customHeight="1">
      <c r="A59" s="205"/>
      <c r="B59" s="47"/>
      <c r="C59" s="47"/>
      <c r="D59" s="47" t="s">
        <v>484</v>
      </c>
      <c r="E59" s="47"/>
      <c r="F59" s="48">
        <v>2</v>
      </c>
      <c r="G59" s="206"/>
      <c r="H59" s="206"/>
      <c r="I59" s="207"/>
      <c r="J59" s="148"/>
      <c r="K59" s="148"/>
      <c r="L59" s="148"/>
      <c r="M59" s="148"/>
      <c r="N59" s="148"/>
    </row>
    <row r="60" spans="1:14" s="149" customFormat="1" ht="13.5" customHeight="1">
      <c r="A60" s="205"/>
      <c r="B60" s="47"/>
      <c r="C60" s="47"/>
      <c r="D60" s="47" t="s">
        <v>477</v>
      </c>
      <c r="E60" s="47"/>
      <c r="F60" s="48">
        <v>2</v>
      </c>
      <c r="G60" s="206"/>
      <c r="H60" s="206"/>
      <c r="I60" s="207"/>
      <c r="J60" s="148"/>
      <c r="K60" s="148"/>
      <c r="L60" s="148"/>
      <c r="M60" s="148"/>
      <c r="N60" s="148"/>
    </row>
    <row r="61" spans="1:14" s="149" customFormat="1" ht="13.5" customHeight="1">
      <c r="A61" s="205"/>
      <c r="B61" s="47"/>
      <c r="C61" s="47"/>
      <c r="D61" s="47" t="s">
        <v>448</v>
      </c>
      <c r="E61" s="47"/>
      <c r="F61" s="48">
        <v>2</v>
      </c>
      <c r="G61" s="206"/>
      <c r="H61" s="206"/>
      <c r="I61" s="207"/>
      <c r="J61" s="148"/>
      <c r="K61" s="148"/>
      <c r="L61" s="148"/>
      <c r="M61" s="148"/>
      <c r="N61" s="148"/>
    </row>
    <row r="62" spans="1:14" s="2" customFormat="1" ht="27" customHeight="1">
      <c r="A62" s="42">
        <v>15</v>
      </c>
      <c r="B62" s="43" t="s">
        <v>418</v>
      </c>
      <c r="C62" s="44" t="s">
        <v>454</v>
      </c>
      <c r="D62" s="44" t="s">
        <v>451</v>
      </c>
      <c r="E62" s="44" t="s">
        <v>141</v>
      </c>
      <c r="F62" s="154">
        <f>F66</f>
        <v>1</v>
      </c>
      <c r="G62" s="45"/>
      <c r="H62" s="45">
        <f>F62*G62</f>
        <v>0</v>
      </c>
      <c r="I62" s="46" t="s">
        <v>103</v>
      </c>
      <c r="J62" s="12"/>
      <c r="K62" s="12"/>
      <c r="L62" s="12"/>
      <c r="M62" s="12"/>
      <c r="N62" s="12"/>
    </row>
    <row r="63" spans="1:14" s="2" customFormat="1" ht="25.5" customHeight="1">
      <c r="A63" s="51"/>
      <c r="B63" s="52"/>
      <c r="C63" s="52"/>
      <c r="D63" s="47" t="s">
        <v>419</v>
      </c>
      <c r="E63" s="52"/>
      <c r="F63" s="48"/>
      <c r="G63" s="69"/>
      <c r="H63" s="45"/>
      <c r="I63" s="49"/>
      <c r="J63" s="12"/>
      <c r="K63" s="12"/>
      <c r="L63" s="12"/>
      <c r="M63" s="12"/>
      <c r="N63" s="12"/>
    </row>
    <row r="64" spans="1:14" s="2" customFormat="1" ht="25.5" customHeight="1">
      <c r="A64" s="51"/>
      <c r="B64" s="52"/>
      <c r="C64" s="52"/>
      <c r="D64" s="47" t="s">
        <v>420</v>
      </c>
      <c r="E64" s="52"/>
      <c r="F64" s="48"/>
      <c r="G64" s="69"/>
      <c r="H64" s="45"/>
      <c r="I64" s="49"/>
      <c r="J64" s="161"/>
      <c r="K64" s="161"/>
      <c r="L64" s="162"/>
      <c r="M64" s="12"/>
      <c r="N64" s="12"/>
    </row>
    <row r="65" spans="1:14" s="165" customFormat="1" ht="13.5" customHeight="1">
      <c r="A65" s="203"/>
      <c r="B65" s="43"/>
      <c r="C65" s="44"/>
      <c r="D65" s="47" t="s">
        <v>421</v>
      </c>
      <c r="E65" s="44"/>
      <c r="F65" s="48"/>
      <c r="G65" s="45"/>
      <c r="H65" s="45"/>
      <c r="I65" s="204"/>
      <c r="J65" s="163"/>
      <c r="K65" s="163"/>
      <c r="L65" s="164"/>
      <c r="M65" s="164"/>
      <c r="N65" s="164"/>
    </row>
    <row r="66" spans="1:14" s="149" customFormat="1" ht="13.5" customHeight="1">
      <c r="A66" s="205"/>
      <c r="B66" s="47"/>
      <c r="C66" s="47"/>
      <c r="D66" s="47" t="s">
        <v>450</v>
      </c>
      <c r="E66" s="47"/>
      <c r="F66" s="48">
        <v>1</v>
      </c>
      <c r="G66" s="206"/>
      <c r="H66" s="206"/>
      <c r="I66" s="207"/>
      <c r="J66" s="148"/>
      <c r="K66" s="148"/>
      <c r="L66" s="148"/>
      <c r="M66" s="148"/>
      <c r="N66" s="148"/>
    </row>
    <row r="67" spans="1:14" s="2" customFormat="1" ht="27" customHeight="1">
      <c r="A67" s="42">
        <v>16</v>
      </c>
      <c r="B67" s="43" t="s">
        <v>418</v>
      </c>
      <c r="C67" s="44" t="s">
        <v>455</v>
      </c>
      <c r="D67" s="44" t="s">
        <v>427</v>
      </c>
      <c r="E67" s="44" t="s">
        <v>141</v>
      </c>
      <c r="F67" s="154">
        <f>F71+F72+F73+F74+F75</f>
        <v>21</v>
      </c>
      <c r="G67" s="45"/>
      <c r="H67" s="45">
        <f>F67*G67</f>
        <v>0</v>
      </c>
      <c r="I67" s="46" t="s">
        <v>103</v>
      </c>
      <c r="J67" s="12"/>
      <c r="K67" s="12"/>
      <c r="L67" s="12"/>
      <c r="M67" s="12"/>
      <c r="N67" s="12"/>
    </row>
    <row r="68" spans="1:14" s="2" customFormat="1" ht="25.5" customHeight="1">
      <c r="A68" s="51"/>
      <c r="B68" s="52"/>
      <c r="C68" s="52"/>
      <c r="D68" s="47" t="s">
        <v>419</v>
      </c>
      <c r="E68" s="52"/>
      <c r="F68" s="48"/>
      <c r="G68" s="69"/>
      <c r="H68" s="45"/>
      <c r="I68" s="49"/>
      <c r="J68" s="12"/>
      <c r="K68" s="12"/>
      <c r="L68" s="12"/>
      <c r="M68" s="12"/>
      <c r="N68" s="12"/>
    </row>
    <row r="69" spans="1:14" s="2" customFormat="1" ht="25.5" customHeight="1">
      <c r="A69" s="51"/>
      <c r="B69" s="52"/>
      <c r="C69" s="52"/>
      <c r="D69" s="47" t="s">
        <v>420</v>
      </c>
      <c r="E69" s="52"/>
      <c r="F69" s="48"/>
      <c r="G69" s="69"/>
      <c r="H69" s="45"/>
      <c r="I69" s="49"/>
      <c r="J69" s="161"/>
      <c r="K69" s="161"/>
      <c r="L69" s="162"/>
      <c r="M69" s="12"/>
      <c r="N69" s="12"/>
    </row>
    <row r="70" spans="1:14" s="165" customFormat="1" ht="13.5" customHeight="1">
      <c r="A70" s="203"/>
      <c r="B70" s="43"/>
      <c r="C70" s="44"/>
      <c r="D70" s="47" t="s">
        <v>421</v>
      </c>
      <c r="E70" s="44"/>
      <c r="F70" s="48"/>
      <c r="G70" s="45"/>
      <c r="H70" s="45"/>
      <c r="I70" s="204"/>
      <c r="J70" s="163"/>
      <c r="K70" s="163"/>
      <c r="L70" s="164"/>
      <c r="M70" s="164"/>
      <c r="N70" s="164"/>
    </row>
    <row r="71" spans="1:14" s="149" customFormat="1" ht="13.5" customHeight="1">
      <c r="A71" s="205"/>
      <c r="B71" s="47"/>
      <c r="C71" s="47"/>
      <c r="D71" s="47" t="s">
        <v>512</v>
      </c>
      <c r="E71" s="47"/>
      <c r="F71" s="48">
        <v>9</v>
      </c>
      <c r="G71" s="206"/>
      <c r="H71" s="206"/>
      <c r="I71" s="207"/>
      <c r="J71" s="148"/>
      <c r="K71" s="148"/>
      <c r="L71" s="148"/>
      <c r="M71" s="148"/>
      <c r="N71" s="148"/>
    </row>
    <row r="72" spans="1:14" s="149" customFormat="1" ht="13.5" customHeight="1">
      <c r="A72" s="205"/>
      <c r="B72" s="47"/>
      <c r="C72" s="47"/>
      <c r="D72" s="47" t="s">
        <v>485</v>
      </c>
      <c r="E72" s="47"/>
      <c r="F72" s="48">
        <v>3</v>
      </c>
      <c r="G72" s="206"/>
      <c r="H72" s="206"/>
      <c r="I72" s="207"/>
      <c r="J72" s="148"/>
      <c r="K72" s="148"/>
      <c r="L72" s="148"/>
      <c r="M72" s="148"/>
      <c r="N72" s="148"/>
    </row>
    <row r="73" spans="1:14" s="149" customFormat="1" ht="13.5" customHeight="1">
      <c r="A73" s="205"/>
      <c r="B73" s="47"/>
      <c r="C73" s="47"/>
      <c r="D73" s="47" t="s">
        <v>478</v>
      </c>
      <c r="E73" s="47"/>
      <c r="F73" s="48">
        <v>2</v>
      </c>
      <c r="G73" s="206"/>
      <c r="H73" s="206"/>
      <c r="I73" s="207"/>
      <c r="J73" s="148"/>
      <c r="K73" s="148"/>
      <c r="L73" s="148"/>
      <c r="M73" s="148"/>
      <c r="N73" s="148"/>
    </row>
    <row r="74" spans="1:14" s="149" customFormat="1" ht="13.5" customHeight="1">
      <c r="A74" s="205"/>
      <c r="B74" s="47"/>
      <c r="C74" s="47"/>
      <c r="D74" s="47" t="s">
        <v>452</v>
      </c>
      <c r="E74" s="47"/>
      <c r="F74" s="48">
        <v>3</v>
      </c>
      <c r="G74" s="206"/>
      <c r="H74" s="206"/>
      <c r="I74" s="207"/>
      <c r="J74" s="148"/>
      <c r="K74" s="148"/>
      <c r="L74" s="148"/>
      <c r="M74" s="148"/>
      <c r="N74" s="148"/>
    </row>
    <row r="75" spans="1:14" s="149" customFormat="1" ht="13.5" customHeight="1">
      <c r="A75" s="205"/>
      <c r="B75" s="47"/>
      <c r="C75" s="47"/>
      <c r="D75" s="47" t="s">
        <v>428</v>
      </c>
      <c r="E75" s="47"/>
      <c r="F75" s="48">
        <v>4</v>
      </c>
      <c r="G75" s="206"/>
      <c r="H75" s="206"/>
      <c r="I75" s="207"/>
      <c r="J75" s="148"/>
      <c r="K75" s="148"/>
      <c r="L75" s="148"/>
      <c r="M75" s="148"/>
      <c r="N75" s="148"/>
    </row>
    <row r="76" spans="1:14" s="2" customFormat="1" ht="27" customHeight="1">
      <c r="A76" s="42">
        <v>17</v>
      </c>
      <c r="B76" s="43" t="s">
        <v>418</v>
      </c>
      <c r="C76" s="44" t="s">
        <v>456</v>
      </c>
      <c r="D76" s="44" t="s">
        <v>434</v>
      </c>
      <c r="E76" s="44" t="s">
        <v>141</v>
      </c>
      <c r="F76" s="154">
        <f>F80+F81+F82+F83+F84</f>
        <v>10</v>
      </c>
      <c r="G76" s="45"/>
      <c r="H76" s="45">
        <f>F76*G76</f>
        <v>0</v>
      </c>
      <c r="I76" s="46" t="s">
        <v>103</v>
      </c>
      <c r="J76" s="12"/>
      <c r="K76" s="12"/>
      <c r="L76" s="12"/>
      <c r="M76" s="12"/>
      <c r="N76" s="12"/>
    </row>
    <row r="77" spans="1:14" s="2" customFormat="1" ht="25.5" customHeight="1">
      <c r="A77" s="51"/>
      <c r="B77" s="52"/>
      <c r="C77" s="52"/>
      <c r="D77" s="47" t="s">
        <v>419</v>
      </c>
      <c r="E77" s="52"/>
      <c r="F77" s="48"/>
      <c r="G77" s="69"/>
      <c r="H77" s="45"/>
      <c r="I77" s="49"/>
      <c r="J77" s="12"/>
      <c r="K77" s="12"/>
      <c r="L77" s="12"/>
      <c r="M77" s="12"/>
      <c r="N77" s="12"/>
    </row>
    <row r="78" spans="1:14" s="2" customFormat="1" ht="25.5" customHeight="1">
      <c r="A78" s="51"/>
      <c r="B78" s="52"/>
      <c r="C78" s="52"/>
      <c r="D78" s="47" t="s">
        <v>420</v>
      </c>
      <c r="E78" s="52"/>
      <c r="F78" s="48"/>
      <c r="G78" s="69"/>
      <c r="H78" s="45"/>
      <c r="I78" s="49"/>
      <c r="J78" s="161"/>
      <c r="K78" s="161"/>
      <c r="L78" s="162"/>
      <c r="M78" s="12"/>
      <c r="N78" s="12"/>
    </row>
    <row r="79" spans="1:14" s="165" customFormat="1" ht="13.5" customHeight="1">
      <c r="A79" s="203"/>
      <c r="B79" s="43"/>
      <c r="C79" s="44"/>
      <c r="D79" s="47" t="s">
        <v>421</v>
      </c>
      <c r="E79" s="44"/>
      <c r="F79" s="48"/>
      <c r="G79" s="45"/>
      <c r="H79" s="45"/>
      <c r="I79" s="204"/>
      <c r="J79" s="163"/>
      <c r="K79" s="163"/>
      <c r="L79" s="164"/>
      <c r="M79" s="164"/>
      <c r="N79" s="164"/>
    </row>
    <row r="80" spans="1:14" s="149" customFormat="1" ht="13.5" customHeight="1">
      <c r="A80" s="205"/>
      <c r="B80" s="47"/>
      <c r="C80" s="47"/>
      <c r="D80" s="47" t="s">
        <v>513</v>
      </c>
      <c r="E80" s="47"/>
      <c r="F80" s="48">
        <v>2</v>
      </c>
      <c r="G80" s="206"/>
      <c r="H80" s="206"/>
      <c r="I80" s="207"/>
      <c r="J80" s="148"/>
      <c r="K80" s="148"/>
      <c r="L80" s="148"/>
      <c r="M80" s="148"/>
      <c r="N80" s="148"/>
    </row>
    <row r="81" spans="1:14" s="149" customFormat="1" ht="13.5" customHeight="1">
      <c r="A81" s="205"/>
      <c r="B81" s="47"/>
      <c r="C81" s="47"/>
      <c r="D81" s="47" t="s">
        <v>486</v>
      </c>
      <c r="E81" s="47"/>
      <c r="F81" s="48">
        <v>2</v>
      </c>
      <c r="G81" s="206"/>
      <c r="H81" s="206"/>
      <c r="I81" s="207"/>
      <c r="J81" s="148"/>
      <c r="K81" s="148"/>
      <c r="L81" s="148"/>
      <c r="M81" s="148"/>
      <c r="N81" s="148"/>
    </row>
    <row r="82" spans="1:14" s="149" customFormat="1" ht="13.5" customHeight="1">
      <c r="A82" s="205"/>
      <c r="B82" s="47"/>
      <c r="C82" s="47"/>
      <c r="D82" s="47" t="s">
        <v>479</v>
      </c>
      <c r="E82" s="47"/>
      <c r="F82" s="48">
        <v>2</v>
      </c>
      <c r="G82" s="206"/>
      <c r="H82" s="206"/>
      <c r="I82" s="207"/>
      <c r="J82" s="148"/>
      <c r="K82" s="148"/>
      <c r="L82" s="148"/>
      <c r="M82" s="148"/>
      <c r="N82" s="148"/>
    </row>
    <row r="83" spans="1:14" s="149" customFormat="1" ht="13.5" customHeight="1">
      <c r="A83" s="205"/>
      <c r="B83" s="47"/>
      <c r="C83" s="47"/>
      <c r="D83" s="47" t="s">
        <v>453</v>
      </c>
      <c r="E83" s="47"/>
      <c r="F83" s="48">
        <v>2</v>
      </c>
      <c r="G83" s="206"/>
      <c r="H83" s="206"/>
      <c r="I83" s="207"/>
      <c r="J83" s="148"/>
      <c r="K83" s="148"/>
      <c r="L83" s="148"/>
      <c r="M83" s="148"/>
      <c r="N83" s="148"/>
    </row>
    <row r="84" spans="1:14" s="149" customFormat="1" ht="13.5" customHeight="1">
      <c r="A84" s="205"/>
      <c r="B84" s="47"/>
      <c r="C84" s="47"/>
      <c r="D84" s="47" t="s">
        <v>433</v>
      </c>
      <c r="E84" s="47"/>
      <c r="F84" s="48">
        <v>2</v>
      </c>
      <c r="G84" s="206"/>
      <c r="H84" s="206"/>
      <c r="I84" s="207"/>
      <c r="J84" s="148"/>
      <c r="K84" s="148"/>
      <c r="L84" s="148"/>
      <c r="M84" s="148"/>
      <c r="N84" s="148"/>
    </row>
    <row r="85" spans="1:14" s="2" customFormat="1" ht="27" customHeight="1">
      <c r="A85" s="42">
        <v>18</v>
      </c>
      <c r="B85" s="43" t="s">
        <v>418</v>
      </c>
      <c r="C85" s="44" t="s">
        <v>487</v>
      </c>
      <c r="D85" s="44" t="s">
        <v>489</v>
      </c>
      <c r="E85" s="44" t="s">
        <v>141</v>
      </c>
      <c r="F85" s="154">
        <f>F89</f>
        <v>2</v>
      </c>
      <c r="G85" s="45"/>
      <c r="H85" s="45">
        <f>F85*G85</f>
        <v>0</v>
      </c>
      <c r="I85" s="46" t="s">
        <v>103</v>
      </c>
      <c r="J85" s="12"/>
      <c r="K85" s="12"/>
      <c r="L85" s="12"/>
      <c r="M85" s="12"/>
      <c r="N85" s="12"/>
    </row>
    <row r="86" spans="1:14" s="2" customFormat="1" ht="25.5" customHeight="1">
      <c r="A86" s="51"/>
      <c r="B86" s="52"/>
      <c r="C86" s="52"/>
      <c r="D86" s="47" t="s">
        <v>419</v>
      </c>
      <c r="E86" s="52"/>
      <c r="F86" s="48"/>
      <c r="G86" s="69"/>
      <c r="H86" s="45"/>
      <c r="I86" s="49"/>
      <c r="J86" s="12"/>
      <c r="K86" s="12"/>
      <c r="L86" s="12"/>
      <c r="M86" s="12"/>
      <c r="N86" s="12"/>
    </row>
    <row r="87" spans="1:14" s="2" customFormat="1" ht="25.5" customHeight="1">
      <c r="A87" s="51"/>
      <c r="B87" s="52"/>
      <c r="C87" s="52"/>
      <c r="D87" s="47" t="s">
        <v>420</v>
      </c>
      <c r="E87" s="52"/>
      <c r="F87" s="48"/>
      <c r="G87" s="69"/>
      <c r="H87" s="45"/>
      <c r="I87" s="49"/>
      <c r="J87" s="161"/>
      <c r="K87" s="161"/>
      <c r="L87" s="162"/>
      <c r="M87" s="12"/>
      <c r="N87" s="12"/>
    </row>
    <row r="88" spans="1:14" s="165" customFormat="1" ht="13.5" customHeight="1">
      <c r="A88" s="203"/>
      <c r="B88" s="43"/>
      <c r="C88" s="44"/>
      <c r="D88" s="47" t="s">
        <v>421</v>
      </c>
      <c r="E88" s="44"/>
      <c r="F88" s="48"/>
      <c r="G88" s="45"/>
      <c r="H88" s="45"/>
      <c r="I88" s="204"/>
      <c r="J88" s="163"/>
      <c r="K88" s="163"/>
      <c r="L88" s="164"/>
      <c r="M88" s="164"/>
      <c r="N88" s="164"/>
    </row>
    <row r="89" spans="1:14" s="149" customFormat="1" ht="13.5" customHeight="1">
      <c r="A89" s="205"/>
      <c r="B89" s="47"/>
      <c r="C89" s="47"/>
      <c r="D89" s="47" t="s">
        <v>488</v>
      </c>
      <c r="E89" s="47"/>
      <c r="F89" s="48">
        <v>2</v>
      </c>
      <c r="G89" s="206"/>
      <c r="H89" s="206"/>
      <c r="I89" s="207"/>
      <c r="J89" s="148"/>
      <c r="K89" s="148"/>
      <c r="L89" s="148"/>
      <c r="M89" s="148"/>
      <c r="N89" s="148"/>
    </row>
    <row r="90" spans="1:14" s="2" customFormat="1" ht="27" customHeight="1">
      <c r="A90" s="42">
        <v>19</v>
      </c>
      <c r="B90" s="43" t="s">
        <v>418</v>
      </c>
      <c r="C90" s="44" t="s">
        <v>490</v>
      </c>
      <c r="D90" s="44" t="s">
        <v>491</v>
      </c>
      <c r="E90" s="44" t="s">
        <v>141</v>
      </c>
      <c r="F90" s="154">
        <f>F94</f>
        <v>1</v>
      </c>
      <c r="G90" s="45"/>
      <c r="H90" s="45">
        <f>F90*G90</f>
        <v>0</v>
      </c>
      <c r="I90" s="46" t="s">
        <v>103</v>
      </c>
      <c r="J90" s="12"/>
      <c r="K90" s="12"/>
      <c r="L90" s="12"/>
      <c r="M90" s="12"/>
      <c r="N90" s="12"/>
    </row>
    <row r="91" spans="1:14" s="2" customFormat="1" ht="25.5" customHeight="1">
      <c r="A91" s="51"/>
      <c r="B91" s="52"/>
      <c r="C91" s="52"/>
      <c r="D91" s="47" t="s">
        <v>419</v>
      </c>
      <c r="E91" s="52"/>
      <c r="F91" s="48"/>
      <c r="G91" s="69"/>
      <c r="H91" s="45"/>
      <c r="I91" s="49"/>
      <c r="J91" s="12"/>
      <c r="K91" s="12"/>
      <c r="L91" s="12"/>
      <c r="M91" s="12"/>
      <c r="N91" s="12"/>
    </row>
    <row r="92" spans="1:14" s="2" customFormat="1" ht="25.5" customHeight="1">
      <c r="A92" s="51"/>
      <c r="B92" s="52"/>
      <c r="C92" s="52"/>
      <c r="D92" s="47" t="s">
        <v>420</v>
      </c>
      <c r="E92" s="52"/>
      <c r="F92" s="48"/>
      <c r="G92" s="69"/>
      <c r="H92" s="45"/>
      <c r="I92" s="49"/>
      <c r="J92" s="161"/>
      <c r="K92" s="161"/>
      <c r="L92" s="162"/>
      <c r="M92" s="12"/>
      <c r="N92" s="12"/>
    </row>
    <row r="93" spans="1:14" s="165" customFormat="1" ht="13.5" customHeight="1">
      <c r="A93" s="203"/>
      <c r="B93" s="43"/>
      <c r="C93" s="44"/>
      <c r="D93" s="47" t="s">
        <v>421</v>
      </c>
      <c r="E93" s="44"/>
      <c r="F93" s="48"/>
      <c r="G93" s="45"/>
      <c r="H93" s="45"/>
      <c r="I93" s="204"/>
      <c r="J93" s="163"/>
      <c r="K93" s="163"/>
      <c r="L93" s="164"/>
      <c r="M93" s="164"/>
      <c r="N93" s="164"/>
    </row>
    <row r="94" spans="1:14" s="149" customFormat="1" ht="13.5" customHeight="1">
      <c r="A94" s="205"/>
      <c r="B94" s="47"/>
      <c r="C94" s="47"/>
      <c r="D94" s="47" t="s">
        <v>492</v>
      </c>
      <c r="E94" s="47"/>
      <c r="F94" s="48">
        <v>1</v>
      </c>
      <c r="G94" s="206"/>
      <c r="H94" s="206"/>
      <c r="I94" s="207"/>
      <c r="J94" s="148"/>
      <c r="K94" s="148"/>
      <c r="L94" s="148"/>
      <c r="M94" s="148"/>
      <c r="N94" s="148"/>
    </row>
    <row r="95" spans="1:14" s="2" customFormat="1" ht="27" customHeight="1">
      <c r="A95" s="42">
        <v>20</v>
      </c>
      <c r="B95" s="43" t="s">
        <v>418</v>
      </c>
      <c r="C95" s="44" t="s">
        <v>514</v>
      </c>
      <c r="D95" s="44" t="s">
        <v>516</v>
      </c>
      <c r="E95" s="44" t="s">
        <v>141</v>
      </c>
      <c r="F95" s="154">
        <f>F99</f>
        <v>1</v>
      </c>
      <c r="G95" s="45"/>
      <c r="H95" s="45">
        <f>F95*G95</f>
        <v>0</v>
      </c>
      <c r="I95" s="46" t="s">
        <v>103</v>
      </c>
      <c r="J95" s="12"/>
      <c r="K95" s="12"/>
      <c r="L95" s="12"/>
      <c r="M95" s="12"/>
      <c r="N95" s="12"/>
    </row>
    <row r="96" spans="1:14" s="2" customFormat="1" ht="25.5" customHeight="1">
      <c r="A96" s="51"/>
      <c r="B96" s="52"/>
      <c r="C96" s="52"/>
      <c r="D96" s="47" t="s">
        <v>419</v>
      </c>
      <c r="E96" s="52"/>
      <c r="F96" s="48"/>
      <c r="G96" s="69"/>
      <c r="H96" s="45"/>
      <c r="I96" s="49"/>
      <c r="J96" s="12"/>
      <c r="K96" s="12"/>
      <c r="L96" s="12"/>
      <c r="M96" s="12"/>
      <c r="N96" s="12"/>
    </row>
    <row r="97" spans="1:14" s="2" customFormat="1" ht="25.5" customHeight="1">
      <c r="A97" s="51"/>
      <c r="B97" s="52"/>
      <c r="C97" s="52"/>
      <c r="D97" s="47" t="s">
        <v>420</v>
      </c>
      <c r="E97" s="52"/>
      <c r="F97" s="48"/>
      <c r="G97" s="69"/>
      <c r="H97" s="45"/>
      <c r="I97" s="49"/>
      <c r="J97" s="161"/>
      <c r="K97" s="161"/>
      <c r="L97" s="162"/>
      <c r="M97" s="12"/>
      <c r="N97" s="12"/>
    </row>
    <row r="98" spans="1:14" s="165" customFormat="1" ht="13.5" customHeight="1">
      <c r="A98" s="203"/>
      <c r="B98" s="43"/>
      <c r="C98" s="44"/>
      <c r="D98" s="47" t="s">
        <v>421</v>
      </c>
      <c r="E98" s="44"/>
      <c r="F98" s="48"/>
      <c r="G98" s="45"/>
      <c r="H98" s="45"/>
      <c r="I98" s="204"/>
      <c r="J98" s="163"/>
      <c r="K98" s="163"/>
      <c r="L98" s="164"/>
      <c r="M98" s="164"/>
      <c r="N98" s="164"/>
    </row>
    <row r="99" spans="1:14" s="149" customFormat="1" ht="13.5" customHeight="1">
      <c r="A99" s="205"/>
      <c r="B99" s="47"/>
      <c r="C99" s="47"/>
      <c r="D99" s="47" t="s">
        <v>515</v>
      </c>
      <c r="E99" s="47"/>
      <c r="F99" s="48">
        <v>1</v>
      </c>
      <c r="G99" s="206"/>
      <c r="H99" s="206"/>
      <c r="I99" s="207"/>
      <c r="J99" s="148"/>
      <c r="K99" s="148"/>
      <c r="L99" s="148"/>
      <c r="M99" s="148"/>
      <c r="N99" s="148"/>
    </row>
    <row r="100" spans="1:14" s="2" customFormat="1" ht="13.5" customHeight="1">
      <c r="A100" s="5"/>
      <c r="B100" s="6"/>
      <c r="C100" s="6" t="s">
        <v>52</v>
      </c>
      <c r="D100" s="6" t="s">
        <v>53</v>
      </c>
      <c r="E100" s="6"/>
      <c r="F100" s="7"/>
      <c r="G100" s="8"/>
      <c r="H100" s="8">
        <f>SUM(H101:H139)+H142+H148+H160+SUM(H166:H402)+H412+H418+H424+H430</f>
        <v>0</v>
      </c>
      <c r="I100" s="11"/>
      <c r="J100" s="12"/>
      <c r="K100" s="12"/>
      <c r="L100" s="71"/>
      <c r="M100" s="12"/>
    </row>
    <row r="101" spans="1:14" s="9" customFormat="1" ht="26.25" customHeight="1">
      <c r="A101" s="42">
        <v>21</v>
      </c>
      <c r="B101" s="43" t="s">
        <v>39</v>
      </c>
      <c r="C101" s="44">
        <v>941111122</v>
      </c>
      <c r="D101" s="44" t="s">
        <v>67</v>
      </c>
      <c r="E101" s="44" t="s">
        <v>21</v>
      </c>
      <c r="F101" s="154">
        <f>F103+F104</f>
        <v>4910.8329999999996</v>
      </c>
      <c r="G101" s="72"/>
      <c r="H101" s="45">
        <f>F101*G101</f>
        <v>0</v>
      </c>
      <c r="I101" s="46" t="s">
        <v>68</v>
      </c>
      <c r="K101" s="70"/>
      <c r="L101" s="73"/>
    </row>
    <row r="102" spans="1:14" s="10" customFormat="1" ht="27" customHeight="1">
      <c r="A102" s="42"/>
      <c r="B102" s="43"/>
      <c r="C102" s="44"/>
      <c r="D102" s="47" t="s">
        <v>40</v>
      </c>
      <c r="E102" s="44"/>
      <c r="F102" s="48"/>
      <c r="G102" s="45"/>
      <c r="H102" s="45"/>
      <c r="I102" s="202"/>
      <c r="J102" s="9"/>
      <c r="K102" s="70"/>
      <c r="L102" s="73"/>
      <c r="M102" s="9"/>
    </row>
    <row r="103" spans="1:14" s="2" customFormat="1" ht="25.5" customHeight="1">
      <c r="A103" s="5"/>
      <c r="B103" s="6"/>
      <c r="C103" s="6"/>
      <c r="D103" s="146" t="s">
        <v>367</v>
      </c>
      <c r="E103" s="6"/>
      <c r="F103" s="48">
        <f>(92.4+1*2+28.7+1*2+14.4+1*2+20.7+1+21.4+18.7+17.2+1*1+14.5+1*2+28.7+1*2)*(14.71+0.52)</f>
        <v>4092.3009999999999</v>
      </c>
      <c r="G103" s="8"/>
      <c r="H103" s="8"/>
      <c r="I103" s="49"/>
      <c r="J103" s="12"/>
      <c r="K103" s="70"/>
      <c r="L103" s="73"/>
      <c r="M103" s="12"/>
    </row>
    <row r="104" spans="1:14" s="2" customFormat="1" ht="13.5" customHeight="1">
      <c r="A104" s="5"/>
      <c r="B104" s="6"/>
      <c r="C104" s="6"/>
      <c r="D104" s="146" t="s">
        <v>71</v>
      </c>
      <c r="E104" s="6"/>
      <c r="F104" s="48">
        <f>(6.4+1*1+26.1+1*2+6.4+1*1)*(18.56+0.52)</f>
        <v>818.53199999999993</v>
      </c>
      <c r="G104" s="8"/>
      <c r="H104" s="8"/>
      <c r="I104" s="49"/>
      <c r="J104" s="12"/>
      <c r="K104" s="70"/>
      <c r="L104" s="73"/>
      <c r="M104" s="12"/>
    </row>
    <row r="105" spans="1:14" s="2" customFormat="1" ht="23.25" customHeight="1">
      <c r="A105" s="42">
        <v>22</v>
      </c>
      <c r="B105" s="44">
        <v>941</v>
      </c>
      <c r="C105" s="44">
        <v>941111222</v>
      </c>
      <c r="D105" s="44" t="s">
        <v>69</v>
      </c>
      <c r="E105" s="44" t="s">
        <v>21</v>
      </c>
      <c r="F105" s="154">
        <f>F106</f>
        <v>883949.4</v>
      </c>
      <c r="G105" s="45"/>
      <c r="H105" s="45">
        <f>F105*G105</f>
        <v>0</v>
      </c>
      <c r="I105" s="46" t="s">
        <v>68</v>
      </c>
      <c r="J105" s="12"/>
      <c r="K105" s="12"/>
      <c r="L105" s="12"/>
      <c r="M105" s="12"/>
    </row>
    <row r="106" spans="1:14" s="10" customFormat="1" ht="13.5" customHeight="1">
      <c r="A106" s="42"/>
      <c r="B106" s="43"/>
      <c r="C106" s="44"/>
      <c r="D106" s="47" t="s">
        <v>368</v>
      </c>
      <c r="E106" s="44"/>
      <c r="F106" s="48">
        <f xml:space="preserve"> 4910.83*6*30</f>
        <v>883949.4</v>
      </c>
      <c r="G106" s="45"/>
      <c r="H106" s="45"/>
      <c r="I106" s="11"/>
      <c r="J106" s="9"/>
      <c r="K106" s="9"/>
      <c r="L106" s="9"/>
      <c r="M106" s="9"/>
    </row>
    <row r="107" spans="1:14" s="9" customFormat="1" ht="27" customHeight="1">
      <c r="A107" s="42">
        <v>23</v>
      </c>
      <c r="B107" s="43" t="s">
        <v>39</v>
      </c>
      <c r="C107" s="44">
        <v>941111822</v>
      </c>
      <c r="D107" s="44" t="s">
        <v>70</v>
      </c>
      <c r="E107" s="44" t="s">
        <v>21</v>
      </c>
      <c r="F107" s="154">
        <f>F108</f>
        <v>4910.8329999999996</v>
      </c>
      <c r="G107" s="45"/>
      <c r="H107" s="45">
        <f>F107*G107</f>
        <v>0</v>
      </c>
      <c r="I107" s="46" t="s">
        <v>68</v>
      </c>
      <c r="K107" s="70"/>
      <c r="L107" s="73"/>
    </row>
    <row r="108" spans="1:14" s="10" customFormat="1" ht="27" customHeight="1">
      <c r="A108" s="42"/>
      <c r="B108" s="43"/>
      <c r="C108" s="44"/>
      <c r="D108" s="47" t="s">
        <v>41</v>
      </c>
      <c r="E108" s="44"/>
      <c r="F108" s="48">
        <f>F101</f>
        <v>4910.8329999999996</v>
      </c>
      <c r="G108" s="45"/>
      <c r="H108" s="45"/>
      <c r="I108" s="202"/>
      <c r="J108" s="9"/>
      <c r="K108" s="70"/>
      <c r="L108" s="73"/>
      <c r="M108" s="9"/>
    </row>
    <row r="109" spans="1:14" s="12" customFormat="1" ht="13.5" customHeight="1">
      <c r="A109" s="42">
        <v>24</v>
      </c>
      <c r="B109" s="44">
        <v>944</v>
      </c>
      <c r="C109" s="44">
        <v>944511111</v>
      </c>
      <c r="D109" s="44" t="s">
        <v>42</v>
      </c>
      <c r="E109" s="44" t="s">
        <v>21</v>
      </c>
      <c r="F109" s="154">
        <f>F110+F111</f>
        <v>4910.8329999999996</v>
      </c>
      <c r="G109" s="72"/>
      <c r="H109" s="45">
        <f>F109*G109</f>
        <v>0</v>
      </c>
      <c r="I109" s="46" t="s">
        <v>68</v>
      </c>
      <c r="K109" s="70"/>
      <c r="L109" s="73"/>
    </row>
    <row r="110" spans="1:14" s="2" customFormat="1" ht="27" customHeight="1">
      <c r="A110" s="5"/>
      <c r="B110" s="6"/>
      <c r="C110" s="6"/>
      <c r="D110" s="146" t="s">
        <v>367</v>
      </c>
      <c r="E110" s="6"/>
      <c r="F110" s="48">
        <f>(92.4+1*2+28.7+1*2+14.4+1*2+20.7+1+21.4+18.7+17.2+1*1+14.5+1*2+28.7+1*2)*(14.71+0.52)</f>
        <v>4092.3009999999999</v>
      </c>
      <c r="G110" s="8"/>
      <c r="H110" s="8"/>
      <c r="I110" s="49"/>
      <c r="J110" s="12"/>
      <c r="K110" s="70"/>
      <c r="L110" s="73"/>
      <c r="M110" s="12"/>
    </row>
    <row r="111" spans="1:14" s="2" customFormat="1" ht="13.5" customHeight="1">
      <c r="A111" s="5"/>
      <c r="B111" s="6"/>
      <c r="C111" s="6"/>
      <c r="D111" s="146" t="s">
        <v>71</v>
      </c>
      <c r="E111" s="6"/>
      <c r="F111" s="48">
        <f>(6.4+1*1+26.1+1*2+6.4+1*1)*(18.56+0.52)</f>
        <v>818.53199999999993</v>
      </c>
      <c r="G111" s="8"/>
      <c r="H111" s="8"/>
      <c r="I111" s="49"/>
      <c r="J111" s="12"/>
      <c r="K111" s="70"/>
      <c r="L111" s="73"/>
      <c r="M111" s="12"/>
    </row>
    <row r="112" spans="1:14" s="12" customFormat="1" ht="13.5" customHeight="1">
      <c r="A112" s="42">
        <v>25</v>
      </c>
      <c r="B112" s="44">
        <v>944</v>
      </c>
      <c r="C112" s="44">
        <v>944511211</v>
      </c>
      <c r="D112" s="44" t="s">
        <v>54</v>
      </c>
      <c r="E112" s="44" t="s">
        <v>21</v>
      </c>
      <c r="F112" s="154">
        <f>F113</f>
        <v>883949.4</v>
      </c>
      <c r="G112" s="72"/>
      <c r="H112" s="45">
        <f>F112*G112</f>
        <v>0</v>
      </c>
      <c r="I112" s="46" t="s">
        <v>68</v>
      </c>
      <c r="K112" s="70"/>
      <c r="L112" s="73"/>
    </row>
    <row r="113" spans="1:13" s="10" customFormat="1" ht="13.5" customHeight="1">
      <c r="A113" s="42"/>
      <c r="B113" s="43"/>
      <c r="C113" s="44"/>
      <c r="D113" s="47" t="s">
        <v>369</v>
      </c>
      <c r="E113" s="44"/>
      <c r="F113" s="48">
        <f>4910.83*6*30</f>
        <v>883949.4</v>
      </c>
      <c r="G113" s="45"/>
      <c r="H113" s="45"/>
      <c r="I113" s="11"/>
      <c r="J113" s="9"/>
      <c r="K113" s="9"/>
      <c r="L113" s="9"/>
      <c r="M113" s="9"/>
    </row>
    <row r="114" spans="1:13" s="12" customFormat="1" ht="13.5" customHeight="1">
      <c r="A114" s="42">
        <v>26</v>
      </c>
      <c r="B114" s="44">
        <v>944</v>
      </c>
      <c r="C114" s="44">
        <v>944511811</v>
      </c>
      <c r="D114" s="44" t="s">
        <v>43</v>
      </c>
      <c r="E114" s="44" t="s">
        <v>21</v>
      </c>
      <c r="F114" s="154">
        <f>F109</f>
        <v>4910.8329999999996</v>
      </c>
      <c r="G114" s="45"/>
      <c r="H114" s="45">
        <f>F114*G114</f>
        <v>0</v>
      </c>
      <c r="I114" s="46" t="s">
        <v>68</v>
      </c>
      <c r="K114" s="70"/>
      <c r="L114" s="73"/>
    </row>
    <row r="115" spans="1:13" s="9" customFormat="1" ht="13.5" customHeight="1">
      <c r="A115" s="42">
        <v>27</v>
      </c>
      <c r="B115" s="43" t="s">
        <v>44</v>
      </c>
      <c r="C115" s="44">
        <v>944711114</v>
      </c>
      <c r="D115" s="44" t="s">
        <v>45</v>
      </c>
      <c r="E115" s="44" t="s">
        <v>46</v>
      </c>
      <c r="F115" s="154">
        <f>F116</f>
        <v>5</v>
      </c>
      <c r="G115" s="72"/>
      <c r="H115" s="45">
        <f>F115*G115</f>
        <v>0</v>
      </c>
      <c r="I115" s="46" t="s">
        <v>68</v>
      </c>
      <c r="K115" s="70"/>
      <c r="L115" s="73"/>
    </row>
    <row r="116" spans="1:13" s="10" customFormat="1" ht="13.5" customHeight="1">
      <c r="A116" s="42"/>
      <c r="B116" s="43"/>
      <c r="C116" s="44"/>
      <c r="D116" s="47" t="s">
        <v>72</v>
      </c>
      <c r="E116" s="44"/>
      <c r="F116" s="48">
        <f>2.5*2</f>
        <v>5</v>
      </c>
      <c r="G116" s="45"/>
      <c r="H116" s="45"/>
      <c r="I116" s="11"/>
      <c r="J116" s="9"/>
      <c r="K116" s="9"/>
      <c r="L116" s="9"/>
      <c r="M116" s="9"/>
    </row>
    <row r="117" spans="1:13" s="12" customFormat="1" ht="13.5" customHeight="1">
      <c r="A117" s="42">
        <v>28</v>
      </c>
      <c r="B117" s="44">
        <v>944</v>
      </c>
      <c r="C117" s="44">
        <v>944711214</v>
      </c>
      <c r="D117" s="44" t="s">
        <v>55</v>
      </c>
      <c r="E117" s="44" t="s">
        <v>46</v>
      </c>
      <c r="F117" s="154">
        <f>F118</f>
        <v>900</v>
      </c>
      <c r="G117" s="72"/>
      <c r="H117" s="45">
        <f>F117*G117</f>
        <v>0</v>
      </c>
      <c r="I117" s="46" t="s">
        <v>68</v>
      </c>
      <c r="K117" s="70"/>
      <c r="L117" s="73"/>
    </row>
    <row r="118" spans="1:13" s="10" customFormat="1" ht="13.5" customHeight="1">
      <c r="A118" s="42"/>
      <c r="B118" s="43"/>
      <c r="C118" s="44"/>
      <c r="D118" s="47" t="s">
        <v>73</v>
      </c>
      <c r="E118" s="44"/>
      <c r="F118" s="48">
        <f xml:space="preserve"> 5*6*30</f>
        <v>900</v>
      </c>
      <c r="G118" s="45"/>
      <c r="H118" s="45"/>
      <c r="I118" s="11"/>
      <c r="J118" s="9"/>
      <c r="K118" s="9"/>
      <c r="L118" s="9"/>
      <c r="M118" s="9"/>
    </row>
    <row r="119" spans="1:13" s="9" customFormat="1" ht="13.5" customHeight="1">
      <c r="A119" s="42">
        <v>29</v>
      </c>
      <c r="B119" s="43" t="s">
        <v>44</v>
      </c>
      <c r="C119" s="44">
        <v>944711814</v>
      </c>
      <c r="D119" s="44" t="s">
        <v>47</v>
      </c>
      <c r="E119" s="44" t="s">
        <v>46</v>
      </c>
      <c r="F119" s="154">
        <v>5</v>
      </c>
      <c r="G119" s="45"/>
      <c r="H119" s="45">
        <f>F119*G119</f>
        <v>0</v>
      </c>
      <c r="I119" s="46" t="s">
        <v>68</v>
      </c>
    </row>
    <row r="120" spans="1:13" s="2" customFormat="1" ht="24.75" customHeight="1">
      <c r="A120" s="42">
        <v>30</v>
      </c>
      <c r="B120" s="44">
        <v>949</v>
      </c>
      <c r="C120" s="44">
        <v>949101112</v>
      </c>
      <c r="D120" s="44" t="s">
        <v>48</v>
      </c>
      <c r="E120" s="44" t="s">
        <v>21</v>
      </c>
      <c r="F120" s="154">
        <f>SUM(F123:F129)</f>
        <v>6424.4999999999991</v>
      </c>
      <c r="G120" s="45"/>
      <c r="H120" s="45">
        <f>F120*G120</f>
        <v>0</v>
      </c>
      <c r="I120" s="46" t="s">
        <v>68</v>
      </c>
      <c r="J120" s="12"/>
      <c r="K120" s="12"/>
      <c r="L120" s="12"/>
      <c r="M120" s="12"/>
    </row>
    <row r="121" spans="1:13" s="2" customFormat="1" ht="13.5" customHeight="1">
      <c r="A121" s="5"/>
      <c r="B121" s="167"/>
      <c r="C121" s="6"/>
      <c r="D121" s="47" t="s">
        <v>49</v>
      </c>
      <c r="E121" s="6"/>
      <c r="F121" s="48"/>
      <c r="G121" s="8"/>
      <c r="H121" s="8"/>
      <c r="I121" s="49"/>
      <c r="J121" s="12"/>
      <c r="K121" s="12"/>
      <c r="L121" s="12"/>
      <c r="M121" s="12"/>
    </row>
    <row r="122" spans="1:13" s="2" customFormat="1" ht="13.5" customHeight="1">
      <c r="A122" s="5"/>
      <c r="B122" s="167"/>
      <c r="C122" s="6"/>
      <c r="D122" s="47" t="s">
        <v>50</v>
      </c>
      <c r="E122" s="6"/>
      <c r="F122" s="48"/>
      <c r="G122" s="8"/>
      <c r="H122" s="8"/>
      <c r="I122" s="49"/>
      <c r="J122" s="12"/>
      <c r="K122" s="12"/>
      <c r="L122" s="12"/>
      <c r="M122" s="12"/>
    </row>
    <row r="123" spans="1:13" s="12" customFormat="1" ht="13.5" customHeight="1">
      <c r="A123" s="42"/>
      <c r="B123" s="43"/>
      <c r="C123" s="44"/>
      <c r="D123" s="47" t="s">
        <v>74</v>
      </c>
      <c r="E123" s="44"/>
      <c r="F123" s="48">
        <v>229.9</v>
      </c>
      <c r="G123" s="45"/>
      <c r="H123" s="45"/>
      <c r="I123" s="46"/>
    </row>
    <row r="124" spans="1:13" s="12" customFormat="1" ht="39" customHeight="1">
      <c r="A124" s="42"/>
      <c r="B124" s="43"/>
      <c r="C124" s="44"/>
      <c r="D124" s="47" t="s">
        <v>517</v>
      </c>
      <c r="E124" s="44"/>
      <c r="F124" s="48">
        <f>113.96+10.11+38.43+215.23+19.71+11.94+12.44+11.64+11.98+24.68+19.7+65.84+17.25+30.29+23.98+7.97+29.22+17.02+44.87+37.41+37.28+39.33+89.59+232.14</f>
        <v>1162.01</v>
      </c>
      <c r="G124" s="45"/>
      <c r="H124" s="45"/>
      <c r="I124" s="46"/>
    </row>
    <row r="125" spans="1:13" s="12" customFormat="1" ht="54" customHeight="1">
      <c r="A125" s="42"/>
      <c r="B125" s="43"/>
      <c r="C125" s="44"/>
      <c r="D125" s="47" t="s">
        <v>495</v>
      </c>
      <c r="E125" s="44"/>
      <c r="F125" s="48">
        <f>41.52+41.14+21.99+16.67+37.51+268.13+37.13+148.99+18.97+37.95+23.6+21.58+33.52+32.88+19+31.97+33.27+20.89+10.77+2.8+2.55+6.46+7.11+22.11+23.36+37.99+37.2+16.45+21.86+44.08+44.14+43.5+41.86+31.81+105.82</f>
        <v>1386.5799999999997</v>
      </c>
      <c r="G125" s="45"/>
      <c r="H125" s="45"/>
      <c r="I125" s="46"/>
    </row>
    <row r="126" spans="1:13" s="12" customFormat="1" ht="52.5" customHeight="1">
      <c r="A126" s="42"/>
      <c r="B126" s="43"/>
      <c r="C126" s="44"/>
      <c r="D126" s="47" t="s">
        <v>302</v>
      </c>
      <c r="E126" s="44"/>
      <c r="F126" s="48">
        <f>42.51+42.36+21.94+16.74+36.28+279.09+104.98+105.75+40.28+23.38+21.99+33.67+6.9+4.53+6.38+31.64+34.63+7.1+13.31+10.59+2.82+2.54+12.36+32.82+22.13+23.38+38.69+37.71+16.75+22.24+41.86+49.62+120.99+109.13</f>
        <v>1417.0899999999997</v>
      </c>
      <c r="G126" s="45"/>
      <c r="H126" s="45"/>
      <c r="I126" s="46"/>
    </row>
    <row r="127" spans="1:13" s="12" customFormat="1" ht="52.5" customHeight="1">
      <c r="A127" s="42"/>
      <c r="B127" s="43"/>
      <c r="C127" s="44"/>
      <c r="D127" s="47" t="s">
        <v>303</v>
      </c>
      <c r="E127" s="44"/>
      <c r="F127" s="48">
        <f>42.72+42.14+21.91+17.02+37.81+38.34+287.08+105.56+105.51+22.42+21.92+34.23+32.98+21.65+22.47+5.86+12.04+15.59+16.37+33.92+17.92+2.9+10.53+2.89+2.81+13.83+39.21+38.11+16.81+22.52+91.84+121.11+108.7</f>
        <v>1426.7199999999993</v>
      </c>
      <c r="G127" s="45"/>
      <c r="H127" s="45"/>
      <c r="I127" s="46"/>
    </row>
    <row r="128" spans="1:13" s="12" customFormat="1" ht="26.25" customHeight="1">
      <c r="A128" s="42"/>
      <c r="B128" s="43"/>
      <c r="C128" s="44"/>
      <c r="D128" s="47" t="s">
        <v>304</v>
      </c>
      <c r="E128" s="44"/>
      <c r="F128" s="48">
        <f>22.19+22.02+18.85+33.77+18.51+21.53+22.16+73.18+8.67+3.96+5.12+33.51+36.99+53.74</f>
        <v>374.20000000000005</v>
      </c>
      <c r="G128" s="45"/>
      <c r="H128" s="45"/>
      <c r="I128" s="46"/>
    </row>
    <row r="129" spans="1:19" s="12" customFormat="1" ht="13.5" customHeight="1">
      <c r="A129" s="42"/>
      <c r="B129" s="43"/>
      <c r="C129" s="44"/>
      <c r="D129" s="47" t="s">
        <v>414</v>
      </c>
      <c r="E129" s="44"/>
      <c r="F129" s="48">
        <v>428</v>
      </c>
      <c r="G129" s="45"/>
      <c r="H129" s="45"/>
      <c r="I129" s="46"/>
    </row>
    <row r="130" spans="1:19" s="12" customFormat="1" ht="13.5" customHeight="1">
      <c r="A130" s="42">
        <v>31</v>
      </c>
      <c r="B130" s="44">
        <v>952</v>
      </c>
      <c r="C130" s="44">
        <v>952901111</v>
      </c>
      <c r="D130" s="44" t="s">
        <v>51</v>
      </c>
      <c r="E130" s="44" t="s">
        <v>21</v>
      </c>
      <c r="F130" s="154">
        <f>SUM(F131:F137)</f>
        <v>6424.4999999999991</v>
      </c>
      <c r="G130" s="45"/>
      <c r="H130" s="45">
        <f>F130*G130</f>
        <v>0</v>
      </c>
      <c r="I130" s="46" t="s">
        <v>68</v>
      </c>
    </row>
    <row r="131" spans="1:19" s="12" customFormat="1" ht="13.5" customHeight="1">
      <c r="A131" s="42"/>
      <c r="B131" s="43"/>
      <c r="C131" s="44"/>
      <c r="D131" s="47" t="s">
        <v>75</v>
      </c>
      <c r="E131" s="44"/>
      <c r="F131" s="48">
        <v>229.9</v>
      </c>
      <c r="G131" s="45"/>
      <c r="H131" s="45"/>
      <c r="I131" s="46"/>
    </row>
    <row r="132" spans="1:19" s="12" customFormat="1" ht="40.5" customHeight="1">
      <c r="A132" s="42"/>
      <c r="B132" s="43"/>
      <c r="C132" s="44"/>
      <c r="D132" s="47" t="s">
        <v>518</v>
      </c>
      <c r="E132" s="44"/>
      <c r="F132" s="48">
        <f>113.96+10.11+38.43+215.23+19.71+11.94+12.44+11.64+11.98+24.68+19.7+65.84+17.25+30.29+23.98+7.97+29.22+17.02+44.87+37.41+37.28+39.33+89.59+232.14</f>
        <v>1162.01</v>
      </c>
      <c r="G132" s="45"/>
      <c r="H132" s="45"/>
      <c r="I132" s="46"/>
    </row>
    <row r="133" spans="1:19" s="2" customFormat="1" ht="53.25" customHeight="1">
      <c r="A133" s="5"/>
      <c r="B133" s="167"/>
      <c r="C133" s="6"/>
      <c r="D133" s="47" t="s">
        <v>496</v>
      </c>
      <c r="E133" s="6"/>
      <c r="F133" s="48">
        <f>41.52+41.14+21.99+16.67+37.51+268.13+37.13+148.99+18.97+37.95+23.6+21.58+33.52+32.88+19+31.97+33.27+20.89+10.77+2.8+2.55+6.46+7.11+22.11+23.36+37.99+37.2+16.45+21.86+44.08+44.14+43.5+41.86+31.81+105.82</f>
        <v>1386.5799999999997</v>
      </c>
      <c r="G133" s="8"/>
      <c r="H133" s="8"/>
      <c r="I133" s="49"/>
      <c r="J133" s="12"/>
      <c r="K133" s="12"/>
      <c r="L133" s="12"/>
      <c r="M133" s="12"/>
    </row>
    <row r="134" spans="1:19" s="12" customFormat="1" ht="50.25" customHeight="1">
      <c r="A134" s="42"/>
      <c r="B134" s="43"/>
      <c r="C134" s="44"/>
      <c r="D134" s="47" t="s">
        <v>252</v>
      </c>
      <c r="E134" s="44"/>
      <c r="F134" s="48">
        <f>42.51+42.36+21.94+16.74+36.28+279.09+104.98+105.75+40.28+23.38+21.99+33.67+6.9+4.53+6.38+31.64+34.63+7.1+13.31+10.59+2.82+2.54+12.36+32.82+22.13+23.38+38.69+37.71+16.75+22.24+41.86+49.62+120.99+109.13</f>
        <v>1417.0899999999997</v>
      </c>
      <c r="G134" s="45"/>
      <c r="H134" s="45"/>
      <c r="I134" s="46"/>
    </row>
    <row r="135" spans="1:19" s="12" customFormat="1" ht="50.25" customHeight="1">
      <c r="A135" s="42"/>
      <c r="B135" s="43"/>
      <c r="C135" s="44"/>
      <c r="D135" s="47" t="s">
        <v>277</v>
      </c>
      <c r="E135" s="44"/>
      <c r="F135" s="48">
        <f>42.72+42.14+21.91+17.02+37.81+38.34+287.08+105.56+105.51+22.42+21.92+34.23+32.98+21.65+22.47+5.86+12.04+15.59+16.37+33.92+17.92+2.9+10.53+2.89+2.81+13.83+39.21+38.11+16.81+22.52+91.84+121.11+108.7</f>
        <v>1426.7199999999993</v>
      </c>
      <c r="G135" s="45"/>
      <c r="H135" s="45"/>
      <c r="I135" s="46"/>
    </row>
    <row r="136" spans="1:19" s="12" customFormat="1" ht="26.25" customHeight="1">
      <c r="A136" s="42"/>
      <c r="B136" s="43"/>
      <c r="C136" s="44"/>
      <c r="D136" s="47" t="s">
        <v>305</v>
      </c>
      <c r="E136" s="44"/>
      <c r="F136" s="48">
        <f>22.19+22.02+18.85+33.77+18.51+21.53+22.16+73.18+8.67+3.96+5.12+33.51+36.99+53.74</f>
        <v>374.20000000000005</v>
      </c>
      <c r="G136" s="45"/>
      <c r="H136" s="45"/>
      <c r="I136" s="46"/>
    </row>
    <row r="137" spans="1:19" s="12" customFormat="1" ht="13.5" customHeight="1">
      <c r="A137" s="42"/>
      <c r="B137" s="43"/>
      <c r="C137" s="44"/>
      <c r="D137" s="47" t="s">
        <v>334</v>
      </c>
      <c r="E137" s="44"/>
      <c r="F137" s="48">
        <v>428</v>
      </c>
      <c r="G137" s="45"/>
      <c r="H137" s="45"/>
      <c r="I137" s="46"/>
    </row>
    <row r="138" spans="1:19" s="12" customFormat="1" ht="13.5" customHeight="1">
      <c r="A138" s="42">
        <v>32</v>
      </c>
      <c r="B138" s="44">
        <v>952</v>
      </c>
      <c r="C138" s="44" t="s">
        <v>77</v>
      </c>
      <c r="D138" s="44" t="s">
        <v>81</v>
      </c>
      <c r="E138" s="44" t="s">
        <v>21</v>
      </c>
      <c r="F138" s="154">
        <f>F139</f>
        <v>36.4</v>
      </c>
      <c r="G138" s="72">
        <f>SUM(H140:H141)/F138</f>
        <v>0</v>
      </c>
      <c r="H138" s="45">
        <f>F138*G138</f>
        <v>0</v>
      </c>
      <c r="I138" s="46" t="s">
        <v>103</v>
      </c>
    </row>
    <row r="139" spans="1:19" s="12" customFormat="1" ht="13.5" customHeight="1">
      <c r="A139" s="42"/>
      <c r="B139" s="43"/>
      <c r="C139" s="44"/>
      <c r="D139" s="47" t="s">
        <v>78</v>
      </c>
      <c r="E139" s="44"/>
      <c r="F139" s="48">
        <f>4.25*3.5*2+3.5*1.9</f>
        <v>36.4</v>
      </c>
      <c r="G139" s="45"/>
      <c r="H139" s="45"/>
      <c r="I139" s="46"/>
    </row>
    <row r="140" spans="1:19" s="12" customFormat="1" ht="13.5" customHeight="1">
      <c r="A140" s="114" t="s">
        <v>523</v>
      </c>
      <c r="B140" s="78"/>
      <c r="C140" s="78"/>
      <c r="D140" s="79" t="s">
        <v>80</v>
      </c>
      <c r="E140" s="116" t="s">
        <v>46</v>
      </c>
      <c r="F140" s="80">
        <v>73.5</v>
      </c>
      <c r="G140" s="74"/>
      <c r="H140" s="48">
        <f>F140*G140</f>
        <v>0</v>
      </c>
      <c r="I140" s="46"/>
      <c r="L140" s="117"/>
      <c r="M140" s="118"/>
      <c r="N140" s="118"/>
      <c r="O140" s="112"/>
      <c r="P140" s="118"/>
      <c r="Q140" s="119"/>
      <c r="R140" s="120"/>
      <c r="S140" s="121"/>
    </row>
    <row r="141" spans="1:19" s="12" customFormat="1" ht="13.5" customHeight="1">
      <c r="A141" s="114" t="s">
        <v>524</v>
      </c>
      <c r="B141" s="78"/>
      <c r="C141" s="78"/>
      <c r="D141" s="79" t="s">
        <v>79</v>
      </c>
      <c r="E141" s="116" t="s">
        <v>21</v>
      </c>
      <c r="F141" s="80">
        <v>36.4</v>
      </c>
      <c r="G141" s="74"/>
      <c r="H141" s="48">
        <f>F141*G141</f>
        <v>0</v>
      </c>
      <c r="I141" s="46"/>
      <c r="L141" s="117"/>
      <c r="M141" s="118"/>
      <c r="N141" s="118"/>
      <c r="O141" s="112"/>
      <c r="P141" s="118"/>
      <c r="Q141" s="119"/>
      <c r="R141" s="120"/>
      <c r="S141" s="121"/>
    </row>
    <row r="142" spans="1:19" s="12" customFormat="1" ht="13.5" customHeight="1">
      <c r="A142" s="42">
        <v>33</v>
      </c>
      <c r="B142" s="44">
        <v>952</v>
      </c>
      <c r="C142" s="44" t="s">
        <v>91</v>
      </c>
      <c r="D142" s="44" t="s">
        <v>92</v>
      </c>
      <c r="E142" s="44" t="s">
        <v>21</v>
      </c>
      <c r="F142" s="154">
        <f>F143</f>
        <v>7.8</v>
      </c>
      <c r="G142" s="72">
        <f>SUM(H144:H147)/F142</f>
        <v>0</v>
      </c>
      <c r="H142" s="45">
        <f>F142*G142</f>
        <v>0</v>
      </c>
      <c r="I142" s="46" t="s">
        <v>103</v>
      </c>
    </row>
    <row r="143" spans="1:19" s="12" customFormat="1" ht="13.5" customHeight="1">
      <c r="A143" s="42"/>
      <c r="B143" s="43"/>
      <c r="C143" s="44"/>
      <c r="D143" s="47" t="s">
        <v>93</v>
      </c>
      <c r="E143" s="44"/>
      <c r="F143" s="48">
        <f>3.9*2</f>
        <v>7.8</v>
      </c>
      <c r="G143" s="45"/>
      <c r="H143" s="45"/>
      <c r="I143" s="46"/>
    </row>
    <row r="144" spans="1:19" s="12" customFormat="1" ht="13.5" customHeight="1">
      <c r="A144" s="114" t="s">
        <v>525</v>
      </c>
      <c r="B144" s="78"/>
      <c r="C144" s="78"/>
      <c r="D144" s="79" t="s">
        <v>95</v>
      </c>
      <c r="E144" s="116" t="s">
        <v>46</v>
      </c>
      <c r="F144" s="80">
        <v>26.9</v>
      </c>
      <c r="G144" s="74"/>
      <c r="H144" s="48">
        <f>F144*G144</f>
        <v>0</v>
      </c>
      <c r="I144" s="46"/>
      <c r="L144" s="117"/>
      <c r="M144" s="118"/>
      <c r="N144" s="118"/>
      <c r="O144" s="112"/>
      <c r="P144" s="118"/>
      <c r="Q144" s="119"/>
      <c r="R144" s="120"/>
      <c r="S144" s="121"/>
    </row>
    <row r="145" spans="1:19" s="12" customFormat="1" ht="13.5" customHeight="1">
      <c r="A145" s="114" t="s">
        <v>526</v>
      </c>
      <c r="B145" s="78"/>
      <c r="C145" s="78"/>
      <c r="D145" s="79" t="s">
        <v>94</v>
      </c>
      <c r="E145" s="116" t="s">
        <v>21</v>
      </c>
      <c r="F145" s="80">
        <v>14.6</v>
      </c>
      <c r="G145" s="74"/>
      <c r="H145" s="48">
        <f>F145*G145</f>
        <v>0</v>
      </c>
      <c r="I145" s="46"/>
      <c r="L145" s="117"/>
      <c r="M145" s="118"/>
      <c r="N145" s="118"/>
      <c r="O145" s="112"/>
      <c r="P145" s="118"/>
      <c r="Q145" s="119"/>
      <c r="R145" s="120"/>
      <c r="S145" s="121"/>
    </row>
    <row r="146" spans="1:19" s="12" customFormat="1" ht="13.5" customHeight="1">
      <c r="A146" s="114" t="s">
        <v>527</v>
      </c>
      <c r="B146" s="78"/>
      <c r="C146" s="78"/>
      <c r="D146" s="79" t="s">
        <v>264</v>
      </c>
      <c r="E146" s="116" t="s">
        <v>21</v>
      </c>
      <c r="F146" s="80">
        <v>23.5</v>
      </c>
      <c r="G146" s="74"/>
      <c r="H146" s="48">
        <f>F146*G146</f>
        <v>0</v>
      </c>
      <c r="I146" s="46"/>
      <c r="L146" s="117"/>
      <c r="M146" s="118"/>
      <c r="N146" s="118"/>
      <c r="O146" s="112"/>
      <c r="P146" s="118"/>
      <c r="Q146" s="119"/>
      <c r="R146" s="120"/>
      <c r="S146" s="121"/>
    </row>
    <row r="147" spans="1:19" s="12" customFormat="1" ht="13.5" customHeight="1">
      <c r="A147" s="114" t="s">
        <v>528</v>
      </c>
      <c r="B147" s="78"/>
      <c r="C147" s="78"/>
      <c r="D147" s="79" t="s">
        <v>96</v>
      </c>
      <c r="E147" s="116" t="s">
        <v>46</v>
      </c>
      <c r="F147" s="80">
        <v>14.6</v>
      </c>
      <c r="G147" s="74"/>
      <c r="H147" s="48">
        <f>F147*G147</f>
        <v>0</v>
      </c>
      <c r="I147" s="46"/>
      <c r="L147" s="117"/>
      <c r="M147" s="118"/>
      <c r="N147" s="118"/>
      <c r="O147" s="112"/>
      <c r="P147" s="118"/>
      <c r="Q147" s="119"/>
      <c r="R147" s="120"/>
      <c r="S147" s="121"/>
    </row>
    <row r="148" spans="1:19" s="12" customFormat="1" ht="13.5" customHeight="1">
      <c r="A148" s="42">
        <v>34</v>
      </c>
      <c r="B148" s="44">
        <v>952</v>
      </c>
      <c r="C148" s="44" t="s">
        <v>102</v>
      </c>
      <c r="D148" s="44" t="s">
        <v>558</v>
      </c>
      <c r="E148" s="44" t="s">
        <v>21</v>
      </c>
      <c r="F148" s="154">
        <f>SUM(F149:F156)</f>
        <v>464.18219999999997</v>
      </c>
      <c r="G148" s="72">
        <f>SUM(H157:H159)/F148</f>
        <v>0</v>
      </c>
      <c r="H148" s="45">
        <f>F148*G148</f>
        <v>0</v>
      </c>
      <c r="I148" s="46" t="s">
        <v>103</v>
      </c>
    </row>
    <row r="149" spans="1:19" s="12" customFormat="1" ht="13.5" customHeight="1">
      <c r="A149" s="42"/>
      <c r="B149" s="43"/>
      <c r="C149" s="44"/>
      <c r="D149" s="47" t="s">
        <v>505</v>
      </c>
      <c r="E149" s="44"/>
      <c r="F149" s="48">
        <f>48.1+48.2</f>
        <v>96.300000000000011</v>
      </c>
      <c r="G149" s="45"/>
      <c r="H149" s="45"/>
      <c r="I149" s="46"/>
    </row>
    <row r="150" spans="1:19" s="12" customFormat="1" ht="13.5" customHeight="1">
      <c r="A150" s="42"/>
      <c r="B150" s="43"/>
      <c r="C150" s="44"/>
      <c r="D150" s="47" t="s">
        <v>241</v>
      </c>
      <c r="E150" s="44"/>
      <c r="F150" s="48">
        <f>50.3+50.3</f>
        <v>100.6</v>
      </c>
      <c r="G150" s="45"/>
      <c r="H150" s="45"/>
      <c r="I150" s="46"/>
    </row>
    <row r="151" spans="1:19" s="12" customFormat="1" ht="13.5" customHeight="1">
      <c r="A151" s="42"/>
      <c r="B151" s="43"/>
      <c r="C151" s="44"/>
      <c r="D151" s="47" t="s">
        <v>263</v>
      </c>
      <c r="E151" s="44"/>
      <c r="F151" s="48">
        <f>50.3+50.5</f>
        <v>100.8</v>
      </c>
      <c r="G151" s="45"/>
      <c r="H151" s="45"/>
      <c r="I151" s="46"/>
    </row>
    <row r="152" spans="1:19" s="12" customFormat="1" ht="13.5" customHeight="1">
      <c r="A152" s="42"/>
      <c r="B152" s="43"/>
      <c r="C152" s="44"/>
      <c r="D152" s="47" t="s">
        <v>458</v>
      </c>
      <c r="E152" s="44"/>
      <c r="F152" s="48">
        <f>53.1+52.8+21</f>
        <v>126.9</v>
      </c>
      <c r="G152" s="45"/>
      <c r="H152" s="45"/>
      <c r="I152" s="46"/>
    </row>
    <row r="153" spans="1:19" s="12" customFormat="1" ht="13.5" customHeight="1">
      <c r="A153" s="42"/>
      <c r="B153" s="43"/>
      <c r="C153" s="44"/>
      <c r="D153" s="47" t="s">
        <v>465</v>
      </c>
      <c r="E153" s="44"/>
      <c r="F153" s="48">
        <f>3.43*1.42*2</f>
        <v>9.7411999999999992</v>
      </c>
      <c r="G153" s="45"/>
      <c r="H153" s="45"/>
      <c r="I153" s="46"/>
    </row>
    <row r="154" spans="1:19" s="12" customFormat="1" ht="13.5" customHeight="1">
      <c r="A154" s="42"/>
      <c r="B154" s="43"/>
      <c r="C154" s="44"/>
      <c r="D154" s="47" t="s">
        <v>471</v>
      </c>
      <c r="E154" s="44"/>
      <c r="F154" s="48">
        <f>3.43*1.475*2</f>
        <v>10.118500000000001</v>
      </c>
      <c r="G154" s="45"/>
      <c r="H154" s="45"/>
      <c r="I154" s="46"/>
    </row>
    <row r="155" spans="1:19" s="12" customFormat="1" ht="13.5" customHeight="1">
      <c r="A155" s="42"/>
      <c r="B155" s="43"/>
      <c r="C155" s="44"/>
      <c r="D155" s="47" t="s">
        <v>464</v>
      </c>
      <c r="E155" s="44"/>
      <c r="F155" s="48">
        <f>3.43*1.4*2</f>
        <v>9.6039999999999992</v>
      </c>
      <c r="G155" s="45"/>
      <c r="H155" s="45"/>
      <c r="I155" s="46"/>
    </row>
    <row r="156" spans="1:19" s="12" customFormat="1" ht="13.5" customHeight="1">
      <c r="A156" s="42"/>
      <c r="B156" s="43"/>
      <c r="C156" s="44"/>
      <c r="D156" s="47" t="s">
        <v>472</v>
      </c>
      <c r="E156" s="44"/>
      <c r="F156" s="48">
        <f>3.43*1.475*2</f>
        <v>10.118500000000001</v>
      </c>
      <c r="G156" s="45"/>
      <c r="H156" s="45"/>
      <c r="I156" s="46"/>
    </row>
    <row r="157" spans="1:19" s="12" customFormat="1" ht="13.5" customHeight="1">
      <c r="A157" s="114" t="s">
        <v>529</v>
      </c>
      <c r="B157" s="78"/>
      <c r="C157" s="78"/>
      <c r="D157" s="79" t="s">
        <v>474</v>
      </c>
      <c r="E157" s="116" t="s">
        <v>46</v>
      </c>
      <c r="F157" s="80">
        <f>50.2+58.1+58.5+58.5+14.8+3.8*4+3.8*4</f>
        <v>270.5</v>
      </c>
      <c r="G157" s="74"/>
      <c r="H157" s="48">
        <f>F157*G157</f>
        <v>0</v>
      </c>
      <c r="I157" s="46"/>
      <c r="L157" s="117"/>
      <c r="M157" s="118"/>
      <c r="N157" s="118"/>
      <c r="O157" s="112"/>
      <c r="P157" s="118"/>
      <c r="Q157" s="119"/>
      <c r="R157" s="120"/>
      <c r="S157" s="121"/>
    </row>
    <row r="158" spans="1:19" s="12" customFormat="1" ht="13.5" customHeight="1">
      <c r="A158" s="114" t="s">
        <v>530</v>
      </c>
      <c r="B158" s="78"/>
      <c r="C158" s="78"/>
      <c r="D158" s="79" t="s">
        <v>506</v>
      </c>
      <c r="E158" s="116" t="s">
        <v>21</v>
      </c>
      <c r="F158" s="80">
        <v>464.18</v>
      </c>
      <c r="G158" s="74"/>
      <c r="H158" s="48">
        <f>F158*G158</f>
        <v>0</v>
      </c>
      <c r="I158" s="46"/>
      <c r="L158" s="117"/>
      <c r="M158" s="118"/>
      <c r="N158" s="118"/>
      <c r="O158" s="112"/>
      <c r="P158" s="118"/>
      <c r="Q158" s="119"/>
      <c r="R158" s="120"/>
      <c r="S158" s="121"/>
    </row>
    <row r="159" spans="1:19" s="12" customFormat="1" ht="13.5" customHeight="1">
      <c r="A159" s="114" t="s">
        <v>531</v>
      </c>
      <c r="B159" s="78"/>
      <c r="C159" s="78"/>
      <c r="D159" s="79" t="s">
        <v>473</v>
      </c>
      <c r="E159" s="116" t="s">
        <v>27</v>
      </c>
      <c r="F159" s="80">
        <v>139.30000000000001</v>
      </c>
      <c r="G159" s="74"/>
      <c r="H159" s="48">
        <f>F159*G159</f>
        <v>0</v>
      </c>
      <c r="I159" s="46"/>
      <c r="L159" s="117"/>
      <c r="M159" s="118"/>
      <c r="N159" s="118"/>
      <c r="O159" s="112"/>
      <c r="P159" s="118"/>
      <c r="Q159" s="119"/>
      <c r="R159" s="120"/>
      <c r="S159" s="121"/>
    </row>
    <row r="160" spans="1:19" s="12" customFormat="1" ht="13.5" customHeight="1">
      <c r="A160" s="42">
        <v>35</v>
      </c>
      <c r="B160" s="44">
        <v>952</v>
      </c>
      <c r="C160" s="44" t="s">
        <v>306</v>
      </c>
      <c r="D160" s="44" t="s">
        <v>307</v>
      </c>
      <c r="E160" s="44" t="s">
        <v>21</v>
      </c>
      <c r="F160" s="154">
        <f>F161</f>
        <v>70.2</v>
      </c>
      <c r="G160" s="72">
        <f>SUM(H162:H165)/F160</f>
        <v>0</v>
      </c>
      <c r="H160" s="45">
        <f>F160*G160</f>
        <v>0</v>
      </c>
      <c r="I160" s="46" t="s">
        <v>103</v>
      </c>
    </row>
    <row r="161" spans="1:26" s="12" customFormat="1" ht="13.5" customHeight="1">
      <c r="A161" s="42"/>
      <c r="B161" s="43"/>
      <c r="C161" s="44"/>
      <c r="D161" s="47" t="s">
        <v>435</v>
      </c>
      <c r="E161" s="44"/>
      <c r="F161" s="48">
        <f>17.1+53.1</f>
        <v>70.2</v>
      </c>
      <c r="G161" s="45"/>
      <c r="H161" s="45"/>
      <c r="I161" s="46"/>
    </row>
    <row r="162" spans="1:26" s="12" customFormat="1" ht="13.5" customHeight="1">
      <c r="A162" s="114" t="s">
        <v>532</v>
      </c>
      <c r="B162" s="78"/>
      <c r="C162" s="78"/>
      <c r="D162" s="79" t="s">
        <v>482</v>
      </c>
      <c r="E162" s="116" t="s">
        <v>21</v>
      </c>
      <c r="F162" s="80">
        <v>70.2</v>
      </c>
      <c r="G162" s="74"/>
      <c r="H162" s="48">
        <f t="shared" ref="H162:H168" si="0">F162*G162</f>
        <v>0</v>
      </c>
      <c r="I162" s="46"/>
      <c r="L162" s="117"/>
      <c r="M162" s="118"/>
      <c r="N162" s="118"/>
      <c r="O162" s="112"/>
      <c r="P162" s="118"/>
      <c r="Q162" s="119"/>
      <c r="R162" s="120"/>
      <c r="S162" s="121"/>
    </row>
    <row r="163" spans="1:26" s="12" customFormat="1" ht="13.5" customHeight="1">
      <c r="A163" s="114" t="s">
        <v>533</v>
      </c>
      <c r="B163" s="78"/>
      <c r="C163" s="78"/>
      <c r="D163" s="79" t="s">
        <v>438</v>
      </c>
      <c r="E163" s="116" t="s">
        <v>46</v>
      </c>
      <c r="F163" s="80">
        <v>83</v>
      </c>
      <c r="G163" s="74"/>
      <c r="H163" s="48">
        <f t="shared" si="0"/>
        <v>0</v>
      </c>
      <c r="I163" s="46"/>
      <c r="L163" s="117"/>
      <c r="M163" s="118"/>
      <c r="N163" s="118"/>
      <c r="O163" s="112"/>
      <c r="P163" s="118"/>
      <c r="Q163" s="119"/>
      <c r="R163" s="120"/>
      <c r="S163" s="121"/>
    </row>
    <row r="164" spans="1:26" s="12" customFormat="1" ht="13.5" customHeight="1">
      <c r="A164" s="114" t="s">
        <v>534</v>
      </c>
      <c r="B164" s="78"/>
      <c r="C164" s="78"/>
      <c r="D164" s="79" t="s">
        <v>436</v>
      </c>
      <c r="E164" s="116" t="s">
        <v>21</v>
      </c>
      <c r="F164" s="80">
        <v>70.2</v>
      </c>
      <c r="G164" s="74"/>
      <c r="H164" s="48">
        <f t="shared" si="0"/>
        <v>0</v>
      </c>
      <c r="I164" s="46"/>
      <c r="L164" s="117"/>
      <c r="M164" s="118"/>
      <c r="N164" s="118"/>
      <c r="O164" s="112"/>
      <c r="P164" s="118"/>
      <c r="Q164" s="119"/>
      <c r="R164" s="120"/>
      <c r="S164" s="121"/>
    </row>
    <row r="165" spans="1:26" s="12" customFormat="1" ht="13.5" customHeight="1">
      <c r="A165" s="114" t="s">
        <v>535</v>
      </c>
      <c r="B165" s="78"/>
      <c r="C165" s="78"/>
      <c r="D165" s="79" t="s">
        <v>437</v>
      </c>
      <c r="E165" s="116" t="s">
        <v>27</v>
      </c>
      <c r="F165" s="80">
        <v>21.1</v>
      </c>
      <c r="G165" s="74"/>
      <c r="H165" s="48">
        <f t="shared" si="0"/>
        <v>0</v>
      </c>
      <c r="I165" s="46"/>
      <c r="L165" s="117"/>
      <c r="M165" s="118"/>
      <c r="N165" s="118"/>
      <c r="O165" s="112"/>
      <c r="P165" s="118"/>
      <c r="Q165" s="119"/>
      <c r="R165" s="120"/>
      <c r="S165" s="121"/>
    </row>
    <row r="166" spans="1:26" s="9" customFormat="1" ht="13.5" customHeight="1">
      <c r="A166" s="42">
        <v>36</v>
      </c>
      <c r="B166" s="43" t="s">
        <v>605</v>
      </c>
      <c r="C166" s="44">
        <v>952902611</v>
      </c>
      <c r="D166" s="44" t="s">
        <v>604</v>
      </c>
      <c r="E166" s="44" t="s">
        <v>21</v>
      </c>
      <c r="F166" s="154">
        <f>F167</f>
        <v>414.50500000000005</v>
      </c>
      <c r="G166" s="72"/>
      <c r="H166" s="45">
        <f>F166*G166</f>
        <v>0</v>
      </c>
      <c r="I166" s="46" t="s">
        <v>68</v>
      </c>
      <c r="J166" s="63"/>
      <c r="K166" s="70"/>
      <c r="L166" s="73"/>
    </row>
    <row r="167" spans="1:26" s="10" customFormat="1" ht="13.5" customHeight="1">
      <c r="A167" s="42"/>
      <c r="B167" s="43"/>
      <c r="C167" s="44"/>
      <c r="D167" s="47" t="s">
        <v>615</v>
      </c>
      <c r="E167" s="44"/>
      <c r="F167" s="48">
        <f>637.7*0.65</f>
        <v>414.50500000000005</v>
      </c>
      <c r="G167" s="45"/>
      <c r="H167" s="45"/>
      <c r="I167" s="11"/>
      <c r="J167" s="9"/>
      <c r="K167" s="9"/>
      <c r="L167" s="9"/>
      <c r="M167" s="9"/>
    </row>
    <row r="168" spans="1:26" s="2" customFormat="1" ht="13.5" customHeight="1">
      <c r="A168" s="42">
        <v>37</v>
      </c>
      <c r="B168" s="43" t="s">
        <v>106</v>
      </c>
      <c r="C168" s="44">
        <v>961044111</v>
      </c>
      <c r="D168" s="44" t="s">
        <v>181</v>
      </c>
      <c r="E168" s="44" t="s">
        <v>27</v>
      </c>
      <c r="F168" s="154">
        <f>F169</f>
        <v>4.18</v>
      </c>
      <c r="G168" s="45"/>
      <c r="H168" s="45">
        <f t="shared" si="0"/>
        <v>0</v>
      </c>
      <c r="I168" s="46" t="s">
        <v>68</v>
      </c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s="2" customFormat="1" ht="24.75" customHeight="1">
      <c r="A169" s="42"/>
      <c r="B169" s="43"/>
      <c r="C169" s="44"/>
      <c r="D169" s="47" t="s">
        <v>280</v>
      </c>
      <c r="E169" s="44"/>
      <c r="F169" s="48">
        <f>3.8*(0.3+0.8)</f>
        <v>4.18</v>
      </c>
      <c r="G169" s="45"/>
      <c r="H169" s="45"/>
      <c r="I169" s="46"/>
      <c r="J169" s="135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s="9" customFormat="1" ht="13.5" customHeight="1">
      <c r="A170" s="42">
        <v>38</v>
      </c>
      <c r="B170" s="43" t="s">
        <v>97</v>
      </c>
      <c r="C170" s="44">
        <v>962031132</v>
      </c>
      <c r="D170" s="44" t="s">
        <v>98</v>
      </c>
      <c r="E170" s="44" t="s">
        <v>21</v>
      </c>
      <c r="F170" s="154">
        <f>F171+F172+F173+F174+F175</f>
        <v>360.5</v>
      </c>
      <c r="G170" s="72"/>
      <c r="H170" s="45">
        <f>F170*G170</f>
        <v>0</v>
      </c>
      <c r="I170" s="46" t="s">
        <v>68</v>
      </c>
      <c r="K170" s="70"/>
      <c r="L170" s="73"/>
    </row>
    <row r="171" spans="1:26" s="10" customFormat="1" ht="13.5" customHeight="1">
      <c r="A171" s="42"/>
      <c r="B171" s="43"/>
      <c r="C171" s="44"/>
      <c r="D171" s="47" t="s">
        <v>101</v>
      </c>
      <c r="E171" s="44"/>
      <c r="F171" s="48">
        <v>30.1</v>
      </c>
      <c r="G171" s="45"/>
      <c r="H171" s="45"/>
      <c r="I171" s="11"/>
      <c r="J171" s="9"/>
      <c r="K171" s="9"/>
      <c r="L171" s="9"/>
      <c r="M171" s="9"/>
    </row>
    <row r="172" spans="1:26" s="10" customFormat="1" ht="13.5" customHeight="1">
      <c r="A172" s="42"/>
      <c r="B172" s="43"/>
      <c r="C172" s="44"/>
      <c r="D172" s="47" t="s">
        <v>239</v>
      </c>
      <c r="E172" s="44"/>
      <c r="F172" s="48">
        <v>126.4</v>
      </c>
      <c r="G172" s="45"/>
      <c r="H172" s="45"/>
      <c r="I172" s="11"/>
      <c r="J172" s="9"/>
      <c r="K172" s="9"/>
      <c r="L172" s="9"/>
      <c r="M172" s="9"/>
    </row>
    <row r="173" spans="1:26" s="10" customFormat="1" ht="13.5" customHeight="1">
      <c r="A173" s="42"/>
      <c r="B173" s="43"/>
      <c r="C173" s="44"/>
      <c r="D173" s="47" t="s">
        <v>268</v>
      </c>
      <c r="E173" s="44"/>
      <c r="F173" s="48">
        <v>64.599999999999994</v>
      </c>
      <c r="G173" s="45"/>
      <c r="H173" s="45"/>
      <c r="I173" s="11"/>
      <c r="J173" s="9"/>
      <c r="K173" s="9"/>
      <c r="L173" s="9"/>
      <c r="M173" s="9"/>
    </row>
    <row r="174" spans="1:26" s="10" customFormat="1" ht="13.5" customHeight="1">
      <c r="A174" s="42"/>
      <c r="B174" s="43"/>
      <c r="C174" s="44"/>
      <c r="D174" s="47" t="s">
        <v>278</v>
      </c>
      <c r="E174" s="44"/>
      <c r="F174" s="48">
        <v>107.3</v>
      </c>
      <c r="G174" s="45"/>
      <c r="H174" s="45"/>
      <c r="I174" s="11"/>
      <c r="J174" s="9"/>
      <c r="K174" s="9"/>
      <c r="L174" s="9"/>
      <c r="M174" s="9"/>
    </row>
    <row r="175" spans="1:26" s="10" customFormat="1" ht="13.5" customHeight="1">
      <c r="A175" s="42"/>
      <c r="B175" s="43"/>
      <c r="C175" s="44"/>
      <c r="D175" s="47" t="s">
        <v>312</v>
      </c>
      <c r="E175" s="44"/>
      <c r="F175" s="48">
        <v>32.1</v>
      </c>
      <c r="G175" s="45"/>
      <c r="H175" s="45"/>
      <c r="I175" s="11"/>
      <c r="J175" s="9"/>
      <c r="K175" s="9"/>
      <c r="L175" s="9"/>
      <c r="M175" s="9"/>
    </row>
    <row r="176" spans="1:26" s="9" customFormat="1" ht="13.5" customHeight="1">
      <c r="A176" s="42">
        <v>39</v>
      </c>
      <c r="B176" s="43" t="s">
        <v>97</v>
      </c>
      <c r="C176" s="44">
        <v>962031133</v>
      </c>
      <c r="D176" s="44" t="s">
        <v>99</v>
      </c>
      <c r="E176" s="44" t="s">
        <v>21</v>
      </c>
      <c r="F176" s="154">
        <f>F177+F178+F179+F180+F181+F182</f>
        <v>174.4</v>
      </c>
      <c r="G176" s="72"/>
      <c r="H176" s="45">
        <f>F176*G176</f>
        <v>0</v>
      </c>
      <c r="I176" s="46" t="s">
        <v>68</v>
      </c>
      <c r="K176" s="70"/>
      <c r="L176" s="73"/>
    </row>
    <row r="177" spans="1:13" s="10" customFormat="1" ht="13.5" customHeight="1">
      <c r="A177" s="42"/>
      <c r="B177" s="43"/>
      <c r="C177" s="44"/>
      <c r="D177" s="47" t="s">
        <v>101</v>
      </c>
      <c r="E177" s="44"/>
      <c r="F177" s="48">
        <v>41.5</v>
      </c>
      <c r="G177" s="45"/>
      <c r="H177" s="45"/>
      <c r="I177" s="11"/>
      <c r="J177" s="9"/>
      <c r="K177" s="9"/>
      <c r="L177" s="9"/>
      <c r="M177" s="9"/>
    </row>
    <row r="178" spans="1:13" s="10" customFormat="1" ht="13.5" customHeight="1">
      <c r="A178" s="42"/>
      <c r="B178" s="43"/>
      <c r="C178" s="44"/>
      <c r="D178" s="47" t="s">
        <v>239</v>
      </c>
      <c r="E178" s="44"/>
      <c r="F178" s="48">
        <v>4.9000000000000004</v>
      </c>
      <c r="G178" s="45"/>
      <c r="H178" s="45"/>
      <c r="I178" s="11"/>
      <c r="J178" s="9"/>
      <c r="K178" s="9"/>
      <c r="L178" s="9"/>
      <c r="M178" s="9"/>
    </row>
    <row r="179" spans="1:13" s="10" customFormat="1" ht="13.5" customHeight="1">
      <c r="A179" s="42"/>
      <c r="B179" s="43"/>
      <c r="C179" s="44"/>
      <c r="D179" s="47" t="s">
        <v>268</v>
      </c>
      <c r="E179" s="44"/>
      <c r="F179" s="48">
        <v>42.1</v>
      </c>
      <c r="G179" s="45"/>
      <c r="H179" s="45"/>
      <c r="I179" s="11"/>
      <c r="J179" s="9"/>
      <c r="K179" s="9"/>
      <c r="L179" s="9"/>
      <c r="M179" s="9"/>
    </row>
    <row r="180" spans="1:13" s="10" customFormat="1" ht="13.5" customHeight="1">
      <c r="A180" s="42"/>
      <c r="B180" s="43"/>
      <c r="C180" s="44"/>
      <c r="D180" s="47" t="s">
        <v>278</v>
      </c>
      <c r="E180" s="44"/>
      <c r="F180" s="48">
        <v>58.2</v>
      </c>
      <c r="G180" s="45"/>
      <c r="H180" s="45"/>
      <c r="I180" s="11"/>
      <c r="J180" s="9"/>
      <c r="K180" s="9"/>
      <c r="L180" s="9"/>
      <c r="M180" s="9"/>
    </row>
    <row r="181" spans="1:13" s="10" customFormat="1" ht="13.5" customHeight="1">
      <c r="A181" s="42"/>
      <c r="B181" s="43"/>
      <c r="C181" s="44"/>
      <c r="D181" s="47" t="s">
        <v>312</v>
      </c>
      <c r="E181" s="44"/>
      <c r="F181" s="48">
        <v>17.399999999999999</v>
      </c>
      <c r="G181" s="45"/>
      <c r="H181" s="45"/>
      <c r="I181" s="11"/>
      <c r="J181" s="9"/>
      <c r="K181" s="9"/>
      <c r="L181" s="9"/>
      <c r="M181" s="9"/>
    </row>
    <row r="182" spans="1:13" s="10" customFormat="1" ht="13.5" customHeight="1">
      <c r="A182" s="42"/>
      <c r="B182" s="43"/>
      <c r="C182" s="44"/>
      <c r="D182" s="47" t="s">
        <v>325</v>
      </c>
      <c r="E182" s="44"/>
      <c r="F182" s="48">
        <v>10.3</v>
      </c>
      <c r="G182" s="45"/>
      <c r="H182" s="45"/>
      <c r="I182" s="11"/>
      <c r="J182" s="9"/>
      <c r="K182" s="9"/>
      <c r="L182" s="9"/>
      <c r="M182" s="9"/>
    </row>
    <row r="183" spans="1:13" s="9" customFormat="1" ht="13.5" customHeight="1">
      <c r="A183" s="42">
        <v>40</v>
      </c>
      <c r="B183" s="43" t="s">
        <v>97</v>
      </c>
      <c r="C183" s="44">
        <v>962032241</v>
      </c>
      <c r="D183" s="44" t="s">
        <v>100</v>
      </c>
      <c r="E183" s="44" t="s">
        <v>27</v>
      </c>
      <c r="F183" s="154">
        <f>F184+F185+F186+F187+F188+F189</f>
        <v>423.79999999999995</v>
      </c>
      <c r="G183" s="72"/>
      <c r="H183" s="45">
        <f>F183*G183</f>
        <v>0</v>
      </c>
      <c r="I183" s="46" t="s">
        <v>68</v>
      </c>
      <c r="K183" s="70"/>
      <c r="L183" s="73"/>
    </row>
    <row r="184" spans="1:13" s="10" customFormat="1" ht="13.5" customHeight="1">
      <c r="A184" s="42"/>
      <c r="B184" s="43"/>
      <c r="C184" s="44"/>
      <c r="D184" s="47" t="s">
        <v>520</v>
      </c>
      <c r="E184" s="44"/>
      <c r="F184" s="48">
        <v>118.8</v>
      </c>
      <c r="G184" s="45"/>
      <c r="H184" s="45"/>
      <c r="I184" s="11"/>
      <c r="J184" s="9"/>
      <c r="K184" s="9"/>
      <c r="L184" s="9"/>
      <c r="M184" s="9"/>
    </row>
    <row r="185" spans="1:13" s="10" customFormat="1" ht="13.5" customHeight="1">
      <c r="A185" s="42"/>
      <c r="B185" s="43"/>
      <c r="C185" s="44"/>
      <c r="D185" s="47" t="s">
        <v>240</v>
      </c>
      <c r="E185" s="44"/>
      <c r="F185" s="48">
        <v>63.3</v>
      </c>
      <c r="G185" s="45"/>
      <c r="H185" s="45"/>
      <c r="I185" s="11"/>
      <c r="J185" s="9"/>
      <c r="K185" s="9"/>
      <c r="L185" s="9"/>
      <c r="M185" s="9"/>
    </row>
    <row r="186" spans="1:13" s="10" customFormat="1" ht="13.5" customHeight="1">
      <c r="A186" s="42"/>
      <c r="B186" s="43"/>
      <c r="C186" s="44"/>
      <c r="D186" s="47" t="s">
        <v>269</v>
      </c>
      <c r="E186" s="44"/>
      <c r="F186" s="48">
        <v>80.400000000000006</v>
      </c>
      <c r="G186" s="45"/>
      <c r="H186" s="45"/>
      <c r="I186" s="11"/>
      <c r="J186" s="9"/>
      <c r="K186" s="9"/>
      <c r="L186" s="9"/>
      <c r="M186" s="9"/>
    </row>
    <row r="187" spans="1:13" s="10" customFormat="1" ht="13.5" customHeight="1">
      <c r="A187" s="42"/>
      <c r="B187" s="43"/>
      <c r="C187" s="44"/>
      <c r="D187" s="47" t="s">
        <v>279</v>
      </c>
      <c r="E187" s="44"/>
      <c r="F187" s="48">
        <v>114.7</v>
      </c>
      <c r="G187" s="45"/>
      <c r="H187" s="45"/>
      <c r="I187" s="11"/>
      <c r="J187" s="9"/>
      <c r="K187" s="9"/>
      <c r="L187" s="9"/>
      <c r="M187" s="9"/>
    </row>
    <row r="188" spans="1:13" s="10" customFormat="1" ht="13.5" customHeight="1">
      <c r="A188" s="42"/>
      <c r="B188" s="43"/>
      <c r="C188" s="44"/>
      <c r="D188" s="47" t="s">
        <v>313</v>
      </c>
      <c r="E188" s="44"/>
      <c r="F188" s="48">
        <v>42.4</v>
      </c>
      <c r="G188" s="45"/>
      <c r="H188" s="45"/>
      <c r="I188" s="11"/>
      <c r="J188" s="9"/>
      <c r="K188" s="9"/>
      <c r="L188" s="9"/>
      <c r="M188" s="9"/>
    </row>
    <row r="189" spans="1:13" s="10" customFormat="1" ht="13.5" customHeight="1">
      <c r="A189" s="42"/>
      <c r="B189" s="43"/>
      <c r="C189" s="44"/>
      <c r="D189" s="47" t="s">
        <v>326</v>
      </c>
      <c r="E189" s="44"/>
      <c r="F189" s="48">
        <v>4.2</v>
      </c>
      <c r="G189" s="45"/>
      <c r="H189" s="45"/>
      <c r="I189" s="11"/>
      <c r="J189" s="9"/>
      <c r="K189" s="9"/>
      <c r="L189" s="9"/>
      <c r="M189" s="9"/>
    </row>
    <row r="190" spans="1:13" s="9" customFormat="1" ht="13.5" customHeight="1">
      <c r="A190" s="42">
        <v>41</v>
      </c>
      <c r="B190" s="43" t="s">
        <v>97</v>
      </c>
      <c r="C190" s="44">
        <v>963022819</v>
      </c>
      <c r="D190" s="44" t="s">
        <v>179</v>
      </c>
      <c r="E190" s="44" t="s">
        <v>46</v>
      </c>
      <c r="F190" s="154">
        <f>F191</f>
        <v>14.8</v>
      </c>
      <c r="G190" s="72"/>
      <c r="H190" s="45">
        <f>F190*G190</f>
        <v>0</v>
      </c>
      <c r="I190" s="46" t="s">
        <v>68</v>
      </c>
      <c r="K190" s="70"/>
      <c r="L190" s="73"/>
    </row>
    <row r="191" spans="1:13" s="10" customFormat="1" ht="13.5" customHeight="1">
      <c r="A191" s="42"/>
      <c r="B191" s="43"/>
      <c r="C191" s="44"/>
      <c r="D191" s="47" t="s">
        <v>180</v>
      </c>
      <c r="E191" s="44"/>
      <c r="F191" s="48">
        <f>4.4+4+3.4+0.8*2+0.5*2+0.2*2</f>
        <v>14.8</v>
      </c>
      <c r="G191" s="45"/>
      <c r="H191" s="45"/>
      <c r="I191" s="11"/>
      <c r="J191" s="9"/>
      <c r="K191" s="9"/>
      <c r="L191" s="9"/>
      <c r="M191" s="9"/>
    </row>
    <row r="192" spans="1:13" s="9" customFormat="1" ht="13.5" customHeight="1">
      <c r="A192" s="42">
        <v>42</v>
      </c>
      <c r="B192" s="43" t="s">
        <v>294</v>
      </c>
      <c r="C192" s="44">
        <v>963053936</v>
      </c>
      <c r="D192" s="44" t="s">
        <v>295</v>
      </c>
      <c r="E192" s="44" t="s">
        <v>21</v>
      </c>
      <c r="F192" s="154">
        <f>F193+F194</f>
        <v>67.215999999999994</v>
      </c>
      <c r="G192" s="72"/>
      <c r="H192" s="45">
        <f>F192*G192</f>
        <v>0</v>
      </c>
      <c r="I192" s="46" t="s">
        <v>68</v>
      </c>
      <c r="K192" s="70"/>
      <c r="L192" s="73"/>
    </row>
    <row r="193" spans="1:26" s="10" customFormat="1" ht="13.5" customHeight="1">
      <c r="A193" s="42"/>
      <c r="B193" s="43"/>
      <c r="C193" s="44"/>
      <c r="D193" s="47" t="s">
        <v>310</v>
      </c>
      <c r="E193" s="44"/>
      <c r="F193" s="48">
        <f>3.8*1.54*4+3.4*1.5*2</f>
        <v>33.607999999999997</v>
      </c>
      <c r="G193" s="45"/>
      <c r="H193" s="45"/>
      <c r="I193" s="11"/>
      <c r="J193" s="9"/>
      <c r="K193" s="9"/>
      <c r="L193" s="9"/>
      <c r="M193" s="9"/>
    </row>
    <row r="194" spans="1:26" s="10" customFormat="1" ht="13.5" customHeight="1">
      <c r="A194" s="42"/>
      <c r="B194" s="43"/>
      <c r="C194" s="44"/>
      <c r="D194" s="47" t="s">
        <v>311</v>
      </c>
      <c r="E194" s="44"/>
      <c r="F194" s="48">
        <f>3.8*1.54*4+3.4*1.5*2</f>
        <v>33.607999999999997</v>
      </c>
      <c r="G194" s="45"/>
      <c r="H194" s="45"/>
      <c r="I194" s="11"/>
      <c r="J194" s="9"/>
      <c r="K194" s="9"/>
      <c r="L194" s="9"/>
      <c r="M194" s="9"/>
    </row>
    <row r="195" spans="1:26" s="2" customFormat="1" ht="27" customHeight="1">
      <c r="A195" s="42">
        <v>43</v>
      </c>
      <c r="B195" s="43" t="s">
        <v>106</v>
      </c>
      <c r="C195" s="44" t="s">
        <v>113</v>
      </c>
      <c r="D195" s="44" t="s">
        <v>114</v>
      </c>
      <c r="E195" s="44" t="s">
        <v>21</v>
      </c>
      <c r="F195" s="154">
        <f>SUM(F196:F199)</f>
        <v>208.21750000000003</v>
      </c>
      <c r="G195" s="72"/>
      <c r="H195" s="45">
        <f>F195*G195</f>
        <v>0</v>
      </c>
      <c r="I195" s="46" t="s">
        <v>103</v>
      </c>
      <c r="J195" s="134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s="2" customFormat="1" ht="13.5" customHeight="1">
      <c r="A196" s="42"/>
      <c r="B196" s="43"/>
      <c r="C196" s="44"/>
      <c r="D196" s="47" t="s">
        <v>394</v>
      </c>
      <c r="E196" s="44"/>
      <c r="F196" s="48">
        <f>1.85*3.05+4.25*3.7</f>
        <v>21.3675</v>
      </c>
      <c r="G196" s="45"/>
      <c r="H196" s="45"/>
      <c r="I196" s="49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s="2" customFormat="1" ht="13.5" customHeight="1">
      <c r="A197" s="42"/>
      <c r="B197" s="43"/>
      <c r="C197" s="44"/>
      <c r="D197" s="47" t="s">
        <v>402</v>
      </c>
      <c r="E197" s="44"/>
      <c r="F197" s="48">
        <f>5.5*0.5</f>
        <v>2.75</v>
      </c>
      <c r="G197" s="45"/>
      <c r="H197" s="45"/>
      <c r="I197" s="49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s="2" customFormat="1" ht="13.5" customHeight="1">
      <c r="A198" s="42"/>
      <c r="B198" s="43"/>
      <c r="C198" s="44"/>
      <c r="D198" s="47" t="s">
        <v>521</v>
      </c>
      <c r="E198" s="44"/>
      <c r="F198" s="48">
        <f>113.9*1</f>
        <v>113.9</v>
      </c>
      <c r="G198" s="45"/>
      <c r="H198" s="45"/>
      <c r="I198" s="49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s="2" customFormat="1" ht="13.5" customHeight="1">
      <c r="A199" s="42"/>
      <c r="B199" s="43"/>
      <c r="C199" s="44"/>
      <c r="D199" s="47" t="s">
        <v>416</v>
      </c>
      <c r="E199" s="44"/>
      <c r="F199" s="48">
        <f>17.1+53.1</f>
        <v>70.2</v>
      </c>
      <c r="G199" s="45"/>
      <c r="H199" s="45"/>
      <c r="I199" s="49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s="2" customFormat="1" ht="25.5" customHeight="1">
      <c r="A200" s="42"/>
      <c r="B200" s="43"/>
      <c r="C200" s="44"/>
      <c r="D200" s="47" t="s">
        <v>308</v>
      </c>
      <c r="E200" s="44"/>
      <c r="F200" s="48"/>
      <c r="G200" s="45"/>
      <c r="H200" s="45"/>
      <c r="I200" s="49"/>
      <c r="J200" s="135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s="2" customFormat="1" ht="40.5" customHeight="1">
      <c r="A201" s="42"/>
      <c r="B201" s="43"/>
      <c r="C201" s="44"/>
      <c r="D201" s="177" t="s">
        <v>109</v>
      </c>
      <c r="E201" s="44"/>
      <c r="F201" s="48"/>
      <c r="G201" s="45"/>
      <c r="H201" s="45"/>
      <c r="I201" s="49"/>
      <c r="J201" s="136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3.5" customHeight="1">
      <c r="A202" s="42">
        <v>44</v>
      </c>
      <c r="B202" s="43" t="s">
        <v>106</v>
      </c>
      <c r="C202" s="44" t="s">
        <v>115</v>
      </c>
      <c r="D202" s="44" t="s">
        <v>117</v>
      </c>
      <c r="E202" s="44" t="s">
        <v>21</v>
      </c>
      <c r="F202" s="154">
        <f>SUM(F203:F205)</f>
        <v>138.01750000000001</v>
      </c>
      <c r="G202" s="72"/>
      <c r="H202" s="45">
        <f>F202*G202</f>
        <v>0</v>
      </c>
      <c r="I202" s="46" t="s">
        <v>103</v>
      </c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</row>
    <row r="203" spans="1:26" s="2" customFormat="1" ht="13.5" customHeight="1">
      <c r="A203" s="42"/>
      <c r="B203" s="43"/>
      <c r="C203" s="44"/>
      <c r="D203" s="47" t="s">
        <v>395</v>
      </c>
      <c r="E203" s="44"/>
      <c r="F203" s="48">
        <f>1.85*3.05+4.25*3.7</f>
        <v>21.3675</v>
      </c>
      <c r="G203" s="45"/>
      <c r="H203" s="45"/>
      <c r="I203" s="49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s="2" customFormat="1" ht="13.5" customHeight="1">
      <c r="A204" s="42"/>
      <c r="B204" s="43"/>
      <c r="C204" s="44"/>
      <c r="D204" s="47" t="s">
        <v>403</v>
      </c>
      <c r="E204" s="44"/>
      <c r="F204" s="48">
        <f>5.5*0.5</f>
        <v>2.75</v>
      </c>
      <c r="G204" s="45"/>
      <c r="H204" s="45"/>
      <c r="I204" s="49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s="2" customFormat="1" ht="13.5" customHeight="1">
      <c r="A205" s="42"/>
      <c r="B205" s="43"/>
      <c r="C205" s="44"/>
      <c r="D205" s="47" t="s">
        <v>522</v>
      </c>
      <c r="E205" s="44"/>
      <c r="F205" s="48">
        <f>113.9*1</f>
        <v>113.9</v>
      </c>
      <c r="G205" s="45"/>
      <c r="H205" s="45"/>
      <c r="I205" s="49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s="2" customFormat="1" ht="24.75" customHeight="1">
      <c r="A206" s="42"/>
      <c r="B206" s="43"/>
      <c r="C206" s="44"/>
      <c r="D206" s="47" t="s">
        <v>116</v>
      </c>
      <c r="E206" s="44"/>
      <c r="F206" s="48"/>
      <c r="G206" s="45"/>
      <c r="H206" s="45"/>
      <c r="I206" s="49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40.5" customHeight="1">
      <c r="A207" s="42"/>
      <c r="B207" s="44"/>
      <c r="C207" s="44"/>
      <c r="D207" s="177" t="s">
        <v>109</v>
      </c>
      <c r="E207" s="44"/>
      <c r="F207" s="201"/>
      <c r="G207" s="45"/>
      <c r="H207" s="45"/>
      <c r="I207" s="46"/>
      <c r="J207" s="135"/>
      <c r="K207" s="135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</row>
    <row r="208" spans="1:26" s="2" customFormat="1" ht="13.5" customHeight="1">
      <c r="A208" s="42">
        <v>45</v>
      </c>
      <c r="B208" s="43" t="s">
        <v>106</v>
      </c>
      <c r="C208" s="44">
        <v>965031131</v>
      </c>
      <c r="D208" s="44" t="s">
        <v>335</v>
      </c>
      <c r="E208" s="44" t="s">
        <v>21</v>
      </c>
      <c r="F208" s="154">
        <f>SUM(F210:F210)</f>
        <v>70.2</v>
      </c>
      <c r="G208" s="45"/>
      <c r="H208" s="45">
        <f>F208*G208</f>
        <v>0</v>
      </c>
      <c r="I208" s="46" t="s">
        <v>68</v>
      </c>
      <c r="J208" s="137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s="2" customFormat="1" ht="13.5" customHeight="1">
      <c r="A209" s="42"/>
      <c r="B209" s="43"/>
      <c r="C209" s="44"/>
      <c r="D209" s="47" t="s">
        <v>336</v>
      </c>
      <c r="E209" s="44"/>
      <c r="F209" s="49"/>
      <c r="G209" s="45"/>
      <c r="H209" s="45"/>
      <c r="I209" s="11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s="2" customFormat="1" ht="13.5" customHeight="1">
      <c r="A210" s="42"/>
      <c r="B210" s="43"/>
      <c r="C210" s="44"/>
      <c r="D210" s="177" t="s">
        <v>415</v>
      </c>
      <c r="E210" s="44"/>
      <c r="F210" s="48">
        <f>17.1+53.1</f>
        <v>70.2</v>
      </c>
      <c r="G210" s="45"/>
      <c r="H210" s="45"/>
      <c r="I210" s="11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s="2" customFormat="1" ht="27" customHeight="1">
      <c r="A211" s="42">
        <v>46</v>
      </c>
      <c r="B211" s="43" t="s">
        <v>106</v>
      </c>
      <c r="C211" s="44">
        <v>965042141</v>
      </c>
      <c r="D211" s="44" t="s">
        <v>120</v>
      </c>
      <c r="E211" s="44" t="s">
        <v>27</v>
      </c>
      <c r="F211" s="154">
        <f>SUM(F213:F223)</f>
        <v>94.591857599999997</v>
      </c>
      <c r="G211" s="45"/>
      <c r="H211" s="45">
        <f>F211*G211</f>
        <v>0</v>
      </c>
      <c r="I211" s="46" t="s">
        <v>68</v>
      </c>
      <c r="J211" s="137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s="2" customFormat="1" ht="13.5" customHeight="1">
      <c r="A212" s="42"/>
      <c r="B212" s="43"/>
      <c r="C212" s="44"/>
      <c r="D212" s="47" t="s">
        <v>121</v>
      </c>
      <c r="E212" s="44"/>
      <c r="F212" s="49"/>
      <c r="G212" s="45"/>
      <c r="H212" s="45"/>
      <c r="I212" s="11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s="2" customFormat="1" ht="33" customHeight="1">
      <c r="A213" s="42"/>
      <c r="B213" s="43"/>
      <c r="C213" s="44"/>
      <c r="D213" s="177" t="s">
        <v>542</v>
      </c>
      <c r="E213" s="44"/>
      <c r="F213" s="48">
        <f>(38.43+215.23+19.71-18.54+19.7+17.25+29.22+17.02+44.87+37.41+37.28+39.33+89.59)*0.01</f>
        <v>5.8649999999999993</v>
      </c>
      <c r="G213" s="45"/>
      <c r="H213" s="45"/>
      <c r="I213" s="11"/>
      <c r="J213" s="12"/>
      <c r="K213" s="135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s="2" customFormat="1" ht="27" customHeight="1">
      <c r="A214" s="42"/>
      <c r="B214" s="43"/>
      <c r="C214" s="44"/>
      <c r="D214" s="177" t="s">
        <v>497</v>
      </c>
      <c r="E214" s="44"/>
      <c r="F214" s="48">
        <f>(268.13+19+31.97+33.27+2.49*0.149*13+2.49*0.159*13+10.77+2.8+2.55+6.46+7.11)*0.01</f>
        <v>3.9202996000000003</v>
      </c>
      <c r="G214" s="45"/>
      <c r="H214" s="45"/>
      <c r="I214" s="11"/>
      <c r="J214" s="12"/>
      <c r="K214" s="135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s="2" customFormat="1" ht="38.25" customHeight="1">
      <c r="A215" s="42"/>
      <c r="B215" s="43"/>
      <c r="C215" s="44"/>
      <c r="D215" s="177" t="s">
        <v>480</v>
      </c>
      <c r="E215" s="44"/>
      <c r="F215" s="48">
        <f>(279.09+6.9+4.53+6.38+31.64+34.63+2.49*0.15*26+7.1+13.31+10.59+2.82+2.54+12.36)*0.01</f>
        <v>4.2160099999999998</v>
      </c>
      <c r="G215" s="45"/>
      <c r="H215" s="45"/>
      <c r="I215" s="11"/>
      <c r="J215" s="12"/>
      <c r="K215" s="135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s="2" customFormat="1" ht="13.5" customHeight="1">
      <c r="A216" s="42"/>
      <c r="B216" s="43"/>
      <c r="C216" s="44"/>
      <c r="D216" s="177" t="s">
        <v>462</v>
      </c>
      <c r="E216" s="44"/>
      <c r="F216" s="48">
        <f xml:space="preserve"> (287.08+22.42+22.47+5.86+12.04+17.92+2.9+10.53+2.89+2.81+13.83)*0.01</f>
        <v>4.0075000000000003</v>
      </c>
      <c r="G216" s="45"/>
      <c r="H216" s="45"/>
      <c r="I216" s="11"/>
      <c r="J216" s="12"/>
      <c r="K216" s="135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s="2" customFormat="1" ht="13.5" customHeight="1">
      <c r="A217" s="42"/>
      <c r="B217" s="43"/>
      <c r="C217" s="44"/>
      <c r="D217" s="177" t="s">
        <v>440</v>
      </c>
      <c r="E217" s="44"/>
      <c r="F217" s="48">
        <f>(8.67+3.96+5.12)*0.01</f>
        <v>0.17749999999999999</v>
      </c>
      <c r="G217" s="45"/>
      <c r="H217" s="45"/>
      <c r="I217" s="11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s="2" customFormat="1" ht="13.5" customHeight="1">
      <c r="A218" s="42"/>
      <c r="B218" s="43"/>
      <c r="C218" s="44"/>
      <c r="D218" s="177" t="s">
        <v>439</v>
      </c>
      <c r="E218" s="44"/>
      <c r="F218" s="48">
        <f>(17.1+53.1)*0.01</f>
        <v>0.70200000000000007</v>
      </c>
      <c r="G218" s="45"/>
      <c r="H218" s="45"/>
      <c r="I218" s="11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s="2" customFormat="1" ht="13.5" customHeight="1">
      <c r="A219" s="42"/>
      <c r="B219" s="43"/>
      <c r="C219" s="44"/>
      <c r="D219" s="47" t="s">
        <v>441</v>
      </c>
      <c r="E219" s="44"/>
      <c r="F219" s="49"/>
      <c r="G219" s="45"/>
      <c r="H219" s="45"/>
      <c r="I219" s="11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s="2" customFormat="1" ht="39" customHeight="1">
      <c r="A220" s="42"/>
      <c r="B220" s="43"/>
      <c r="C220" s="44"/>
      <c r="D220" s="177" t="s">
        <v>499</v>
      </c>
      <c r="E220" s="44"/>
      <c r="F220" s="48">
        <f>(268.13+19+31.97+2.49*0.149*13+2.49*0.159*13+10.77+2.8+2.55+6.46+7.11+23.6+21.58+43.5+41.86)*0.05</f>
        <v>24.464998000000005</v>
      </c>
      <c r="G220" s="45"/>
      <c r="H220" s="45"/>
      <c r="I220" s="11"/>
      <c r="J220" s="12"/>
      <c r="K220" s="135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s="2" customFormat="1" ht="40.5" customHeight="1">
      <c r="A221" s="42"/>
      <c r="B221" s="43"/>
      <c r="C221" s="44"/>
      <c r="D221" s="177" t="s">
        <v>498</v>
      </c>
      <c r="E221" s="44"/>
      <c r="F221" s="48">
        <f>(279.09+6.9+4.53+6.38+31.64+2.49*0.15*26+7.1+13.31+10.59+2.82+2.54+12.36+42.51+16.75)*0.05</f>
        <v>22.311549999999997</v>
      </c>
      <c r="G221" s="45"/>
      <c r="H221" s="45"/>
      <c r="I221" s="11"/>
      <c r="J221" s="12"/>
      <c r="K221" s="135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s="2" customFormat="1" ht="38.25" customHeight="1">
      <c r="A222" s="42"/>
      <c r="B222" s="43"/>
      <c r="C222" s="44"/>
      <c r="D222" s="177" t="s">
        <v>463</v>
      </c>
      <c r="E222" s="44"/>
      <c r="F222" s="48">
        <f>(287.08+22.42+22.47+5.86+12.04+17.92+2.9+10.53+2.89+2.81+13.83+21.92+32.98+15.59+16.37)*0.05</f>
        <v>24.380500000000001</v>
      </c>
      <c r="G222" s="45"/>
      <c r="H222" s="45"/>
      <c r="I222" s="11"/>
      <c r="J222" s="12"/>
      <c r="K222" s="135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s="2" customFormat="1" ht="13.5" customHeight="1">
      <c r="A223" s="42"/>
      <c r="B223" s="43"/>
      <c r="C223" s="44"/>
      <c r="D223" s="177" t="s">
        <v>442</v>
      </c>
      <c r="E223" s="44"/>
      <c r="F223" s="48">
        <f>(8.67+3.96+5.12+73.18)*0.05</f>
        <v>4.5465000000000009</v>
      </c>
      <c r="G223" s="45"/>
      <c r="H223" s="45"/>
      <c r="I223" s="11"/>
      <c r="J223" s="12"/>
      <c r="K223" s="135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s="2" customFormat="1" ht="13.5" customHeight="1">
      <c r="A224" s="42">
        <v>47</v>
      </c>
      <c r="B224" s="43" t="s">
        <v>106</v>
      </c>
      <c r="C224" s="44">
        <v>965081223</v>
      </c>
      <c r="D224" s="44" t="s">
        <v>443</v>
      </c>
      <c r="E224" s="44" t="s">
        <v>21</v>
      </c>
      <c r="F224" s="154">
        <f>SUM(F226:F230)</f>
        <v>1834.37096</v>
      </c>
      <c r="G224" s="45"/>
      <c r="H224" s="45">
        <f>F224*G224</f>
        <v>0</v>
      </c>
      <c r="I224" s="46" t="s">
        <v>68</v>
      </c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s="2" customFormat="1" ht="13.5" customHeight="1">
      <c r="A225" s="42"/>
      <c r="B225" s="43"/>
      <c r="C225" s="44"/>
      <c r="D225" s="47" t="s">
        <v>118</v>
      </c>
      <c r="E225" s="44"/>
      <c r="F225" s="48"/>
      <c r="G225" s="45"/>
      <c r="H225" s="45"/>
      <c r="I225" s="11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s="2" customFormat="1" ht="13.5" customHeight="1">
      <c r="A226" s="42"/>
      <c r="B226" s="43"/>
      <c r="C226" s="44"/>
      <c r="D226" s="177" t="s">
        <v>119</v>
      </c>
      <c r="E226" s="44"/>
      <c r="F226" s="48">
        <f>38.43+19.7+17.25+29.22+17.02+44.87+37.41+37.28+39.33+89.59+232.14</f>
        <v>602.24</v>
      </c>
      <c r="G226" s="45"/>
      <c r="H226" s="45"/>
      <c r="I226" s="11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s="2" customFormat="1" ht="13.5" customHeight="1">
      <c r="A227" s="42"/>
      <c r="B227" s="43"/>
      <c r="C227" s="44"/>
      <c r="D227" s="177" t="s">
        <v>282</v>
      </c>
      <c r="E227" s="44"/>
      <c r="F227" s="48">
        <f>268.13+19+31.97+33.27+2.49*0.149*13+2.49*0.159*13+10.77+2.8+2.55+6.46+7.11</f>
        <v>392.02996000000002</v>
      </c>
      <c r="G227" s="45"/>
      <c r="H227" s="45"/>
      <c r="I227" s="11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s="2" customFormat="1" ht="27" customHeight="1">
      <c r="A228" s="42"/>
      <c r="B228" s="43"/>
      <c r="C228" s="44"/>
      <c r="D228" s="177" t="s">
        <v>281</v>
      </c>
      <c r="E228" s="44"/>
      <c r="F228" s="48">
        <f>279.09+6.9+4.53+6.38+31.64+34.63+2.49*0.15*26+7.1+13.31+10.59+2.82+2.54+12.36</f>
        <v>421.60099999999994</v>
      </c>
      <c r="G228" s="45"/>
      <c r="H228" s="45"/>
      <c r="I228" s="11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s="2" customFormat="1" ht="13.5" customHeight="1">
      <c r="A229" s="42"/>
      <c r="B229" s="43"/>
      <c r="C229" s="44"/>
      <c r="D229" s="177" t="s">
        <v>283</v>
      </c>
      <c r="E229" s="44"/>
      <c r="F229" s="48">
        <f>287.08+22.42+22.47+5.86+12.04+17.92+2.9+10.53+2.89+2.81+13.83</f>
        <v>400.75</v>
      </c>
      <c r="G229" s="45"/>
      <c r="H229" s="45"/>
      <c r="I229" s="11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s="2" customFormat="1" ht="13.5" customHeight="1">
      <c r="A230" s="42"/>
      <c r="B230" s="43"/>
      <c r="C230" s="44"/>
      <c r="D230" s="177" t="s">
        <v>314</v>
      </c>
      <c r="E230" s="44"/>
      <c r="F230" s="48">
        <f xml:space="preserve"> 8.67+3.96+5.12</f>
        <v>17.75</v>
      </c>
      <c r="G230" s="45"/>
      <c r="H230" s="45"/>
      <c r="I230" s="11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s="2" customFormat="1" ht="25.5" customHeight="1">
      <c r="A231" s="42">
        <v>48</v>
      </c>
      <c r="B231" s="43" t="s">
        <v>106</v>
      </c>
      <c r="C231" s="44">
        <v>965081333</v>
      </c>
      <c r="D231" s="44" t="s">
        <v>134</v>
      </c>
      <c r="E231" s="44" t="s">
        <v>21</v>
      </c>
      <c r="F231" s="154">
        <f>F233</f>
        <v>216.4</v>
      </c>
      <c r="G231" s="45"/>
      <c r="H231" s="45">
        <f>F231*G231</f>
        <v>0</v>
      </c>
      <c r="I231" s="46" t="s">
        <v>68</v>
      </c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s="2" customFormat="1" ht="13.5" customHeight="1">
      <c r="A232" s="42"/>
      <c r="B232" s="43"/>
      <c r="C232" s="44"/>
      <c r="D232" s="47" t="s">
        <v>135</v>
      </c>
      <c r="E232" s="44"/>
      <c r="F232" s="48"/>
      <c r="G232" s="45"/>
      <c r="H232" s="45"/>
      <c r="I232" s="11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s="2" customFormat="1" ht="13.5" customHeight="1">
      <c r="A233" s="42"/>
      <c r="B233" s="43"/>
      <c r="C233" s="44"/>
      <c r="D233" s="177" t="s">
        <v>541</v>
      </c>
      <c r="E233" s="44"/>
      <c r="F233" s="48">
        <f>215.23+19.71-18.54</f>
        <v>216.4</v>
      </c>
      <c r="G233" s="45"/>
      <c r="H233" s="45"/>
      <c r="I233" s="11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s="2" customFormat="1" ht="13.5" customHeight="1">
      <c r="A234" s="42">
        <v>49</v>
      </c>
      <c r="B234" s="43" t="s">
        <v>106</v>
      </c>
      <c r="C234" s="44">
        <v>965081611</v>
      </c>
      <c r="D234" s="44" t="s">
        <v>133</v>
      </c>
      <c r="E234" s="44" t="s">
        <v>46</v>
      </c>
      <c r="F234" s="154">
        <f>SUM(F236:F240)</f>
        <v>1388.7750000000003</v>
      </c>
      <c r="G234" s="45"/>
      <c r="H234" s="45">
        <f>F234*G234</f>
        <v>0</v>
      </c>
      <c r="I234" s="46" t="s">
        <v>68</v>
      </c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s="2" customFormat="1" ht="13.5" customHeight="1">
      <c r="A235" s="42"/>
      <c r="B235" s="43"/>
      <c r="C235" s="44"/>
      <c r="D235" s="177" t="s">
        <v>243</v>
      </c>
      <c r="E235" s="44"/>
      <c r="F235" s="48"/>
      <c r="G235" s="45"/>
      <c r="H235" s="45"/>
      <c r="I235" s="11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s="2" customFormat="1" ht="48.75" customHeight="1">
      <c r="A236" s="42"/>
      <c r="B236" s="43"/>
      <c r="C236" s="44"/>
      <c r="D236" s="177" t="s">
        <v>242</v>
      </c>
      <c r="E236" s="44"/>
      <c r="F236" s="48">
        <f>6.13*2+6.01*2+5.52*2+3.11*2+6.41*2+2.75*2+5.52*4+5.12*2+3.13*2+6.43*2+6.75*2+6.06*2+5.69*2+6.06*2+5.73*2+6.06*2+5.99*2+6*3+6.22+13.19+14.82+19.66*2+12.84*2+1.1*6+0.91*6+11.92*2+1.58*2+18.4*2+2.5*2+24.75*2+2.57*2+20.23*2+2.7*2+13.29*2+3.24*2</f>
        <v>527.63</v>
      </c>
      <c r="G236" s="45"/>
      <c r="H236" s="45"/>
      <c r="I236" s="11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s="2" customFormat="1" ht="40.5" customHeight="1">
      <c r="A237" s="42"/>
      <c r="B237" s="43"/>
      <c r="C237" s="44"/>
      <c r="D237" s="177" t="s">
        <v>271</v>
      </c>
      <c r="E237" s="44"/>
      <c r="F237" s="48">
        <f>3.2+13.1*2+0.5+0.25+0.64*2+0.1+0.085+18.8*2+2.7*2+9.4*2+2.7*2+5.8*2+2.7*2+30.3*2+2.7*2+13.5+14.3+3.3+3.4+5.6*2+3.2*2+5.4*2+5.6*2+5.4*2+3.3*2</f>
        <v>273.31500000000005</v>
      </c>
      <c r="G237" s="45"/>
      <c r="H237" s="45"/>
      <c r="I237" s="11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s="2" customFormat="1" ht="39" customHeight="1">
      <c r="A238" s="42"/>
      <c r="B238" s="43"/>
      <c r="C238" s="44"/>
      <c r="D238" s="177" t="s">
        <v>270</v>
      </c>
      <c r="E238" s="44"/>
      <c r="F238" s="48">
        <f>3.2+13.1*2+0.5+0.25+0.64*2+0.1+0.085+18.8*2+2.7*2+9.4*2+2.7*2+5.8*2+2.7*2+30.3*2+2.7*2+13.5+14.3+3.3+3.4+5.6*2+3.2*2+5.4*2+5.6*2+5.4*2+3.3*2</f>
        <v>273.31500000000005</v>
      </c>
      <c r="G238" s="45"/>
      <c r="H238" s="45"/>
      <c r="I238" s="11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s="2" customFormat="1" ht="39" customHeight="1">
      <c r="A239" s="42"/>
      <c r="B239" s="43"/>
      <c r="C239" s="44"/>
      <c r="D239" s="177" t="s">
        <v>285</v>
      </c>
      <c r="E239" s="44"/>
      <c r="F239" s="48">
        <f>3.2+13.1*2+0.5+0.25+0.64*2+0.1+0.085+18.8*2+2.7*2+9.4*2+2.7*2+5.8*2+2.7*2+30.3*2+2.7*2+13.5+14.3+3.3+3.4+6.7*2+3.4*2+6.7*2+3.4*2+3.4*2+5.8+0.6*4+5.8*2+9.2*2</f>
        <v>301.71500000000009</v>
      </c>
      <c r="G239" s="45"/>
      <c r="H239" s="45"/>
      <c r="I239" s="11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s="2" customFormat="1" ht="13.5" customHeight="1">
      <c r="A240" s="42"/>
      <c r="B240" s="43"/>
      <c r="C240" s="44"/>
      <c r="D240" s="177" t="s">
        <v>315</v>
      </c>
      <c r="E240" s="44"/>
      <c r="F240" s="48">
        <f>5.8+3.5*2</f>
        <v>12.8</v>
      </c>
      <c r="G240" s="45"/>
      <c r="H240" s="45"/>
      <c r="I240" s="11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s="2" customFormat="1" ht="13.5" customHeight="1">
      <c r="A241" s="42">
        <v>50</v>
      </c>
      <c r="B241" s="43" t="s">
        <v>259</v>
      </c>
      <c r="C241" s="44">
        <v>965082923</v>
      </c>
      <c r="D241" s="44" t="s">
        <v>461</v>
      </c>
      <c r="E241" s="44" t="s">
        <v>27</v>
      </c>
      <c r="F241" s="154">
        <f>SUM(F243:F246)</f>
        <v>175.50550000000001</v>
      </c>
      <c r="G241" s="45"/>
      <c r="H241" s="45">
        <f>F241*G241</f>
        <v>0</v>
      </c>
      <c r="I241" s="46" t="s">
        <v>68</v>
      </c>
      <c r="J241" s="50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s="2" customFormat="1" ht="13.5" customHeight="1">
      <c r="A242" s="42"/>
      <c r="B242" s="43"/>
      <c r="C242" s="44"/>
      <c r="D242" s="177" t="s">
        <v>460</v>
      </c>
      <c r="E242" s="44"/>
      <c r="F242" s="48"/>
      <c r="G242" s="45"/>
      <c r="H242" s="45"/>
      <c r="I242" s="11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s="12" customFormat="1" ht="37.5" customHeight="1">
      <c r="A243" s="42"/>
      <c r="B243" s="43"/>
      <c r="C243" s="44"/>
      <c r="D243" s="47" t="s">
        <v>502</v>
      </c>
      <c r="E243" s="44"/>
      <c r="F243" s="48">
        <f>(41.52+41.14+21.99+16.67+37.51+268.13+37.13+148.99+18.97+37.95+33.52+32.88+19+31.97+20.89+10.77+2.8+2.55+6.46+7.11+22.11+23.36+16.45+21.86)*0.05</f>
        <v>46.086500000000001</v>
      </c>
      <c r="G243" s="45"/>
      <c r="H243" s="45"/>
      <c r="I243" s="46"/>
    </row>
    <row r="244" spans="1:26" s="12" customFormat="1" ht="48" customHeight="1">
      <c r="A244" s="42"/>
      <c r="B244" s="43"/>
      <c r="C244" s="44"/>
      <c r="D244" s="47" t="s">
        <v>481</v>
      </c>
      <c r="E244" s="44"/>
      <c r="F244" s="48">
        <f>(42.51+42.36+21.94+16.74+36.28+279.09+104.98+105.75+40.28+23.38+21.99+33.67+6.9+4.53+6.38+31.64+34.63+7.1+13.31+10.59+2.82+2.54+12.36+32.82+22.13+23.38+38.69+37.71+16.75+22.24+41.86+49.62+120.99)*0.05</f>
        <v>65.397999999999996</v>
      </c>
      <c r="G244" s="45"/>
      <c r="H244" s="45"/>
      <c r="I244" s="46"/>
    </row>
    <row r="245" spans="1:26" s="12" customFormat="1" ht="36.75" customHeight="1">
      <c r="A245" s="42"/>
      <c r="B245" s="43"/>
      <c r="C245" s="44"/>
      <c r="D245" s="47" t="s">
        <v>470</v>
      </c>
      <c r="E245" s="44"/>
      <c r="F245" s="48">
        <f>(287.08+105.51+21.92+34.23+32.98+21.65+5.86+12.04+15.59+16.37+17.92+2.9+10.53+2.89+2.81+13.83+39.21+38.11+16.81+22.52+121.11+108.7)*0.05</f>
        <v>47.528500000000001</v>
      </c>
      <c r="G245" s="45"/>
      <c r="H245" s="45"/>
      <c r="I245" s="46"/>
    </row>
    <row r="246" spans="1:26" s="12" customFormat="1" ht="26.25" customHeight="1">
      <c r="A246" s="42"/>
      <c r="B246" s="43"/>
      <c r="C246" s="44"/>
      <c r="D246" s="47" t="s">
        <v>457</v>
      </c>
      <c r="E246" s="44"/>
      <c r="F246" s="48">
        <f>(22.02+18.85+33.77+18.51+21.53+73.18+8.67+3.96+5.12+33.51+36.99+53.74)*0.05</f>
        <v>16.492500000000003</v>
      </c>
      <c r="G246" s="45"/>
      <c r="H246" s="45"/>
      <c r="I246" s="46"/>
    </row>
    <row r="247" spans="1:26" s="2" customFormat="1" ht="13.5" customHeight="1">
      <c r="A247" s="42">
        <v>51</v>
      </c>
      <c r="B247" s="43" t="s">
        <v>259</v>
      </c>
      <c r="C247" s="44">
        <v>965082941</v>
      </c>
      <c r="D247" s="44" t="s">
        <v>260</v>
      </c>
      <c r="E247" s="44" t="s">
        <v>27</v>
      </c>
      <c r="F247" s="154">
        <f>SUM(F249:F252)</f>
        <v>281.41499999999996</v>
      </c>
      <c r="G247" s="45"/>
      <c r="H247" s="45">
        <f>F247*G247</f>
        <v>0</v>
      </c>
      <c r="I247" s="46" t="s">
        <v>68</v>
      </c>
      <c r="J247" s="50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s="2" customFormat="1" ht="13.5" customHeight="1">
      <c r="A248" s="42"/>
      <c r="B248" s="43"/>
      <c r="C248" s="44"/>
      <c r="D248" s="177" t="s">
        <v>459</v>
      </c>
      <c r="E248" s="44"/>
      <c r="F248" s="48"/>
      <c r="G248" s="45"/>
      <c r="H248" s="45"/>
      <c r="I248" s="11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s="2" customFormat="1" ht="13.5" customHeight="1">
      <c r="A249" s="42"/>
      <c r="B249" s="43"/>
      <c r="C249" s="44"/>
      <c r="D249" s="177" t="s">
        <v>500</v>
      </c>
      <c r="E249" s="44"/>
      <c r="F249" s="48">
        <f>(23.6+21.58+37.99+37.2+44.08+44.14+43.5+41.86+31.81+105.82)*0.3</f>
        <v>129.47399999999999</v>
      </c>
      <c r="G249" s="45"/>
      <c r="H249" s="45"/>
      <c r="I249" s="11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s="2" customFormat="1" ht="13.5" customHeight="1">
      <c r="A250" s="42"/>
      <c r="B250" s="43"/>
      <c r="C250" s="44"/>
      <c r="D250" s="177" t="s">
        <v>261</v>
      </c>
      <c r="E250" s="44"/>
      <c r="F250" s="48">
        <f>109.13*0.3</f>
        <v>32.738999999999997</v>
      </c>
      <c r="G250" s="45"/>
      <c r="H250" s="45"/>
      <c r="I250" s="11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s="2" customFormat="1" ht="13.5" customHeight="1">
      <c r="A251" s="42"/>
      <c r="B251" s="43"/>
      <c r="C251" s="44"/>
      <c r="D251" s="177" t="s">
        <v>469</v>
      </c>
      <c r="E251" s="44"/>
      <c r="F251" s="48">
        <f xml:space="preserve"> (42.72+42.14+21.91+17.02+37.81+38.34+105.56+91.84)*0.3</f>
        <v>119.202</v>
      </c>
      <c r="G251" s="45"/>
      <c r="H251" s="45"/>
      <c r="I251" s="11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s="2" customFormat="1" ht="13.5" customHeight="1">
      <c r="A252" s="42"/>
      <c r="B252" s="43"/>
      <c r="C252" s="44"/>
      <c r="D252" s="177" t="s">
        <v>323</v>
      </c>
      <c r="E252" s="44"/>
      <c r="F252" s="48"/>
      <c r="G252" s="45"/>
      <c r="H252" s="45"/>
      <c r="I252" s="11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s="9" customFormat="1" ht="13.5" customHeight="1">
      <c r="A253" s="42">
        <v>52</v>
      </c>
      <c r="B253" s="43" t="s">
        <v>104</v>
      </c>
      <c r="C253" s="44">
        <v>967031142</v>
      </c>
      <c r="D253" s="44" t="s">
        <v>105</v>
      </c>
      <c r="E253" s="44" t="s">
        <v>21</v>
      </c>
      <c r="F253" s="154">
        <f>F254+F255</f>
        <v>10.404</v>
      </c>
      <c r="G253" s="72"/>
      <c r="H253" s="45">
        <f>F253*G253</f>
        <v>0</v>
      </c>
      <c r="I253" s="46" t="s">
        <v>68</v>
      </c>
      <c r="K253" s="70"/>
      <c r="L253" s="73"/>
    </row>
    <row r="254" spans="1:26" s="10" customFormat="1" ht="13.5" customHeight="1">
      <c r="A254" s="42"/>
      <c r="B254" s="43"/>
      <c r="C254" s="44"/>
      <c r="D254" s="47" t="s">
        <v>265</v>
      </c>
      <c r="E254" s="44"/>
      <c r="F254" s="48">
        <f>1.2*0.51*2*2+3*0.51*2</f>
        <v>5.508</v>
      </c>
      <c r="G254" s="45"/>
      <c r="H254" s="45"/>
      <c r="I254" s="11"/>
      <c r="J254" s="9"/>
      <c r="K254" s="9"/>
      <c r="L254" s="9"/>
      <c r="M254" s="9"/>
    </row>
    <row r="255" spans="1:26" s="10" customFormat="1" ht="13.5" customHeight="1">
      <c r="A255" s="42"/>
      <c r="B255" s="43"/>
      <c r="C255" s="44"/>
      <c r="D255" s="47" t="s">
        <v>266</v>
      </c>
      <c r="E255" s="44"/>
      <c r="F255" s="48">
        <f>2.4*0.51*2*2</f>
        <v>4.8959999999999999</v>
      </c>
      <c r="G255" s="45"/>
      <c r="H255" s="45"/>
      <c r="I255" s="11"/>
      <c r="J255" s="9"/>
      <c r="K255" s="9"/>
      <c r="L255" s="9"/>
      <c r="M255" s="9"/>
    </row>
    <row r="256" spans="1:26" s="2" customFormat="1" ht="13.5" customHeight="1">
      <c r="A256" s="157">
        <v>53</v>
      </c>
      <c r="B256" s="158" t="s">
        <v>106</v>
      </c>
      <c r="C256" s="158" t="s">
        <v>107</v>
      </c>
      <c r="D256" s="158" t="s">
        <v>108</v>
      </c>
      <c r="E256" s="158" t="s">
        <v>21</v>
      </c>
      <c r="F256" s="200">
        <f>SUM(F257:F261)</f>
        <v>819.96599999999989</v>
      </c>
      <c r="G256" s="193"/>
      <c r="H256" s="193">
        <f>F256*G256</f>
        <v>0</v>
      </c>
      <c r="I256" s="46" t="s">
        <v>103</v>
      </c>
      <c r="J256" s="50"/>
      <c r="K256" s="155"/>
      <c r="L256" s="50"/>
      <c r="M256" s="50"/>
      <c r="N256" s="50"/>
      <c r="O256" s="50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s="2" customFormat="1" ht="26.25" customHeight="1">
      <c r="A257" s="157"/>
      <c r="B257" s="158"/>
      <c r="C257" s="158"/>
      <c r="D257" s="191" t="s">
        <v>187</v>
      </c>
      <c r="E257" s="158"/>
      <c r="F257" s="192">
        <f>1.16*1.31*47+1.16*1.3*4+0.88*1.31*4+1.16*1.12*3+1.16*1.27*2+1.16*1.12*2+1.3*2.93</f>
        <v>95.315799999999982</v>
      </c>
      <c r="G257" s="193"/>
      <c r="H257" s="193"/>
      <c r="I257" s="159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s="2" customFormat="1" ht="13.5" customHeight="1">
      <c r="A258" s="157"/>
      <c r="B258" s="158"/>
      <c r="C258" s="158"/>
      <c r="D258" s="191" t="s">
        <v>267</v>
      </c>
      <c r="E258" s="158"/>
      <c r="F258" s="192">
        <f>1.19*2.36*76+1*2.36*4+0.97*2.36*2+1.19*2.36*2</f>
        <v>233.07359999999997</v>
      </c>
      <c r="G258" s="193"/>
      <c r="H258" s="193"/>
      <c r="I258" s="159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s="2" customFormat="1" ht="13.5" customHeight="1">
      <c r="A259" s="157"/>
      <c r="B259" s="158"/>
      <c r="C259" s="158"/>
      <c r="D259" s="191" t="s">
        <v>176</v>
      </c>
      <c r="E259" s="158"/>
      <c r="F259" s="192">
        <f>1.19*2.36*78+0.97*2.36*6</f>
        <v>232.79039999999998</v>
      </c>
      <c r="G259" s="193"/>
      <c r="H259" s="193"/>
      <c r="I259" s="159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s="2" customFormat="1" ht="13.5" customHeight="1">
      <c r="A260" s="157"/>
      <c r="B260" s="158"/>
      <c r="C260" s="158"/>
      <c r="D260" s="191" t="s">
        <v>365</v>
      </c>
      <c r="E260" s="158"/>
      <c r="F260" s="192">
        <f>1.19*2.36*76+0.97*2.36*4</f>
        <v>222.59519999999998</v>
      </c>
      <c r="G260" s="193"/>
      <c r="H260" s="193"/>
      <c r="I260" s="159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s="2" customFormat="1" ht="13.5" customHeight="1">
      <c r="A261" s="157"/>
      <c r="B261" s="158"/>
      <c r="C261" s="158"/>
      <c r="D261" s="191" t="s">
        <v>175</v>
      </c>
      <c r="E261" s="158"/>
      <c r="F261" s="192">
        <f>1.19*1.99*8+0.97*1.99*6+1.19*2.38*2</f>
        <v>36.191000000000003</v>
      </c>
      <c r="G261" s="193"/>
      <c r="H261" s="193"/>
      <c r="I261" s="159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s="2" customFormat="1" ht="13.5" customHeight="1">
      <c r="A262" s="194"/>
      <c r="B262" s="195"/>
      <c r="C262" s="195"/>
      <c r="D262" s="191" t="s">
        <v>359</v>
      </c>
      <c r="E262" s="195"/>
      <c r="F262" s="196"/>
      <c r="G262" s="197"/>
      <c r="H262" s="193"/>
      <c r="I262" s="159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s="2" customFormat="1" ht="40.5" customHeight="1">
      <c r="A263" s="194"/>
      <c r="B263" s="198"/>
      <c r="C263" s="195"/>
      <c r="D263" s="191" t="s">
        <v>109</v>
      </c>
      <c r="E263" s="191"/>
      <c r="F263" s="192"/>
      <c r="G263" s="193"/>
      <c r="H263" s="193"/>
      <c r="I263" s="199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s="2" customFormat="1" ht="13.5" customHeight="1">
      <c r="A264" s="42">
        <v>54</v>
      </c>
      <c r="B264" s="158" t="s">
        <v>106</v>
      </c>
      <c r="C264" s="44" t="s">
        <v>110</v>
      </c>
      <c r="D264" s="44" t="s">
        <v>112</v>
      </c>
      <c r="E264" s="44" t="s">
        <v>21</v>
      </c>
      <c r="F264" s="154">
        <f>SUM(F265:F270)</f>
        <v>408.74490000000003</v>
      </c>
      <c r="G264" s="45"/>
      <c r="H264" s="45">
        <f>F264*G264</f>
        <v>0</v>
      </c>
      <c r="I264" s="46" t="s">
        <v>103</v>
      </c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s="2" customFormat="1" ht="38.25" customHeight="1">
      <c r="A265" s="42"/>
      <c r="B265" s="43"/>
      <c r="C265" s="44"/>
      <c r="D265" s="47" t="s">
        <v>536</v>
      </c>
      <c r="E265" s="44"/>
      <c r="F265" s="48">
        <f>1.55*2.04*2+1*2.02*16+0.9*2.02*5+0.89*1.09+1.55*2.02*2+0.7*2.02*7+1.36*2.2*2+1.54*2.52*3</f>
        <v>82.490499999999983</v>
      </c>
      <c r="G265" s="45"/>
      <c r="H265" s="45"/>
      <c r="I265" s="49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s="2" customFormat="1" ht="13.5" customHeight="1">
      <c r="A266" s="42"/>
      <c r="B266" s="43"/>
      <c r="C266" s="44"/>
      <c r="D266" s="47" t="s">
        <v>238</v>
      </c>
      <c r="E266" s="44"/>
      <c r="F266" s="48">
        <f>2*3.42</f>
        <v>6.84</v>
      </c>
      <c r="G266" s="45"/>
      <c r="H266" s="45"/>
      <c r="I266" s="49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s="2" customFormat="1" ht="24.75" customHeight="1">
      <c r="A267" s="42"/>
      <c r="B267" s="43"/>
      <c r="C267" s="44"/>
      <c r="D267" s="47" t="s">
        <v>237</v>
      </c>
      <c r="E267" s="44"/>
      <c r="F267" s="48">
        <f>1*2.02*29+0.9*2.02*7+2.4*2.24*2+0.89*1.09+0.7*2.02*5+1.55*2.02*2+1.2*2.15</f>
        <v>98.940099999999987</v>
      </c>
      <c r="G267" s="45"/>
      <c r="H267" s="45"/>
      <c r="I267" s="49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s="2" customFormat="1" ht="24.75" customHeight="1">
      <c r="A268" s="42"/>
      <c r="B268" s="43"/>
      <c r="C268" s="44"/>
      <c r="D268" s="47" t="s">
        <v>262</v>
      </c>
      <c r="E268" s="44"/>
      <c r="F268" s="48">
        <f>1*2.02*27+0.9*2.02*6+0.89*1.09+1.55*2.02*2+2.63*2.23*2+0.7*2.02*5</f>
        <v>91.479900000000001</v>
      </c>
      <c r="G268" s="45"/>
      <c r="H268" s="45"/>
      <c r="I268" s="49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s="2" customFormat="1" ht="36.75" customHeight="1">
      <c r="A269" s="42"/>
      <c r="B269" s="43"/>
      <c r="C269" s="44"/>
      <c r="D269" s="47" t="s">
        <v>286</v>
      </c>
      <c r="E269" s="44"/>
      <c r="F269" s="48">
        <f>1*2.02*25+1.55*2.04+0.9*2.02*5+1.55*2.02*2+0.7*2.02*6+0.89*1.09+0.9*1.97+2.64*2.24*2</f>
        <v>92.068299999999994</v>
      </c>
      <c r="G269" s="45"/>
      <c r="H269" s="45"/>
      <c r="I269" s="49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s="2" customFormat="1" ht="13.5" customHeight="1">
      <c r="A270" s="42"/>
      <c r="B270" s="43"/>
      <c r="C270" s="44"/>
      <c r="D270" s="47" t="s">
        <v>316</v>
      </c>
      <c r="E270" s="44"/>
      <c r="F270" s="48">
        <f>1*2.02*13+0.9*2.02*3+0.7*2.02*3+0.89*1.09</f>
        <v>36.926100000000005</v>
      </c>
      <c r="G270" s="45"/>
      <c r="H270" s="45"/>
      <c r="I270" s="49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s="2" customFormat="1" ht="27" customHeight="1">
      <c r="A271" s="42"/>
      <c r="B271" s="43"/>
      <c r="C271" s="44"/>
      <c r="D271" s="47" t="s">
        <v>111</v>
      </c>
      <c r="E271" s="44"/>
      <c r="F271" s="48"/>
      <c r="G271" s="45"/>
      <c r="H271" s="45"/>
      <c r="I271" s="49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s="2" customFormat="1" ht="40.5" customHeight="1">
      <c r="A272" s="51"/>
      <c r="B272" s="76"/>
      <c r="C272" s="52"/>
      <c r="D272" s="47" t="s">
        <v>109</v>
      </c>
      <c r="E272" s="47"/>
      <c r="F272" s="48"/>
      <c r="G272" s="45"/>
      <c r="H272" s="45"/>
      <c r="I272" s="49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11" s="12" customFormat="1" ht="13.5" customHeight="1">
      <c r="A273" s="42">
        <v>55</v>
      </c>
      <c r="B273" s="43" t="s">
        <v>559</v>
      </c>
      <c r="C273" s="44">
        <v>971024561</v>
      </c>
      <c r="D273" s="44" t="s">
        <v>560</v>
      </c>
      <c r="E273" s="44" t="s">
        <v>27</v>
      </c>
      <c r="F273" s="154">
        <f>F274</f>
        <v>0.25</v>
      </c>
      <c r="G273" s="45"/>
      <c r="H273" s="45">
        <f>F273*G273</f>
        <v>0</v>
      </c>
      <c r="I273" s="46" t="s">
        <v>68</v>
      </c>
      <c r="J273" s="135"/>
      <c r="K273" s="135"/>
    </row>
    <row r="274" spans="1:11" s="12" customFormat="1" ht="27.75" customHeight="1">
      <c r="A274" s="42"/>
      <c r="B274" s="44"/>
      <c r="C274" s="44"/>
      <c r="D274" s="47" t="s">
        <v>561</v>
      </c>
      <c r="E274" s="44"/>
      <c r="F274" s="48">
        <f>0.5*1*0.25*2</f>
        <v>0.25</v>
      </c>
      <c r="G274" s="45"/>
      <c r="H274" s="45"/>
      <c r="I274" s="46"/>
      <c r="J274" s="135"/>
      <c r="K274" s="135"/>
    </row>
    <row r="275" spans="1:11" s="12" customFormat="1" ht="13.5" customHeight="1">
      <c r="A275" s="42">
        <v>56</v>
      </c>
      <c r="B275" s="43" t="s">
        <v>559</v>
      </c>
      <c r="C275" s="44">
        <v>971033681</v>
      </c>
      <c r="D275" s="44" t="s">
        <v>638</v>
      </c>
      <c r="E275" s="44" t="s">
        <v>27</v>
      </c>
      <c r="F275" s="154">
        <f>F277</f>
        <v>3.6610200000000006</v>
      </c>
      <c r="G275" s="45"/>
      <c r="H275" s="45">
        <f>F275*G275</f>
        <v>0</v>
      </c>
      <c r="I275" s="46" t="s">
        <v>68</v>
      </c>
      <c r="J275" s="135"/>
      <c r="K275" s="135"/>
    </row>
    <row r="276" spans="1:11" s="12" customFormat="1" ht="13.5" customHeight="1">
      <c r="A276" s="42"/>
      <c r="B276" s="44"/>
      <c r="C276" s="44"/>
      <c r="D276" s="47" t="s">
        <v>639</v>
      </c>
      <c r="E276" s="44"/>
      <c r="F276" s="48"/>
      <c r="G276" s="45"/>
      <c r="H276" s="45"/>
      <c r="I276" s="46"/>
      <c r="J276" s="135"/>
      <c r="K276" s="135"/>
    </row>
    <row r="277" spans="1:11" s="12" customFormat="1" ht="13.5" customHeight="1">
      <c r="A277" s="42"/>
      <c r="B277" s="44"/>
      <c r="C277" s="44"/>
      <c r="D277" s="47" t="s">
        <v>640</v>
      </c>
      <c r="E277" s="44"/>
      <c r="F277" s="48">
        <f>1.1*1.29*0.86*3</f>
        <v>3.6610200000000006</v>
      </c>
      <c r="G277" s="45"/>
      <c r="H277" s="45"/>
      <c r="I277" s="46"/>
      <c r="J277" s="135"/>
      <c r="K277" s="135"/>
    </row>
    <row r="278" spans="1:11" s="12" customFormat="1" ht="13.5" customHeight="1">
      <c r="A278" s="42">
        <v>57</v>
      </c>
      <c r="B278" s="43" t="s">
        <v>389</v>
      </c>
      <c r="C278" s="44">
        <v>973031325</v>
      </c>
      <c r="D278" s="44" t="s">
        <v>390</v>
      </c>
      <c r="E278" s="44" t="s">
        <v>141</v>
      </c>
      <c r="F278" s="154">
        <f>SUM(F279:F294)</f>
        <v>337</v>
      </c>
      <c r="G278" s="45"/>
      <c r="H278" s="45">
        <f>F278*G278</f>
        <v>0</v>
      </c>
      <c r="I278" s="46" t="s">
        <v>68</v>
      </c>
      <c r="J278" s="135"/>
      <c r="K278" s="135"/>
    </row>
    <row r="279" spans="1:11" s="12" customFormat="1" ht="13.5" customHeight="1">
      <c r="A279" s="42"/>
      <c r="B279" s="44"/>
      <c r="C279" s="44"/>
      <c r="D279" s="47" t="s">
        <v>562</v>
      </c>
      <c r="E279" s="44"/>
      <c r="F279" s="48">
        <v>13</v>
      </c>
      <c r="G279" s="45"/>
      <c r="H279" s="45"/>
      <c r="I279" s="46"/>
      <c r="J279" s="135"/>
      <c r="K279" s="135"/>
    </row>
    <row r="280" spans="1:11" s="12" customFormat="1" ht="13.5" customHeight="1">
      <c r="A280" s="42"/>
      <c r="B280" s="44"/>
      <c r="C280" s="44"/>
      <c r="D280" s="47" t="s">
        <v>579</v>
      </c>
      <c r="E280" s="44"/>
      <c r="F280" s="48">
        <v>1</v>
      </c>
      <c r="G280" s="45"/>
      <c r="H280" s="45"/>
      <c r="I280" s="46"/>
      <c r="J280" s="135"/>
      <c r="K280" s="135"/>
    </row>
    <row r="281" spans="1:11" s="12" customFormat="1" ht="13.5" customHeight="1">
      <c r="A281" s="42"/>
      <c r="B281" s="44"/>
      <c r="C281" s="44"/>
      <c r="D281" s="47" t="s">
        <v>642</v>
      </c>
      <c r="E281" s="44"/>
      <c r="F281" s="48">
        <f>18+30</f>
        <v>48</v>
      </c>
      <c r="G281" s="45"/>
      <c r="H281" s="45"/>
      <c r="I281" s="46"/>
      <c r="J281" s="135"/>
      <c r="K281" s="135"/>
    </row>
    <row r="282" spans="1:11" s="12" customFormat="1" ht="13.5" customHeight="1">
      <c r="A282" s="42"/>
      <c r="B282" s="44"/>
      <c r="C282" s="44"/>
      <c r="D282" s="47" t="s">
        <v>643</v>
      </c>
      <c r="E282" s="44"/>
      <c r="F282" s="48">
        <v>34</v>
      </c>
      <c r="G282" s="45"/>
      <c r="H282" s="45"/>
      <c r="I282" s="46"/>
      <c r="J282" s="135"/>
      <c r="K282" s="135"/>
    </row>
    <row r="283" spans="1:11" s="12" customFormat="1" ht="13.5" customHeight="1">
      <c r="A283" s="42"/>
      <c r="B283" s="44"/>
      <c r="C283" s="44"/>
      <c r="D283" s="47" t="s">
        <v>391</v>
      </c>
      <c r="E283" s="44"/>
      <c r="F283" s="48">
        <v>2</v>
      </c>
      <c r="G283" s="45"/>
      <c r="H283" s="45"/>
      <c r="I283" s="46"/>
      <c r="J283" s="135"/>
      <c r="K283" s="135"/>
    </row>
    <row r="284" spans="1:11" s="12" customFormat="1" ht="13.5" customHeight="1">
      <c r="A284" s="42"/>
      <c r="B284" s="44"/>
      <c r="C284" s="44"/>
      <c r="D284" s="47" t="s">
        <v>554</v>
      </c>
      <c r="E284" s="44"/>
      <c r="F284" s="48">
        <f>16+12</f>
        <v>28</v>
      </c>
      <c r="G284" s="45"/>
      <c r="H284" s="45"/>
      <c r="I284" s="46"/>
      <c r="J284" s="135"/>
      <c r="K284" s="135"/>
    </row>
    <row r="285" spans="1:11" s="12" customFormat="1" ht="13.5" customHeight="1">
      <c r="A285" s="42"/>
      <c r="B285" s="44"/>
      <c r="C285" s="44"/>
      <c r="D285" s="47" t="s">
        <v>411</v>
      </c>
      <c r="E285" s="44"/>
      <c r="F285" s="48">
        <f>4+4</f>
        <v>8</v>
      </c>
      <c r="G285" s="45"/>
      <c r="H285" s="45"/>
      <c r="I285" s="46"/>
      <c r="J285" s="135"/>
      <c r="K285" s="135"/>
    </row>
    <row r="286" spans="1:11" s="12" customFormat="1" ht="13.5" customHeight="1">
      <c r="A286" s="42"/>
      <c r="B286" s="44"/>
      <c r="C286" s="44"/>
      <c r="D286" s="47" t="s">
        <v>553</v>
      </c>
      <c r="E286" s="44"/>
      <c r="F286" s="48">
        <f>16+12</f>
        <v>28</v>
      </c>
      <c r="G286" s="45"/>
      <c r="H286" s="45"/>
      <c r="I286" s="46"/>
      <c r="J286" s="135"/>
      <c r="K286" s="135"/>
    </row>
    <row r="287" spans="1:11" s="12" customFormat="1" ht="13.5" customHeight="1">
      <c r="A287" s="42"/>
      <c r="B287" s="44"/>
      <c r="C287" s="44"/>
      <c r="D287" s="47" t="s">
        <v>552</v>
      </c>
      <c r="E287" s="44"/>
      <c r="F287" s="48">
        <f>4+4</f>
        <v>8</v>
      </c>
      <c r="G287" s="45"/>
      <c r="H287" s="45"/>
      <c r="I287" s="46"/>
      <c r="J287" s="135"/>
      <c r="K287" s="135"/>
    </row>
    <row r="288" spans="1:11" s="12" customFormat="1" ht="13.5" customHeight="1">
      <c r="A288" s="42"/>
      <c r="B288" s="44"/>
      <c r="C288" s="44"/>
      <c r="D288" s="47" t="s">
        <v>570</v>
      </c>
      <c r="E288" s="44"/>
      <c r="F288" s="48">
        <f>16+12</f>
        <v>28</v>
      </c>
      <c r="G288" s="45"/>
      <c r="H288" s="45"/>
      <c r="I288" s="46"/>
      <c r="J288" s="135"/>
      <c r="K288" s="135"/>
    </row>
    <row r="289" spans="1:11" s="12" customFormat="1" ht="13.5" customHeight="1">
      <c r="A289" s="42"/>
      <c r="B289" s="44"/>
      <c r="C289" s="44"/>
      <c r="D289" s="47" t="s">
        <v>572</v>
      </c>
      <c r="E289" s="44"/>
      <c r="F289" s="48">
        <v>6</v>
      </c>
      <c r="G289" s="45"/>
      <c r="H289" s="45"/>
      <c r="I289" s="46"/>
      <c r="J289" s="135"/>
      <c r="K289" s="135"/>
    </row>
    <row r="290" spans="1:11" s="12" customFormat="1" ht="13.5" customHeight="1">
      <c r="A290" s="42"/>
      <c r="B290" s="44"/>
      <c r="C290" s="44"/>
      <c r="D290" s="47" t="s">
        <v>571</v>
      </c>
      <c r="E290" s="44"/>
      <c r="F290" s="48">
        <f>4+4+4+4</f>
        <v>16</v>
      </c>
      <c r="G290" s="45"/>
      <c r="H290" s="45"/>
      <c r="I290" s="46"/>
      <c r="J290" s="135"/>
      <c r="K290" s="135"/>
    </row>
    <row r="291" spans="1:11" s="12" customFormat="1" ht="13.5" customHeight="1">
      <c r="A291" s="42"/>
      <c r="B291" s="44"/>
      <c r="C291" s="44"/>
      <c r="D291" s="47" t="s">
        <v>581</v>
      </c>
      <c r="E291" s="44"/>
      <c r="F291" s="48">
        <f>15+12+16+8</f>
        <v>51</v>
      </c>
      <c r="G291" s="45"/>
      <c r="H291" s="45"/>
      <c r="I291" s="46"/>
      <c r="J291" s="135"/>
      <c r="K291" s="135"/>
    </row>
    <row r="292" spans="1:11" s="12" customFormat="1" ht="13.5" customHeight="1">
      <c r="A292" s="42"/>
      <c r="B292" s="44"/>
      <c r="C292" s="44"/>
      <c r="D292" s="47" t="s">
        <v>582</v>
      </c>
      <c r="E292" s="44"/>
      <c r="F292" s="48">
        <f>10+20</f>
        <v>30</v>
      </c>
      <c r="G292" s="45"/>
      <c r="H292" s="45"/>
      <c r="I292" s="46"/>
      <c r="J292" s="135"/>
      <c r="K292" s="135"/>
    </row>
    <row r="293" spans="1:11" s="12" customFormat="1" ht="13.5" customHeight="1">
      <c r="A293" s="42"/>
      <c r="B293" s="44"/>
      <c r="C293" s="44"/>
      <c r="D293" s="47" t="s">
        <v>583</v>
      </c>
      <c r="E293" s="44"/>
      <c r="F293" s="48">
        <v>4</v>
      </c>
      <c r="G293" s="45"/>
      <c r="H293" s="45"/>
      <c r="I293" s="46"/>
      <c r="J293" s="135"/>
      <c r="K293" s="135"/>
    </row>
    <row r="294" spans="1:11" s="12" customFormat="1" ht="13.5" customHeight="1">
      <c r="A294" s="42"/>
      <c r="B294" s="44"/>
      <c r="C294" s="44"/>
      <c r="D294" s="47" t="s">
        <v>594</v>
      </c>
      <c r="E294" s="44"/>
      <c r="F294" s="48">
        <f>8+8+10+6</f>
        <v>32</v>
      </c>
      <c r="G294" s="45"/>
      <c r="H294" s="45"/>
      <c r="I294" s="46"/>
      <c r="J294" s="135"/>
      <c r="K294" s="135"/>
    </row>
    <row r="295" spans="1:11" s="12" customFormat="1" ht="13.5" customHeight="1">
      <c r="A295" s="42">
        <v>58</v>
      </c>
      <c r="B295" s="43" t="s">
        <v>389</v>
      </c>
      <c r="C295" s="44">
        <v>973031345</v>
      </c>
      <c r="D295" s="44" t="s">
        <v>412</v>
      </c>
      <c r="E295" s="44" t="s">
        <v>141</v>
      </c>
      <c r="F295" s="154">
        <f>SUM(F296:F304)</f>
        <v>28</v>
      </c>
      <c r="G295" s="45"/>
      <c r="H295" s="45">
        <f>F295*G295</f>
        <v>0</v>
      </c>
      <c r="I295" s="46" t="s">
        <v>68</v>
      </c>
      <c r="J295" s="135"/>
      <c r="K295" s="135"/>
    </row>
    <row r="296" spans="1:11" s="12" customFormat="1" ht="13.5" customHeight="1">
      <c r="A296" s="42"/>
      <c r="B296" s="44"/>
      <c r="C296" s="44"/>
      <c r="D296" s="47" t="s">
        <v>573</v>
      </c>
      <c r="E296" s="44"/>
      <c r="F296" s="48">
        <f xml:space="preserve"> 2+2</f>
        <v>4</v>
      </c>
      <c r="G296" s="45"/>
      <c r="H296" s="45"/>
      <c r="I296" s="46"/>
      <c r="J296" s="135"/>
      <c r="K296" s="135"/>
    </row>
    <row r="297" spans="1:11" s="12" customFormat="1" ht="13.5" customHeight="1">
      <c r="A297" s="42"/>
      <c r="B297" s="44"/>
      <c r="C297" s="44"/>
      <c r="D297" s="47" t="s">
        <v>574</v>
      </c>
      <c r="E297" s="44"/>
      <c r="F297" s="48">
        <f xml:space="preserve"> 2+2</f>
        <v>4</v>
      </c>
      <c r="G297" s="45"/>
      <c r="H297" s="45"/>
      <c r="I297" s="46"/>
      <c r="J297" s="135"/>
      <c r="K297" s="135"/>
    </row>
    <row r="298" spans="1:11" s="12" customFormat="1" ht="30" customHeight="1">
      <c r="A298" s="42"/>
      <c r="B298" s="44"/>
      <c r="C298" s="44"/>
      <c r="D298" s="47" t="s">
        <v>575</v>
      </c>
      <c r="E298" s="44"/>
      <c r="F298" s="48">
        <f>2+2+2+2</f>
        <v>8</v>
      </c>
      <c r="G298" s="45"/>
      <c r="H298" s="45"/>
      <c r="I298" s="46"/>
      <c r="J298" s="135"/>
      <c r="K298" s="135"/>
    </row>
    <row r="299" spans="1:11" s="12" customFormat="1" ht="13.5" customHeight="1">
      <c r="A299" s="42"/>
      <c r="B299" s="44"/>
      <c r="C299" s="44"/>
      <c r="D299" s="47" t="s">
        <v>584</v>
      </c>
      <c r="E299" s="44"/>
      <c r="F299" s="48">
        <v>2</v>
      </c>
      <c r="G299" s="45"/>
      <c r="H299" s="45"/>
      <c r="I299" s="46"/>
      <c r="J299" s="135"/>
      <c r="K299" s="135"/>
    </row>
    <row r="300" spans="1:11" s="12" customFormat="1" ht="13.5" customHeight="1">
      <c r="A300" s="42"/>
      <c r="B300" s="44"/>
      <c r="C300" s="44"/>
      <c r="D300" s="47" t="s">
        <v>606</v>
      </c>
      <c r="E300" s="44"/>
      <c r="F300" s="48">
        <v>2</v>
      </c>
      <c r="G300" s="45"/>
      <c r="H300" s="45"/>
      <c r="I300" s="46"/>
      <c r="J300" s="135"/>
      <c r="K300" s="135"/>
    </row>
    <row r="301" spans="1:11" s="12" customFormat="1" ht="13.5" customHeight="1">
      <c r="A301" s="42"/>
      <c r="B301" s="44"/>
      <c r="C301" s="44"/>
      <c r="D301" s="47" t="s">
        <v>607</v>
      </c>
      <c r="E301" s="44"/>
      <c r="F301" s="48">
        <v>2</v>
      </c>
      <c r="G301" s="45"/>
      <c r="H301" s="45"/>
      <c r="I301" s="46"/>
      <c r="J301" s="135"/>
      <c r="K301" s="135"/>
    </row>
    <row r="302" spans="1:11" s="12" customFormat="1" ht="13.5" customHeight="1">
      <c r="A302" s="42"/>
      <c r="B302" s="44"/>
      <c r="C302" s="44"/>
      <c r="D302" s="47" t="s">
        <v>608</v>
      </c>
      <c r="E302" s="44"/>
      <c r="F302" s="48">
        <v>2</v>
      </c>
      <c r="G302" s="45"/>
      <c r="H302" s="45"/>
      <c r="I302" s="46"/>
      <c r="J302" s="135"/>
      <c r="K302" s="135"/>
    </row>
    <row r="303" spans="1:11" s="12" customFormat="1" ht="13.5" customHeight="1">
      <c r="A303" s="42"/>
      <c r="B303" s="44"/>
      <c r="C303" s="44"/>
      <c r="D303" s="47" t="s">
        <v>609</v>
      </c>
      <c r="E303" s="44"/>
      <c r="F303" s="48">
        <v>2</v>
      </c>
      <c r="G303" s="45"/>
      <c r="H303" s="45"/>
      <c r="I303" s="46"/>
      <c r="J303" s="135"/>
      <c r="K303" s="135"/>
    </row>
    <row r="304" spans="1:11" s="12" customFormat="1" ht="13.5" customHeight="1">
      <c r="A304" s="42"/>
      <c r="B304" s="44"/>
      <c r="C304" s="44"/>
      <c r="D304" s="47" t="s">
        <v>610</v>
      </c>
      <c r="E304" s="44"/>
      <c r="F304" s="48">
        <v>2</v>
      </c>
      <c r="G304" s="45"/>
      <c r="H304" s="45"/>
      <c r="I304" s="46"/>
      <c r="J304" s="135"/>
      <c r="K304" s="135"/>
    </row>
    <row r="305" spans="1:26" s="12" customFormat="1" ht="13.5" customHeight="1">
      <c r="A305" s="42">
        <v>59</v>
      </c>
      <c r="B305" s="43" t="s">
        <v>299</v>
      </c>
      <c r="C305" s="44">
        <v>974031137</v>
      </c>
      <c r="D305" s="44" t="s">
        <v>623</v>
      </c>
      <c r="E305" s="44" t="s">
        <v>46</v>
      </c>
      <c r="F305" s="154">
        <f>SUM(F307:F311)</f>
        <v>125.6</v>
      </c>
      <c r="G305" s="45"/>
      <c r="H305" s="45">
        <f>F305*G305</f>
        <v>0</v>
      </c>
      <c r="I305" s="46" t="s">
        <v>68</v>
      </c>
      <c r="J305" s="135"/>
      <c r="K305" s="135"/>
    </row>
    <row r="306" spans="1:26" s="12" customFormat="1" ht="13.5" customHeight="1">
      <c r="A306" s="42"/>
      <c r="B306" s="44"/>
      <c r="C306" s="44"/>
      <c r="D306" s="47" t="s">
        <v>624</v>
      </c>
      <c r="E306" s="44"/>
      <c r="F306" s="49"/>
      <c r="G306" s="45"/>
      <c r="H306" s="45"/>
      <c r="I306" s="46"/>
      <c r="J306" s="135"/>
      <c r="K306" s="135"/>
    </row>
    <row r="307" spans="1:26" s="12" customFormat="1" ht="13.5" customHeight="1">
      <c r="A307" s="42"/>
      <c r="B307" s="44"/>
      <c r="C307" s="44"/>
      <c r="D307" s="177" t="s">
        <v>625</v>
      </c>
      <c r="E307" s="44"/>
      <c r="F307" s="48">
        <v>14.2</v>
      </c>
      <c r="G307" s="45"/>
      <c r="H307" s="45"/>
      <c r="I307" s="46"/>
      <c r="J307" s="135"/>
      <c r="K307" s="135"/>
    </row>
    <row r="308" spans="1:26" s="12" customFormat="1" ht="13.5" customHeight="1">
      <c r="A308" s="42"/>
      <c r="B308" s="44"/>
      <c r="C308" s="44"/>
      <c r="D308" s="177" t="s">
        <v>619</v>
      </c>
      <c r="E308" s="44"/>
      <c r="F308" s="48">
        <v>13.4</v>
      </c>
      <c r="G308" s="45"/>
      <c r="H308" s="45"/>
      <c r="I308" s="46"/>
      <c r="J308" s="135"/>
      <c r="K308" s="135"/>
    </row>
    <row r="309" spans="1:26" s="12" customFormat="1" ht="13.5" customHeight="1">
      <c r="A309" s="42"/>
      <c r="B309" s="44"/>
      <c r="C309" s="44"/>
      <c r="D309" s="177" t="s">
        <v>620</v>
      </c>
      <c r="E309" s="44"/>
      <c r="F309" s="48">
        <v>27.2</v>
      </c>
      <c r="G309" s="45"/>
      <c r="H309" s="45"/>
      <c r="I309" s="46"/>
      <c r="J309" s="135"/>
      <c r="K309" s="135"/>
    </row>
    <row r="310" spans="1:26" s="12" customFormat="1" ht="13.5" customHeight="1">
      <c r="A310" s="42"/>
      <c r="B310" s="44"/>
      <c r="C310" s="44"/>
      <c r="D310" s="177" t="s">
        <v>621</v>
      </c>
      <c r="E310" s="44"/>
      <c r="F310" s="48">
        <v>56</v>
      </c>
      <c r="G310" s="45"/>
      <c r="H310" s="45"/>
      <c r="I310" s="46"/>
      <c r="J310" s="135"/>
      <c r="K310" s="135"/>
    </row>
    <row r="311" spans="1:26" s="12" customFormat="1" ht="13.5" customHeight="1">
      <c r="A311" s="42"/>
      <c r="B311" s="44"/>
      <c r="C311" s="44"/>
      <c r="D311" s="177" t="s">
        <v>622</v>
      </c>
      <c r="E311" s="44"/>
      <c r="F311" s="48">
        <v>14.8</v>
      </c>
      <c r="G311" s="45"/>
      <c r="H311" s="45"/>
      <c r="I311" s="46"/>
      <c r="J311" s="135"/>
      <c r="K311" s="135"/>
    </row>
    <row r="312" spans="1:26" s="2" customFormat="1" ht="27" customHeight="1">
      <c r="A312" s="42">
        <v>60</v>
      </c>
      <c r="B312" s="43" t="s">
        <v>106</v>
      </c>
      <c r="C312" s="44">
        <v>975011531</v>
      </c>
      <c r="D312" s="44" t="s">
        <v>409</v>
      </c>
      <c r="E312" s="44" t="s">
        <v>46</v>
      </c>
      <c r="F312" s="154">
        <f>F313</f>
        <v>9.5</v>
      </c>
      <c r="G312" s="45"/>
      <c r="H312" s="45">
        <f>F312*G312</f>
        <v>0</v>
      </c>
      <c r="I312" s="46" t="s">
        <v>68</v>
      </c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s="2" customFormat="1" ht="25.5" customHeight="1">
      <c r="A313" s="42"/>
      <c r="B313" s="44"/>
      <c r="C313" s="44"/>
      <c r="D313" s="47" t="s">
        <v>410</v>
      </c>
      <c r="E313" s="44"/>
      <c r="F313" s="48">
        <f>4.5+5</f>
        <v>9.5</v>
      </c>
      <c r="G313" s="45"/>
      <c r="H313" s="45"/>
      <c r="I313" s="46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s="12" customFormat="1" ht="13.5" customHeight="1">
      <c r="A314" s="42">
        <v>61</v>
      </c>
      <c r="B314" s="43" t="s">
        <v>190</v>
      </c>
      <c r="C314" s="44">
        <v>975053141</v>
      </c>
      <c r="D314" s="44" t="s">
        <v>251</v>
      </c>
      <c r="E314" s="44" t="s">
        <v>46</v>
      </c>
      <c r="F314" s="154">
        <f>F316+F317+F318+F319+F320+F321</f>
        <v>247.40000000000003</v>
      </c>
      <c r="G314" s="45"/>
      <c r="H314" s="45">
        <f>F314*G314</f>
        <v>0</v>
      </c>
      <c r="I314" s="46" t="s">
        <v>68</v>
      </c>
      <c r="J314" s="135"/>
      <c r="K314" s="135"/>
    </row>
    <row r="315" spans="1:26" s="12" customFormat="1" ht="13.5" customHeight="1">
      <c r="A315" s="42"/>
      <c r="B315" s="44"/>
      <c r="C315" s="44"/>
      <c r="D315" s="47" t="s">
        <v>191</v>
      </c>
      <c r="E315" s="44"/>
      <c r="F315" s="49"/>
      <c r="G315" s="45"/>
      <c r="H315" s="45"/>
      <c r="I315" s="46"/>
      <c r="J315" s="135"/>
      <c r="K315" s="135"/>
    </row>
    <row r="316" spans="1:26" s="12" customFormat="1" ht="13.5" customHeight="1">
      <c r="A316" s="42"/>
      <c r="B316" s="44"/>
      <c r="C316" s="44"/>
      <c r="D316" s="177" t="s">
        <v>290</v>
      </c>
      <c r="E316" s="44"/>
      <c r="F316" s="48">
        <f>6.1+6.5+6.8*2+2*6+2.2*1+3.2*1+3*1</f>
        <v>46.600000000000009</v>
      </c>
      <c r="G316" s="45"/>
      <c r="H316" s="45"/>
      <c r="I316" s="46"/>
      <c r="J316" s="135"/>
      <c r="K316" s="135"/>
    </row>
    <row r="317" spans="1:26" s="12" customFormat="1" ht="13.5" customHeight="1">
      <c r="A317" s="42"/>
      <c r="B317" s="44"/>
      <c r="C317" s="44"/>
      <c r="D317" s="177" t="s">
        <v>291</v>
      </c>
      <c r="E317" s="44"/>
      <c r="F317" s="48">
        <f>6.2*3+5.6*2+2*2+3.2*1</f>
        <v>37</v>
      </c>
      <c r="G317" s="45"/>
      <c r="H317" s="45"/>
      <c r="I317" s="46"/>
      <c r="J317" s="135"/>
      <c r="K317" s="135"/>
    </row>
    <row r="318" spans="1:26" s="12" customFormat="1" ht="13.5" customHeight="1">
      <c r="A318" s="42"/>
      <c r="B318" s="44"/>
      <c r="C318" s="44"/>
      <c r="D318" s="177" t="s">
        <v>292</v>
      </c>
      <c r="E318" s="44"/>
      <c r="F318" s="48">
        <f>6.4*4+5.6*2+2*3</f>
        <v>42.8</v>
      </c>
      <c r="G318" s="45"/>
      <c r="H318" s="45"/>
      <c r="I318" s="46"/>
      <c r="J318" s="135"/>
      <c r="K318" s="135"/>
    </row>
    <row r="319" spans="1:26" s="12" customFormat="1" ht="13.5" customHeight="1">
      <c r="A319" s="42"/>
      <c r="B319" s="44"/>
      <c r="C319" s="44"/>
      <c r="D319" s="177" t="s">
        <v>293</v>
      </c>
      <c r="E319" s="44"/>
      <c r="F319" s="48">
        <f xml:space="preserve"> 6.4*6+6.8*2+5.8*2+2*3+2.7*1+3.7*1</f>
        <v>76.000000000000014</v>
      </c>
      <c r="G319" s="45"/>
      <c r="H319" s="45"/>
      <c r="I319" s="46"/>
      <c r="J319" s="135"/>
      <c r="K319" s="135"/>
    </row>
    <row r="320" spans="1:26" s="12" customFormat="1" ht="13.5" customHeight="1">
      <c r="A320" s="42"/>
      <c r="B320" s="44"/>
      <c r="C320" s="44"/>
      <c r="D320" s="177" t="s">
        <v>317</v>
      </c>
      <c r="E320" s="44"/>
      <c r="F320" s="48">
        <f>6.6+5.8+2*2+2.2+3.2</f>
        <v>21.799999999999997</v>
      </c>
      <c r="G320" s="45"/>
      <c r="H320" s="45"/>
      <c r="I320" s="46"/>
      <c r="J320" s="135"/>
      <c r="K320" s="135"/>
    </row>
    <row r="321" spans="1:11" s="12" customFormat="1" ht="13.5" customHeight="1">
      <c r="A321" s="42"/>
      <c r="B321" s="44"/>
      <c r="C321" s="44"/>
      <c r="D321" s="177" t="s">
        <v>417</v>
      </c>
      <c r="E321" s="44"/>
      <c r="F321" s="48">
        <f xml:space="preserve"> 5.8*4</f>
        <v>23.2</v>
      </c>
      <c r="G321" s="45"/>
      <c r="H321" s="45"/>
      <c r="I321" s="46"/>
      <c r="J321" s="135"/>
      <c r="K321" s="135"/>
    </row>
    <row r="322" spans="1:11" s="12" customFormat="1" ht="27" customHeight="1">
      <c r="A322" s="42">
        <v>62</v>
      </c>
      <c r="B322" s="43" t="s">
        <v>190</v>
      </c>
      <c r="C322" s="44">
        <v>975063161</v>
      </c>
      <c r="D322" s="44" t="s">
        <v>382</v>
      </c>
      <c r="E322" s="44" t="s">
        <v>21</v>
      </c>
      <c r="F322" s="154">
        <f>F324+F325</f>
        <v>91.12</v>
      </c>
      <c r="G322" s="45"/>
      <c r="H322" s="45">
        <f>F322*G322</f>
        <v>0</v>
      </c>
      <c r="I322" s="46" t="s">
        <v>68</v>
      </c>
      <c r="J322" s="135"/>
      <c r="K322" s="135"/>
    </row>
    <row r="323" spans="1:11" s="12" customFormat="1" ht="13.5" customHeight="1">
      <c r="A323" s="42"/>
      <c r="B323" s="44"/>
      <c r="C323" s="44"/>
      <c r="D323" s="47" t="s">
        <v>537</v>
      </c>
      <c r="E323" s="44"/>
      <c r="F323" s="49"/>
      <c r="G323" s="45"/>
      <c r="H323" s="45"/>
      <c r="I323" s="46"/>
      <c r="J323" s="135"/>
      <c r="K323" s="135"/>
    </row>
    <row r="324" spans="1:11" s="12" customFormat="1" ht="13.5" customHeight="1">
      <c r="A324" s="42"/>
      <c r="B324" s="44"/>
      <c r="C324" s="44"/>
      <c r="D324" s="177" t="s">
        <v>538</v>
      </c>
      <c r="E324" s="44"/>
      <c r="F324" s="48">
        <f>6.7*3.4*2</f>
        <v>45.56</v>
      </c>
      <c r="G324" s="45"/>
      <c r="H324" s="45"/>
      <c r="I324" s="46"/>
      <c r="J324" s="135"/>
      <c r="K324" s="135"/>
    </row>
    <row r="325" spans="1:11" s="12" customFormat="1" ht="13.5" customHeight="1">
      <c r="A325" s="42"/>
      <c r="B325" s="44"/>
      <c r="C325" s="44"/>
      <c r="D325" s="177" t="s">
        <v>539</v>
      </c>
      <c r="E325" s="44"/>
      <c r="F325" s="48">
        <f>6.7*3.4*2</f>
        <v>45.56</v>
      </c>
      <c r="G325" s="45"/>
      <c r="H325" s="45"/>
      <c r="I325" s="46"/>
      <c r="J325" s="135"/>
      <c r="K325" s="135"/>
    </row>
    <row r="326" spans="1:11" s="12" customFormat="1" ht="13.5" customHeight="1">
      <c r="A326" s="42">
        <v>63</v>
      </c>
      <c r="B326" s="43" t="s">
        <v>299</v>
      </c>
      <c r="C326" s="44">
        <v>976071111</v>
      </c>
      <c r="D326" s="44" t="s">
        <v>300</v>
      </c>
      <c r="E326" s="44" t="s">
        <v>46</v>
      </c>
      <c r="F326" s="154">
        <f>F328+F329</f>
        <v>60.8</v>
      </c>
      <c r="G326" s="45"/>
      <c r="H326" s="45">
        <f>F326*G326</f>
        <v>0</v>
      </c>
      <c r="I326" s="46" t="s">
        <v>68</v>
      </c>
      <c r="J326" s="135"/>
      <c r="K326" s="135"/>
    </row>
    <row r="327" spans="1:11" s="12" customFormat="1" ht="13.5" customHeight="1">
      <c r="A327" s="42"/>
      <c r="B327" s="44"/>
      <c r="C327" s="44"/>
      <c r="D327" s="47" t="s">
        <v>301</v>
      </c>
      <c r="E327" s="44"/>
      <c r="F327" s="49"/>
      <c r="G327" s="45"/>
      <c r="H327" s="45"/>
      <c r="I327" s="46"/>
      <c r="J327" s="135"/>
      <c r="K327" s="135"/>
    </row>
    <row r="328" spans="1:11" s="12" customFormat="1" ht="13.5" customHeight="1">
      <c r="A328" s="42"/>
      <c r="B328" s="44"/>
      <c r="C328" s="44"/>
      <c r="D328" s="177" t="s">
        <v>383</v>
      </c>
      <c r="E328" s="44"/>
      <c r="F328" s="48">
        <f>3.8*4*2</f>
        <v>30.4</v>
      </c>
      <c r="G328" s="45"/>
      <c r="H328" s="45"/>
      <c r="I328" s="46"/>
      <c r="J328" s="135"/>
      <c r="K328" s="135"/>
    </row>
    <row r="329" spans="1:11" s="12" customFormat="1" ht="13.5" customHeight="1">
      <c r="A329" s="42"/>
      <c r="B329" s="44"/>
      <c r="C329" s="44"/>
      <c r="D329" s="177" t="s">
        <v>384</v>
      </c>
      <c r="E329" s="44"/>
      <c r="F329" s="48">
        <f>3.8*4*2</f>
        <v>30.4</v>
      </c>
      <c r="G329" s="45"/>
      <c r="H329" s="45"/>
      <c r="I329" s="46"/>
      <c r="J329" s="135"/>
      <c r="K329" s="135"/>
    </row>
    <row r="330" spans="1:11" s="12" customFormat="1" ht="13.5" customHeight="1">
      <c r="A330" s="42">
        <v>64</v>
      </c>
      <c r="B330" s="43" t="s">
        <v>299</v>
      </c>
      <c r="C330" s="44">
        <v>977151118</v>
      </c>
      <c r="D330" s="44" t="s">
        <v>616</v>
      </c>
      <c r="E330" s="44" t="s">
        <v>46</v>
      </c>
      <c r="F330" s="154">
        <f>SUM(F332:F337)</f>
        <v>67.900000000000006</v>
      </c>
      <c r="G330" s="45"/>
      <c r="H330" s="45">
        <f>F330*G330</f>
        <v>0</v>
      </c>
      <c r="I330" s="46" t="s">
        <v>68</v>
      </c>
      <c r="J330" s="135"/>
      <c r="K330" s="135"/>
    </row>
    <row r="331" spans="1:11" s="12" customFormat="1" ht="13.5" customHeight="1">
      <c r="A331" s="42"/>
      <c r="B331" s="44"/>
      <c r="C331" s="44"/>
      <c r="D331" s="47" t="s">
        <v>617</v>
      </c>
      <c r="E331" s="44"/>
      <c r="F331" s="49"/>
      <c r="G331" s="45"/>
      <c r="H331" s="45"/>
      <c r="I331" s="46"/>
      <c r="J331" s="135"/>
      <c r="K331" s="135"/>
    </row>
    <row r="332" spans="1:11" s="12" customFormat="1" ht="13.5" customHeight="1">
      <c r="A332" s="42"/>
      <c r="B332" s="44"/>
      <c r="C332" s="44"/>
      <c r="D332" s="177" t="s">
        <v>618</v>
      </c>
      <c r="E332" s="44"/>
      <c r="F332" s="48">
        <f>4.6+6</f>
        <v>10.6</v>
      </c>
      <c r="G332" s="45"/>
      <c r="H332" s="45"/>
      <c r="I332" s="46"/>
      <c r="J332" s="135"/>
      <c r="K332" s="135"/>
    </row>
    <row r="333" spans="1:11" s="12" customFormat="1" ht="13.5" customHeight="1">
      <c r="A333" s="42"/>
      <c r="B333" s="44"/>
      <c r="C333" s="44"/>
      <c r="D333" s="177" t="s">
        <v>619</v>
      </c>
      <c r="E333" s="44"/>
      <c r="F333" s="48">
        <v>13.2</v>
      </c>
      <c r="G333" s="45"/>
      <c r="H333" s="45"/>
      <c r="I333" s="46"/>
      <c r="J333" s="135"/>
      <c r="K333" s="135"/>
    </row>
    <row r="334" spans="1:11" s="12" customFormat="1" ht="13.5" customHeight="1">
      <c r="A334" s="42"/>
      <c r="B334" s="44"/>
      <c r="C334" s="44"/>
      <c r="D334" s="177" t="s">
        <v>620</v>
      </c>
      <c r="E334" s="44"/>
      <c r="F334" s="48">
        <v>28.6</v>
      </c>
      <c r="G334" s="45"/>
      <c r="H334" s="45"/>
      <c r="I334" s="46"/>
      <c r="J334" s="135"/>
      <c r="K334" s="135"/>
    </row>
    <row r="335" spans="1:11" s="12" customFormat="1" ht="13.5" customHeight="1">
      <c r="A335" s="42"/>
      <c r="B335" s="44"/>
      <c r="C335" s="44"/>
      <c r="D335" s="177" t="s">
        <v>621</v>
      </c>
      <c r="E335" s="44"/>
      <c r="F335" s="48">
        <v>7.7</v>
      </c>
      <c r="G335" s="45"/>
      <c r="H335" s="45"/>
      <c r="I335" s="46"/>
      <c r="J335" s="135"/>
      <c r="K335" s="135"/>
    </row>
    <row r="336" spans="1:11" s="12" customFormat="1" ht="13.5" customHeight="1">
      <c r="A336" s="42"/>
      <c r="B336" s="44"/>
      <c r="C336" s="44"/>
      <c r="D336" s="177" t="s">
        <v>622</v>
      </c>
      <c r="E336" s="44"/>
      <c r="F336" s="48">
        <v>7.8</v>
      </c>
      <c r="G336" s="45"/>
      <c r="H336" s="45"/>
      <c r="I336" s="46"/>
      <c r="J336" s="135"/>
      <c r="K336" s="135"/>
    </row>
    <row r="337" spans="1:11" s="12" customFormat="1" ht="13.5" customHeight="1">
      <c r="A337" s="42"/>
      <c r="B337" s="44"/>
      <c r="C337" s="44"/>
      <c r="D337" s="177" t="s">
        <v>578</v>
      </c>
      <c r="E337" s="44"/>
      <c r="F337" s="48"/>
      <c r="G337" s="45"/>
      <c r="H337" s="45"/>
      <c r="I337" s="46"/>
      <c r="J337" s="135"/>
      <c r="K337" s="135"/>
    </row>
    <row r="338" spans="1:11" s="12" customFormat="1" ht="13.5" customHeight="1">
      <c r="A338" s="42">
        <v>65</v>
      </c>
      <c r="B338" s="43" t="s">
        <v>299</v>
      </c>
      <c r="C338" s="44">
        <v>977151123</v>
      </c>
      <c r="D338" s="44" t="s">
        <v>636</v>
      </c>
      <c r="E338" s="44" t="s">
        <v>46</v>
      </c>
      <c r="F338" s="154">
        <f>F340</f>
        <v>0.86</v>
      </c>
      <c r="G338" s="45"/>
      <c r="H338" s="45">
        <f>F338*G338</f>
        <v>0</v>
      </c>
      <c r="I338" s="46" t="s">
        <v>68</v>
      </c>
      <c r="J338" s="135"/>
      <c r="K338" s="135"/>
    </row>
    <row r="339" spans="1:11" s="12" customFormat="1" ht="13.5" customHeight="1">
      <c r="A339" s="42"/>
      <c r="B339" s="44"/>
      <c r="C339" s="44"/>
      <c r="D339" s="47" t="s">
        <v>635</v>
      </c>
      <c r="E339" s="44"/>
      <c r="F339" s="49"/>
      <c r="G339" s="45"/>
      <c r="H339" s="45"/>
      <c r="I339" s="46"/>
      <c r="J339" s="135"/>
      <c r="K339" s="135"/>
    </row>
    <row r="340" spans="1:11" s="12" customFormat="1" ht="13.5" customHeight="1">
      <c r="A340" s="42"/>
      <c r="B340" s="44"/>
      <c r="C340" s="44"/>
      <c r="D340" s="177" t="s">
        <v>641</v>
      </c>
      <c r="E340" s="44"/>
      <c r="F340" s="48">
        <v>0.86</v>
      </c>
      <c r="G340" s="45"/>
      <c r="H340" s="45"/>
      <c r="I340" s="46"/>
      <c r="J340" s="135"/>
      <c r="K340" s="135"/>
    </row>
    <row r="341" spans="1:11" s="12" customFormat="1" ht="13.5" customHeight="1">
      <c r="A341" s="42">
        <v>66</v>
      </c>
      <c r="B341" s="43" t="s">
        <v>299</v>
      </c>
      <c r="C341" s="44">
        <v>977151125</v>
      </c>
      <c r="D341" s="44" t="s">
        <v>565</v>
      </c>
      <c r="E341" s="44" t="s">
        <v>46</v>
      </c>
      <c r="F341" s="154">
        <f>SUM(F343:F348)</f>
        <v>2.99</v>
      </c>
      <c r="G341" s="45"/>
      <c r="H341" s="45">
        <f>F341*G341</f>
        <v>0</v>
      </c>
      <c r="I341" s="46" t="s">
        <v>68</v>
      </c>
      <c r="J341" s="135"/>
      <c r="K341" s="135"/>
    </row>
    <row r="342" spans="1:11" s="12" customFormat="1" ht="13.5" customHeight="1">
      <c r="A342" s="42"/>
      <c r="B342" s="44"/>
      <c r="C342" s="44"/>
      <c r="D342" s="47" t="s">
        <v>635</v>
      </c>
      <c r="E342" s="44"/>
      <c r="F342" s="49"/>
      <c r="G342" s="45"/>
      <c r="H342" s="45"/>
      <c r="I342" s="46"/>
      <c r="J342" s="135"/>
      <c r="K342" s="135"/>
    </row>
    <row r="343" spans="1:11" s="12" customFormat="1" ht="13.5" customHeight="1">
      <c r="A343" s="42"/>
      <c r="B343" s="44"/>
      <c r="C343" s="44"/>
      <c r="D343" s="177" t="s">
        <v>637</v>
      </c>
      <c r="E343" s="44"/>
      <c r="F343" s="48">
        <v>0.49</v>
      </c>
      <c r="G343" s="45"/>
      <c r="H343" s="45"/>
      <c r="I343" s="46"/>
      <c r="J343" s="135"/>
      <c r="K343" s="135"/>
    </row>
    <row r="344" spans="1:11" s="12" customFormat="1" ht="13.5" customHeight="1">
      <c r="A344" s="42"/>
      <c r="B344" s="44"/>
      <c r="C344" s="44"/>
      <c r="D344" s="177" t="s">
        <v>567</v>
      </c>
      <c r="E344" s="44"/>
      <c r="F344" s="48">
        <f>0.65*1+0.325*1</f>
        <v>0.97500000000000009</v>
      </c>
      <c r="G344" s="45"/>
      <c r="H344" s="45"/>
      <c r="I344" s="46"/>
      <c r="J344" s="135"/>
      <c r="K344" s="135"/>
    </row>
    <row r="345" spans="1:11" s="12" customFormat="1" ht="13.5" customHeight="1">
      <c r="A345" s="42"/>
      <c r="B345" s="44"/>
      <c r="C345" s="44"/>
      <c r="D345" s="177" t="s">
        <v>568</v>
      </c>
      <c r="E345" s="44"/>
      <c r="F345" s="48">
        <f>0.775*1</f>
        <v>0.77500000000000002</v>
      </c>
      <c r="G345" s="45"/>
      <c r="H345" s="45"/>
      <c r="I345" s="46"/>
      <c r="J345" s="135"/>
      <c r="K345" s="135"/>
    </row>
    <row r="346" spans="1:11" s="12" customFormat="1" ht="13.5" customHeight="1">
      <c r="A346" s="42"/>
      <c r="B346" s="44"/>
      <c r="C346" s="44"/>
      <c r="D346" s="177" t="s">
        <v>576</v>
      </c>
      <c r="E346" s="44"/>
      <c r="F346" s="48">
        <v>0.25</v>
      </c>
      <c r="G346" s="45"/>
      <c r="H346" s="45"/>
      <c r="I346" s="46"/>
      <c r="J346" s="135"/>
      <c r="K346" s="135"/>
    </row>
    <row r="347" spans="1:11" s="12" customFormat="1" ht="13.5" customHeight="1">
      <c r="A347" s="42"/>
      <c r="B347" s="44"/>
      <c r="C347" s="44"/>
      <c r="D347" s="177" t="s">
        <v>577</v>
      </c>
      <c r="E347" s="44"/>
      <c r="F347" s="48">
        <v>0.25</v>
      </c>
      <c r="G347" s="45"/>
      <c r="H347" s="45"/>
      <c r="I347" s="46"/>
      <c r="J347" s="135"/>
      <c r="K347" s="135"/>
    </row>
    <row r="348" spans="1:11" s="12" customFormat="1" ht="13.5" customHeight="1">
      <c r="A348" s="42"/>
      <c r="B348" s="44"/>
      <c r="C348" s="44"/>
      <c r="D348" s="177" t="s">
        <v>578</v>
      </c>
      <c r="E348" s="44"/>
      <c r="F348" s="48">
        <v>0.25</v>
      </c>
      <c r="G348" s="45"/>
      <c r="H348" s="45"/>
      <c r="I348" s="46"/>
      <c r="J348" s="135"/>
      <c r="K348" s="135"/>
    </row>
    <row r="349" spans="1:11" s="12" customFormat="1" ht="13.5" customHeight="1">
      <c r="A349" s="42">
        <v>67</v>
      </c>
      <c r="B349" s="43" t="s">
        <v>299</v>
      </c>
      <c r="C349" s="44">
        <v>977151127</v>
      </c>
      <c r="D349" s="44" t="s">
        <v>591</v>
      </c>
      <c r="E349" s="44" t="s">
        <v>46</v>
      </c>
      <c r="F349" s="154">
        <f>SUM(F351:F351)</f>
        <v>1.21</v>
      </c>
      <c r="G349" s="45"/>
      <c r="H349" s="45">
        <f>F349*G349</f>
        <v>0</v>
      </c>
      <c r="I349" s="46" t="s">
        <v>68</v>
      </c>
      <c r="J349" s="135"/>
      <c r="K349" s="135"/>
    </row>
    <row r="350" spans="1:11" s="12" customFormat="1" ht="13.5" customHeight="1">
      <c r="A350" s="42"/>
      <c r="B350" s="44"/>
      <c r="C350" s="44"/>
      <c r="D350" s="47" t="s">
        <v>635</v>
      </c>
      <c r="E350" s="44"/>
      <c r="F350" s="49"/>
      <c r="G350" s="45"/>
      <c r="H350" s="45"/>
      <c r="I350" s="46"/>
      <c r="J350" s="135"/>
      <c r="K350" s="135"/>
    </row>
    <row r="351" spans="1:11" s="12" customFormat="1" ht="13.5" customHeight="1">
      <c r="A351" s="42"/>
      <c r="B351" s="44"/>
      <c r="C351" s="44"/>
      <c r="D351" s="177" t="s">
        <v>592</v>
      </c>
      <c r="E351" s="44"/>
      <c r="F351" s="48">
        <f>0.58+0.63</f>
        <v>1.21</v>
      </c>
      <c r="G351" s="45"/>
      <c r="H351" s="45"/>
      <c r="I351" s="46"/>
      <c r="J351" s="135"/>
      <c r="K351" s="135"/>
    </row>
    <row r="352" spans="1:11" s="12" customFormat="1" ht="13.5" customHeight="1">
      <c r="A352" s="42">
        <v>68</v>
      </c>
      <c r="B352" s="43" t="s">
        <v>299</v>
      </c>
      <c r="C352" s="44">
        <v>977151128</v>
      </c>
      <c r="D352" s="44" t="s">
        <v>563</v>
      </c>
      <c r="E352" s="44" t="s">
        <v>46</v>
      </c>
      <c r="F352" s="154">
        <f>SUM(F354:F359)</f>
        <v>5.24</v>
      </c>
      <c r="G352" s="45"/>
      <c r="H352" s="45">
        <f>F352*G352</f>
        <v>0</v>
      </c>
      <c r="I352" s="46" t="s">
        <v>68</v>
      </c>
      <c r="J352" s="135"/>
      <c r="K352" s="135"/>
    </row>
    <row r="353" spans="1:11" s="12" customFormat="1" ht="13.5" customHeight="1">
      <c r="A353" s="42"/>
      <c r="B353" s="44"/>
      <c r="C353" s="44"/>
      <c r="D353" s="47" t="s">
        <v>635</v>
      </c>
      <c r="E353" s="44"/>
      <c r="F353" s="49"/>
      <c r="G353" s="45"/>
      <c r="H353" s="45"/>
      <c r="I353" s="46"/>
      <c r="J353" s="135"/>
      <c r="K353" s="135"/>
    </row>
    <row r="354" spans="1:11" s="12" customFormat="1" ht="13.5" customHeight="1">
      <c r="A354" s="42"/>
      <c r="B354" s="44"/>
      <c r="C354" s="44"/>
      <c r="D354" s="177" t="s">
        <v>564</v>
      </c>
      <c r="E354" s="44"/>
      <c r="F354" s="48">
        <f>0.8*2</f>
        <v>1.6</v>
      </c>
      <c r="G354" s="45"/>
      <c r="H354" s="45"/>
      <c r="I354" s="46"/>
      <c r="J354" s="135"/>
      <c r="K354" s="135"/>
    </row>
    <row r="355" spans="1:11" s="12" customFormat="1" ht="13.5" customHeight="1">
      <c r="A355" s="42"/>
      <c r="B355" s="44"/>
      <c r="C355" s="44"/>
      <c r="D355" s="177" t="s">
        <v>566</v>
      </c>
      <c r="E355" s="44"/>
      <c r="F355" s="48">
        <f>0.8*2+0.65</f>
        <v>2.25</v>
      </c>
      <c r="G355" s="45"/>
      <c r="H355" s="45"/>
      <c r="I355" s="46"/>
      <c r="J355" s="135"/>
      <c r="K355" s="135"/>
    </row>
    <row r="356" spans="1:11" s="12" customFormat="1" ht="13.5" customHeight="1">
      <c r="A356" s="42"/>
      <c r="B356" s="44"/>
      <c r="C356" s="44"/>
      <c r="D356" s="177" t="s">
        <v>593</v>
      </c>
      <c r="E356" s="44"/>
      <c r="F356" s="48">
        <v>0.64</v>
      </c>
      <c r="G356" s="45"/>
      <c r="H356" s="45"/>
      <c r="I356" s="46"/>
      <c r="J356" s="135"/>
      <c r="K356" s="135"/>
    </row>
    <row r="357" spans="1:11" s="12" customFormat="1" ht="13.5" customHeight="1">
      <c r="A357" s="42"/>
      <c r="B357" s="44"/>
      <c r="C357" s="44"/>
      <c r="D357" s="177" t="s">
        <v>576</v>
      </c>
      <c r="E357" s="44"/>
      <c r="F357" s="48">
        <v>0.25</v>
      </c>
      <c r="G357" s="45"/>
      <c r="H357" s="45"/>
      <c r="I357" s="46"/>
      <c r="J357" s="135"/>
      <c r="K357" s="135"/>
    </row>
    <row r="358" spans="1:11" s="12" customFormat="1" ht="13.5" customHeight="1">
      <c r="A358" s="42"/>
      <c r="B358" s="44"/>
      <c r="C358" s="44"/>
      <c r="D358" s="177" t="s">
        <v>577</v>
      </c>
      <c r="E358" s="44"/>
      <c r="F358" s="48">
        <v>0.25</v>
      </c>
      <c r="G358" s="45"/>
      <c r="H358" s="45"/>
      <c r="I358" s="46"/>
      <c r="J358" s="135"/>
      <c r="K358" s="135"/>
    </row>
    <row r="359" spans="1:11" s="12" customFormat="1" ht="13.5" customHeight="1">
      <c r="A359" s="42"/>
      <c r="B359" s="44"/>
      <c r="C359" s="44"/>
      <c r="D359" s="177" t="s">
        <v>578</v>
      </c>
      <c r="E359" s="44"/>
      <c r="F359" s="48">
        <v>0.25</v>
      </c>
      <c r="G359" s="45"/>
      <c r="H359" s="45"/>
      <c r="I359" s="46"/>
      <c r="J359" s="135"/>
      <c r="K359" s="135"/>
    </row>
    <row r="360" spans="1:11" s="12" customFormat="1" ht="13.5" customHeight="1">
      <c r="A360" s="42">
        <v>69</v>
      </c>
      <c r="B360" s="43" t="s">
        <v>299</v>
      </c>
      <c r="C360" s="44">
        <v>977151129</v>
      </c>
      <c r="D360" s="44" t="s">
        <v>569</v>
      </c>
      <c r="E360" s="44" t="s">
        <v>46</v>
      </c>
      <c r="F360" s="154">
        <f>SUM(F362:F362)</f>
        <v>0.77500000000000002</v>
      </c>
      <c r="G360" s="45"/>
      <c r="H360" s="45">
        <f>F360*G360</f>
        <v>0</v>
      </c>
      <c r="I360" s="46" t="s">
        <v>68</v>
      </c>
      <c r="J360" s="135"/>
      <c r="K360" s="135"/>
    </row>
    <row r="361" spans="1:11" s="12" customFormat="1" ht="13.5" customHeight="1">
      <c r="A361" s="42"/>
      <c r="B361" s="44"/>
      <c r="C361" s="44"/>
      <c r="D361" s="47" t="s">
        <v>635</v>
      </c>
      <c r="E361" s="44"/>
      <c r="F361" s="49"/>
      <c r="G361" s="45"/>
      <c r="H361" s="45"/>
      <c r="I361" s="46"/>
      <c r="J361" s="135"/>
      <c r="K361" s="135"/>
    </row>
    <row r="362" spans="1:11" s="12" customFormat="1" ht="13.5" customHeight="1">
      <c r="A362" s="42"/>
      <c r="B362" s="44"/>
      <c r="C362" s="44"/>
      <c r="D362" s="177" t="s">
        <v>568</v>
      </c>
      <c r="E362" s="44"/>
      <c r="F362" s="48">
        <f>0.775*1</f>
        <v>0.77500000000000002</v>
      </c>
      <c r="G362" s="45"/>
      <c r="H362" s="45"/>
      <c r="I362" s="46"/>
      <c r="J362" s="135"/>
      <c r="K362" s="135"/>
    </row>
    <row r="363" spans="1:11" s="12" customFormat="1" ht="13.5" customHeight="1">
      <c r="A363" s="42">
        <v>70</v>
      </c>
      <c r="B363" s="43" t="s">
        <v>601</v>
      </c>
      <c r="C363" s="44">
        <v>977331113</v>
      </c>
      <c r="D363" s="44" t="s">
        <v>602</v>
      </c>
      <c r="E363" s="44" t="s">
        <v>46</v>
      </c>
      <c r="F363" s="154">
        <f>SUM(F365:F368)</f>
        <v>637.69999999999993</v>
      </c>
      <c r="G363" s="45"/>
      <c r="H363" s="45">
        <f>F363*G363</f>
        <v>0</v>
      </c>
      <c r="I363" s="46" t="s">
        <v>68</v>
      </c>
      <c r="J363" s="135"/>
      <c r="K363" s="135"/>
    </row>
    <row r="364" spans="1:11" s="12" customFormat="1" ht="13.5" customHeight="1">
      <c r="A364" s="42"/>
      <c r="B364" s="44"/>
      <c r="C364" s="44"/>
      <c r="D364" s="47" t="s">
        <v>603</v>
      </c>
      <c r="E364" s="44"/>
      <c r="F364" s="49"/>
      <c r="G364" s="45"/>
      <c r="H364" s="45"/>
      <c r="I364" s="46"/>
      <c r="J364" s="135"/>
      <c r="K364" s="135"/>
    </row>
    <row r="365" spans="1:11" s="12" customFormat="1" ht="13.5" customHeight="1">
      <c r="A365" s="42"/>
      <c r="B365" s="44"/>
      <c r="C365" s="44"/>
      <c r="D365" s="177" t="s">
        <v>611</v>
      </c>
      <c r="E365" s="44"/>
      <c r="F365" s="48">
        <f>13*27.9</f>
        <v>362.7</v>
      </c>
      <c r="G365" s="45"/>
      <c r="H365" s="45"/>
      <c r="I365" s="46"/>
      <c r="J365" s="135"/>
      <c r="K365" s="135"/>
    </row>
    <row r="366" spans="1:11" s="12" customFormat="1" ht="13.5" customHeight="1">
      <c r="A366" s="42"/>
      <c r="B366" s="44"/>
      <c r="C366" s="44"/>
      <c r="D366" s="177" t="s">
        <v>612</v>
      </c>
      <c r="E366" s="44"/>
      <c r="F366" s="48">
        <f>1*14</f>
        <v>14</v>
      </c>
      <c r="G366" s="45"/>
      <c r="H366" s="45"/>
      <c r="I366" s="46"/>
      <c r="J366" s="135"/>
      <c r="K366" s="135"/>
    </row>
    <row r="367" spans="1:11" s="12" customFormat="1" ht="13.5" customHeight="1">
      <c r="A367" s="42"/>
      <c r="B367" s="44"/>
      <c r="C367" s="44"/>
      <c r="D367" s="177" t="s">
        <v>613</v>
      </c>
      <c r="E367" s="44"/>
      <c r="F367" s="48">
        <f>23*6.2</f>
        <v>142.6</v>
      </c>
      <c r="G367" s="45"/>
      <c r="H367" s="45"/>
      <c r="I367" s="46"/>
      <c r="J367" s="135"/>
      <c r="K367" s="135"/>
    </row>
    <row r="368" spans="1:11" s="12" customFormat="1" ht="13.5" customHeight="1">
      <c r="A368" s="42"/>
      <c r="B368" s="44"/>
      <c r="C368" s="44"/>
      <c r="D368" s="177" t="s">
        <v>614</v>
      </c>
      <c r="E368" s="44"/>
      <c r="F368" s="48">
        <f>16*7.4</f>
        <v>118.4</v>
      </c>
      <c r="G368" s="45"/>
      <c r="H368" s="45"/>
      <c r="I368" s="46"/>
      <c r="J368" s="135"/>
      <c r="K368" s="135"/>
    </row>
    <row r="369" spans="1:13" s="152" customFormat="1" ht="13.5" customHeight="1">
      <c r="A369" s="42">
        <v>71</v>
      </c>
      <c r="B369" s="43" t="s">
        <v>82</v>
      </c>
      <c r="C369" s="44">
        <v>978013191</v>
      </c>
      <c r="D369" s="44" t="s">
        <v>540</v>
      </c>
      <c r="E369" s="44" t="s">
        <v>21</v>
      </c>
      <c r="F369" s="154">
        <f>F371+F372+F373+F374+F375+F377+F378+F379+F380</f>
        <v>1272.2160000000001</v>
      </c>
      <c r="G369" s="45"/>
      <c r="H369" s="45">
        <f>F369*G369</f>
        <v>0</v>
      </c>
      <c r="I369" s="46" t="s">
        <v>68</v>
      </c>
    </row>
    <row r="370" spans="1:13" s="2" customFormat="1" ht="13.5" customHeight="1">
      <c r="A370" s="5"/>
      <c r="B370" s="6"/>
      <c r="C370" s="6"/>
      <c r="D370" s="146" t="s">
        <v>555</v>
      </c>
      <c r="E370" s="6"/>
      <c r="F370" s="48"/>
      <c r="G370" s="8"/>
      <c r="H370" s="8"/>
      <c r="I370" s="49"/>
      <c r="J370" s="12"/>
      <c r="K370" s="70"/>
      <c r="L370" s="73"/>
      <c r="M370" s="12"/>
    </row>
    <row r="371" spans="1:13" s="2" customFormat="1" ht="13.5" customHeight="1">
      <c r="A371" s="5"/>
      <c r="B371" s="6"/>
      <c r="C371" s="6"/>
      <c r="D371" s="146" t="s">
        <v>556</v>
      </c>
      <c r="E371" s="6"/>
      <c r="F371" s="48">
        <f xml:space="preserve"> (0.95*2+0.73*2)*3.5</f>
        <v>11.76</v>
      </c>
      <c r="G371" s="8"/>
      <c r="H371" s="8"/>
      <c r="I371" s="49"/>
      <c r="J371" s="12"/>
      <c r="K371" s="70"/>
      <c r="L371" s="73"/>
      <c r="M371" s="12"/>
    </row>
    <row r="372" spans="1:13" s="2" customFormat="1" ht="13.5" customHeight="1">
      <c r="A372" s="5"/>
      <c r="B372" s="6"/>
      <c r="C372" s="6"/>
      <c r="D372" s="146" t="s">
        <v>557</v>
      </c>
      <c r="E372" s="6"/>
      <c r="F372" s="48">
        <f xml:space="preserve"> (0.95*2+0.73*2)*3.6</f>
        <v>12.096</v>
      </c>
      <c r="G372" s="8"/>
      <c r="H372" s="8"/>
      <c r="I372" s="49"/>
      <c r="J372" s="12"/>
      <c r="K372" s="70"/>
      <c r="L372" s="73"/>
      <c r="M372" s="12"/>
    </row>
    <row r="373" spans="1:13" s="2" customFormat="1" ht="13.5" customHeight="1">
      <c r="A373" s="5"/>
      <c r="B373" s="6"/>
      <c r="C373" s="6"/>
      <c r="D373" s="146" t="s">
        <v>585</v>
      </c>
      <c r="E373" s="6"/>
      <c r="F373" s="48">
        <f xml:space="preserve"> (0.95*2+0.73*2)*3.6</f>
        <v>12.096</v>
      </c>
      <c r="G373" s="8"/>
      <c r="H373" s="8"/>
      <c r="I373" s="49"/>
      <c r="J373" s="12"/>
      <c r="K373" s="70"/>
      <c r="L373" s="73"/>
      <c r="M373" s="12"/>
    </row>
    <row r="374" spans="1:13" s="2" customFormat="1" ht="13.5" customHeight="1">
      <c r="A374" s="5"/>
      <c r="B374" s="6"/>
      <c r="C374" s="6"/>
      <c r="D374" s="146" t="s">
        <v>586</v>
      </c>
      <c r="E374" s="6"/>
      <c r="F374" s="48">
        <f xml:space="preserve"> (0.95*2+0.73*2)*3.6</f>
        <v>12.096</v>
      </c>
      <c r="G374" s="8"/>
      <c r="H374" s="8"/>
      <c r="I374" s="49"/>
      <c r="J374" s="12"/>
      <c r="K374" s="70"/>
      <c r="L374" s="73"/>
      <c r="M374" s="12"/>
    </row>
    <row r="375" spans="1:13" s="2" customFormat="1" ht="13.5" customHeight="1">
      <c r="A375" s="5"/>
      <c r="B375" s="6"/>
      <c r="C375" s="6"/>
      <c r="D375" s="146" t="s">
        <v>595</v>
      </c>
      <c r="E375" s="6"/>
      <c r="F375" s="48">
        <f>(0.95*2+0.73*2)*3.5</f>
        <v>11.76</v>
      </c>
      <c r="G375" s="8"/>
      <c r="H375" s="8"/>
      <c r="I375" s="49"/>
      <c r="J375" s="12"/>
      <c r="K375" s="70"/>
      <c r="L375" s="73"/>
      <c r="M375" s="12"/>
    </row>
    <row r="376" spans="1:13" s="2" customFormat="1" ht="13.5" customHeight="1">
      <c r="A376" s="5"/>
      <c r="B376" s="6"/>
      <c r="C376" s="6"/>
      <c r="D376" s="146" t="s">
        <v>596</v>
      </c>
      <c r="E376" s="6"/>
      <c r="F376" s="48"/>
      <c r="G376" s="8"/>
      <c r="H376" s="8"/>
      <c r="I376" s="49"/>
      <c r="J376" s="12"/>
      <c r="K376" s="70"/>
      <c r="L376" s="73"/>
      <c r="M376" s="12"/>
    </row>
    <row r="377" spans="1:13" s="2" customFormat="1" ht="13.5" customHeight="1">
      <c r="A377" s="5"/>
      <c r="B377" s="6"/>
      <c r="C377" s="6"/>
      <c r="D377" s="146" t="s">
        <v>597</v>
      </c>
      <c r="E377" s="6"/>
      <c r="F377" s="48">
        <f>(1390.22-112.54)*0.2</f>
        <v>255.53600000000003</v>
      </c>
      <c r="G377" s="8"/>
      <c r="H377" s="8"/>
      <c r="I377" s="49"/>
      <c r="J377" s="12"/>
      <c r="K377" s="70"/>
      <c r="L377" s="73"/>
      <c r="M377" s="12"/>
    </row>
    <row r="378" spans="1:13" s="2" customFormat="1" ht="13.5" customHeight="1">
      <c r="A378" s="5"/>
      <c r="B378" s="6"/>
      <c r="C378" s="6"/>
      <c r="D378" s="146" t="s">
        <v>598</v>
      </c>
      <c r="E378" s="6"/>
      <c r="F378" s="48">
        <f>(1690-121.86)*0.2</f>
        <v>313.62800000000004</v>
      </c>
      <c r="G378" s="8"/>
      <c r="H378" s="8"/>
      <c r="I378" s="49"/>
      <c r="J378" s="12"/>
      <c r="K378" s="70"/>
      <c r="L378" s="73"/>
      <c r="M378" s="12"/>
    </row>
    <row r="379" spans="1:13" s="2" customFormat="1" ht="13.5" customHeight="1">
      <c r="A379" s="5"/>
      <c r="B379" s="6"/>
      <c r="C379" s="6"/>
      <c r="D379" s="146" t="s">
        <v>599</v>
      </c>
      <c r="E379" s="6"/>
      <c r="F379" s="48">
        <f>(1729.33-117.8)*0.2</f>
        <v>322.30600000000004</v>
      </c>
      <c r="G379" s="8"/>
      <c r="H379" s="8"/>
      <c r="I379" s="49"/>
      <c r="J379" s="12"/>
      <c r="K379" s="70"/>
      <c r="L379" s="73"/>
      <c r="M379" s="12"/>
    </row>
    <row r="380" spans="1:13" s="2" customFormat="1" ht="13.5" customHeight="1">
      <c r="A380" s="5"/>
      <c r="B380" s="6"/>
      <c r="C380" s="6"/>
      <c r="D380" s="146" t="s">
        <v>600</v>
      </c>
      <c r="E380" s="6"/>
      <c r="F380" s="48">
        <f>(1751.88-147.19)*0.2</f>
        <v>320.93800000000005</v>
      </c>
      <c r="G380" s="8"/>
      <c r="H380" s="8"/>
      <c r="I380" s="49"/>
      <c r="J380" s="12"/>
      <c r="K380" s="70"/>
      <c r="L380" s="73"/>
      <c r="M380" s="12"/>
    </row>
    <row r="381" spans="1:13" s="2" customFormat="1" ht="13.5" customHeight="1">
      <c r="A381" s="5"/>
      <c r="B381" s="6"/>
      <c r="C381" s="6"/>
      <c r="D381" s="146" t="s">
        <v>387</v>
      </c>
      <c r="E381" s="6"/>
      <c r="F381" s="48"/>
      <c r="G381" s="8"/>
      <c r="H381" s="8"/>
      <c r="I381" s="49"/>
      <c r="J381" s="12"/>
      <c r="K381" s="70"/>
      <c r="L381" s="73"/>
      <c r="M381" s="12"/>
    </row>
    <row r="382" spans="1:13" s="152" customFormat="1" ht="26.25" customHeight="1">
      <c r="A382" s="42">
        <v>72</v>
      </c>
      <c r="B382" s="43" t="s">
        <v>82</v>
      </c>
      <c r="C382" s="44">
        <v>978019391</v>
      </c>
      <c r="D382" s="44" t="s">
        <v>386</v>
      </c>
      <c r="E382" s="44" t="s">
        <v>21</v>
      </c>
      <c r="F382" s="154">
        <f>F385</f>
        <v>5328.6</v>
      </c>
      <c r="G382" s="45"/>
      <c r="H382" s="45">
        <f>F382*G382</f>
        <v>0</v>
      </c>
      <c r="I382" s="46" t="s">
        <v>68</v>
      </c>
    </row>
    <row r="383" spans="1:13" s="2" customFormat="1" ht="13.5" customHeight="1">
      <c r="A383" s="5"/>
      <c r="B383" s="6"/>
      <c r="C383" s="6"/>
      <c r="D383" s="146" t="s">
        <v>588</v>
      </c>
      <c r="E383" s="6"/>
      <c r="F383" s="48"/>
      <c r="G383" s="8"/>
      <c r="H383" s="8"/>
      <c r="I383" s="49"/>
      <c r="J383" s="12"/>
      <c r="K383" s="70"/>
      <c r="L383" s="73"/>
      <c r="M383" s="12"/>
    </row>
    <row r="384" spans="1:13" s="2" customFormat="1" ht="13.5" customHeight="1">
      <c r="A384" s="5"/>
      <c r="B384" s="6"/>
      <c r="C384" s="6"/>
      <c r="D384" s="146" t="s">
        <v>387</v>
      </c>
      <c r="E384" s="6"/>
      <c r="F384" s="48"/>
      <c r="G384" s="8"/>
      <c r="H384" s="8"/>
      <c r="I384" s="49"/>
      <c r="J384" s="12"/>
      <c r="K384" s="70"/>
      <c r="L384" s="73"/>
      <c r="M384" s="12"/>
    </row>
    <row r="385" spans="1:26" s="2" customFormat="1" ht="13.5" customHeight="1">
      <c r="A385" s="5"/>
      <c r="B385" s="6"/>
      <c r="C385" s="6"/>
      <c r="D385" s="146" t="s">
        <v>587</v>
      </c>
      <c r="E385" s="6"/>
      <c r="F385" s="48">
        <f>2299.9+1543.7+445.9+459.6+264.2+315.3</f>
        <v>5328.6</v>
      </c>
      <c r="G385" s="8"/>
      <c r="H385" s="8"/>
      <c r="I385" s="49"/>
      <c r="J385" s="12"/>
      <c r="K385" s="70"/>
      <c r="L385" s="73"/>
      <c r="M385" s="12"/>
    </row>
    <row r="386" spans="1:26" s="152" customFormat="1" ht="13.5" customHeight="1">
      <c r="A386" s="42">
        <v>73</v>
      </c>
      <c r="B386" s="43" t="s">
        <v>106</v>
      </c>
      <c r="C386" s="44">
        <v>978059541</v>
      </c>
      <c r="D386" s="44" t="s">
        <v>221</v>
      </c>
      <c r="E386" s="44" t="s">
        <v>21</v>
      </c>
      <c r="F386" s="154">
        <f>F388+F389+F390+F391+F392</f>
        <v>240.89999999999998</v>
      </c>
      <c r="G386" s="45"/>
      <c r="H386" s="45">
        <f>F386*G386</f>
        <v>0</v>
      </c>
      <c r="I386" s="46" t="s">
        <v>68</v>
      </c>
    </row>
    <row r="387" spans="1:26" s="2" customFormat="1" ht="13.5" customHeight="1">
      <c r="A387" s="171"/>
      <c r="B387" s="189"/>
      <c r="C387" s="172"/>
      <c r="D387" s="177" t="s">
        <v>222</v>
      </c>
      <c r="E387" s="172"/>
      <c r="F387" s="173"/>
      <c r="G387" s="174"/>
      <c r="H387" s="174"/>
      <c r="I387" s="190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s="2" customFormat="1" ht="13.5" customHeight="1">
      <c r="A388" s="171"/>
      <c r="B388" s="189"/>
      <c r="C388" s="172"/>
      <c r="D388" s="177" t="s">
        <v>223</v>
      </c>
      <c r="E388" s="172"/>
      <c r="F388" s="48">
        <f>2.5*4+(3.13*2+5.52)*2</f>
        <v>33.56</v>
      </c>
      <c r="G388" s="174"/>
      <c r="H388" s="174"/>
      <c r="I388" s="190"/>
      <c r="J388" s="138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s="2" customFormat="1" ht="13.5" customHeight="1">
      <c r="A389" s="171"/>
      <c r="B389" s="189"/>
      <c r="C389" s="172"/>
      <c r="D389" s="177" t="s">
        <v>250</v>
      </c>
      <c r="E389" s="172"/>
      <c r="F389" s="48">
        <f xml:space="preserve"> 2.5*4+(3.14*2+5.52+5.44*2+5.57)*2</f>
        <v>66.5</v>
      </c>
      <c r="G389" s="174"/>
      <c r="H389" s="174"/>
      <c r="I389" s="190"/>
      <c r="J389" s="138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s="2" customFormat="1" ht="13.5" customHeight="1">
      <c r="A390" s="171"/>
      <c r="B390" s="189"/>
      <c r="C390" s="172"/>
      <c r="D390" s="177" t="s">
        <v>272</v>
      </c>
      <c r="E390" s="172"/>
      <c r="F390" s="48">
        <f>(5.57*2+5.4*2+3.3*2)*2</f>
        <v>57.08</v>
      </c>
      <c r="G390" s="174"/>
      <c r="H390" s="174"/>
      <c r="I390" s="190"/>
      <c r="J390" s="138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s="2" customFormat="1" ht="13.5" customHeight="1">
      <c r="A391" s="171"/>
      <c r="B391" s="189"/>
      <c r="C391" s="172"/>
      <c r="D391" s="177" t="s">
        <v>287</v>
      </c>
      <c r="E391" s="172"/>
      <c r="F391" s="48">
        <f>(5.74*2+5.4*2+3.4*2)*2</f>
        <v>58.160000000000004</v>
      </c>
      <c r="G391" s="174"/>
      <c r="H391" s="174"/>
      <c r="I391" s="190"/>
      <c r="J391" s="138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s="2" customFormat="1" ht="13.5" customHeight="1">
      <c r="A392" s="171"/>
      <c r="B392" s="189"/>
      <c r="C392" s="172"/>
      <c r="D392" s="177" t="s">
        <v>318</v>
      </c>
      <c r="E392" s="172"/>
      <c r="F392" s="48">
        <f>(5.8+3.5*2)*2</f>
        <v>25.6</v>
      </c>
      <c r="G392" s="174"/>
      <c r="H392" s="174"/>
      <c r="I392" s="190"/>
      <c r="J392" s="138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s="12" customFormat="1" ht="27" customHeight="1">
      <c r="A393" s="42">
        <v>74</v>
      </c>
      <c r="B393" s="43" t="s">
        <v>106</v>
      </c>
      <c r="C393" s="44" t="s">
        <v>177</v>
      </c>
      <c r="D393" s="44" t="s">
        <v>178</v>
      </c>
      <c r="E393" s="44" t="s">
        <v>151</v>
      </c>
      <c r="F393" s="154">
        <v>1</v>
      </c>
      <c r="G393" s="45"/>
      <c r="H393" s="45">
        <f>F393*G393</f>
        <v>0</v>
      </c>
      <c r="I393" s="46" t="s">
        <v>103</v>
      </c>
      <c r="K393" s="135"/>
    </row>
    <row r="394" spans="1:26" s="12" customFormat="1" ht="13.5" customHeight="1">
      <c r="A394" s="42">
        <v>75</v>
      </c>
      <c r="B394" s="43" t="s">
        <v>106</v>
      </c>
      <c r="C394" s="44" t="s">
        <v>177</v>
      </c>
      <c r="D394" s="44" t="s">
        <v>192</v>
      </c>
      <c r="E394" s="44" t="s">
        <v>151</v>
      </c>
      <c r="F394" s="154">
        <f>F395</f>
        <v>1</v>
      </c>
      <c r="G394" s="45"/>
      <c r="H394" s="45">
        <f>F394*G394</f>
        <v>0</v>
      </c>
      <c r="I394" s="46" t="s">
        <v>103</v>
      </c>
      <c r="J394" s="135"/>
      <c r="K394" s="135"/>
    </row>
    <row r="395" spans="1:26" s="12" customFormat="1" ht="54" customHeight="1">
      <c r="A395" s="51"/>
      <c r="B395" s="76"/>
      <c r="C395" s="52"/>
      <c r="D395" s="47" t="s">
        <v>193</v>
      </c>
      <c r="E395" s="47"/>
      <c r="F395" s="48">
        <v>1</v>
      </c>
      <c r="G395" s="69"/>
      <c r="H395" s="45"/>
      <c r="I395" s="49"/>
      <c r="K395" s="135"/>
    </row>
    <row r="396" spans="1:26" s="12" customFormat="1" ht="27" customHeight="1">
      <c r="A396" s="51"/>
      <c r="B396" s="76"/>
      <c r="C396" s="52"/>
      <c r="D396" s="47" t="s">
        <v>194</v>
      </c>
      <c r="E396" s="47"/>
      <c r="F396" s="48"/>
      <c r="G396" s="69"/>
      <c r="H396" s="45"/>
      <c r="I396" s="49"/>
      <c r="J396" s="135"/>
      <c r="K396" s="135"/>
    </row>
    <row r="397" spans="1:26" s="165" customFormat="1" ht="13.5" customHeight="1">
      <c r="A397" s="42">
        <v>76</v>
      </c>
      <c r="B397" s="43">
        <v>931</v>
      </c>
      <c r="C397" s="44" t="s">
        <v>177</v>
      </c>
      <c r="D397" s="44" t="s">
        <v>580</v>
      </c>
      <c r="E397" s="44" t="s">
        <v>141</v>
      </c>
      <c r="F397" s="154">
        <f>F398+F399</f>
        <v>4</v>
      </c>
      <c r="G397" s="45"/>
      <c r="H397" s="45">
        <f>F397*G397</f>
        <v>0</v>
      </c>
      <c r="I397" s="46" t="s">
        <v>103</v>
      </c>
    </row>
    <row r="398" spans="1:26" s="165" customFormat="1" ht="13.5" customHeight="1">
      <c r="A398" s="182"/>
      <c r="B398" s="183"/>
      <c r="C398" s="184"/>
      <c r="D398" s="185" t="s">
        <v>590</v>
      </c>
      <c r="E398" s="184"/>
      <c r="F398" s="186">
        <v>2</v>
      </c>
      <c r="G398" s="187"/>
      <c r="H398" s="187"/>
      <c r="I398" s="188"/>
    </row>
    <row r="399" spans="1:26" s="165" customFormat="1" ht="13.5" customHeight="1">
      <c r="A399" s="182"/>
      <c r="B399" s="183"/>
      <c r="C399" s="184"/>
      <c r="D399" s="185" t="s">
        <v>589</v>
      </c>
      <c r="E399" s="184"/>
      <c r="F399" s="186">
        <v>2</v>
      </c>
      <c r="G399" s="187"/>
      <c r="H399" s="187"/>
      <c r="I399" s="188"/>
    </row>
    <row r="400" spans="1:26" s="2" customFormat="1" ht="37.5" customHeight="1">
      <c r="A400" s="51"/>
      <c r="B400" s="76"/>
      <c r="C400" s="52"/>
      <c r="D400" s="47" t="s">
        <v>84</v>
      </c>
      <c r="E400" s="47"/>
      <c r="F400" s="156"/>
      <c r="G400" s="69"/>
      <c r="H400" s="45"/>
      <c r="I400" s="49"/>
      <c r="J400" s="160"/>
      <c r="L400" s="124"/>
      <c r="M400" s="124"/>
      <c r="N400" s="124"/>
    </row>
    <row r="401" spans="1:26" s="2" customFormat="1" ht="13.5" customHeight="1">
      <c r="A401" s="42">
        <v>77</v>
      </c>
      <c r="B401" s="43" t="s">
        <v>82</v>
      </c>
      <c r="C401" s="44" t="s">
        <v>164</v>
      </c>
      <c r="D401" s="44" t="s">
        <v>166</v>
      </c>
      <c r="E401" s="44" t="s">
        <v>27</v>
      </c>
      <c r="F401" s="154">
        <f>F409+F410+F411</f>
        <v>38.24</v>
      </c>
      <c r="G401" s="72">
        <f>SUM(H403:H408)/F401</f>
        <v>0</v>
      </c>
      <c r="H401" s="45">
        <f>F401*G401</f>
        <v>0</v>
      </c>
      <c r="I401" s="46" t="s">
        <v>103</v>
      </c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s="2" customFormat="1" ht="48" customHeight="1">
      <c r="A402" s="51"/>
      <c r="B402" s="76"/>
      <c r="C402" s="52"/>
      <c r="D402" s="47" t="s">
        <v>165</v>
      </c>
      <c r="E402" s="47"/>
      <c r="F402" s="48"/>
      <c r="G402" s="69"/>
      <c r="H402" s="45"/>
      <c r="I402" s="49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s="2" customFormat="1" ht="13.5" customHeight="1">
      <c r="A403" s="145" t="s">
        <v>626</v>
      </c>
      <c r="B403" s="44"/>
      <c r="C403" s="44"/>
      <c r="D403" s="47" t="s">
        <v>167</v>
      </c>
      <c r="E403" s="146" t="s">
        <v>27</v>
      </c>
      <c r="F403" s="48">
        <f>F401</f>
        <v>38.24</v>
      </c>
      <c r="G403" s="74"/>
      <c r="H403" s="48">
        <f t="shared" ref="H403:H408" si="1">F403*G403</f>
        <v>0</v>
      </c>
      <c r="I403" s="49"/>
      <c r="J403" s="63"/>
      <c r="K403" s="166"/>
      <c r="L403" s="63"/>
      <c r="M403" s="50"/>
    </row>
    <row r="404" spans="1:26" s="2" customFormat="1" ht="13.5" customHeight="1">
      <c r="A404" s="145" t="s">
        <v>627</v>
      </c>
      <c r="B404" s="44"/>
      <c r="C404" s="44"/>
      <c r="D404" s="47" t="s">
        <v>172</v>
      </c>
      <c r="E404" s="146" t="s">
        <v>27</v>
      </c>
      <c r="F404" s="48">
        <f>F403</f>
        <v>38.24</v>
      </c>
      <c r="G404" s="74"/>
      <c r="H404" s="48">
        <f t="shared" ref="H404" si="2">F404*G404</f>
        <v>0</v>
      </c>
      <c r="I404" s="49"/>
      <c r="J404" s="63"/>
      <c r="K404" s="67"/>
      <c r="L404" s="50"/>
      <c r="M404" s="50"/>
    </row>
    <row r="405" spans="1:26" s="2" customFormat="1" ht="13.5" customHeight="1">
      <c r="A405" s="145" t="s">
        <v>628</v>
      </c>
      <c r="B405" s="44"/>
      <c r="C405" s="44"/>
      <c r="D405" s="47" t="s">
        <v>168</v>
      </c>
      <c r="E405" s="146" t="s">
        <v>27</v>
      </c>
      <c r="F405" s="48">
        <f>F403</f>
        <v>38.24</v>
      </c>
      <c r="G405" s="74"/>
      <c r="H405" s="48">
        <f t="shared" si="1"/>
        <v>0</v>
      </c>
      <c r="I405" s="49"/>
      <c r="J405" s="63"/>
      <c r="K405" s="67"/>
      <c r="L405" s="50"/>
      <c r="M405" s="50"/>
    </row>
    <row r="406" spans="1:26" s="2" customFormat="1" ht="13.5" customHeight="1">
      <c r="A406" s="145" t="s">
        <v>629</v>
      </c>
      <c r="B406" s="44"/>
      <c r="C406" s="44"/>
      <c r="D406" s="47" t="s">
        <v>169</v>
      </c>
      <c r="E406" s="146" t="s">
        <v>27</v>
      </c>
      <c r="F406" s="48">
        <f>F405</f>
        <v>38.24</v>
      </c>
      <c r="G406" s="74"/>
      <c r="H406" s="48">
        <f t="shared" si="1"/>
        <v>0</v>
      </c>
      <c r="I406" s="49"/>
      <c r="J406" s="63"/>
      <c r="K406" s="67"/>
      <c r="L406" s="50"/>
      <c r="M406" s="50"/>
    </row>
    <row r="407" spans="1:26" s="2" customFormat="1" ht="13.5" customHeight="1">
      <c r="A407" s="145" t="s">
        <v>644</v>
      </c>
      <c r="B407" s="44"/>
      <c r="C407" s="44"/>
      <c r="D407" s="47" t="s">
        <v>171</v>
      </c>
      <c r="E407" s="146" t="s">
        <v>27</v>
      </c>
      <c r="F407" s="48">
        <f>F406</f>
        <v>38.24</v>
      </c>
      <c r="G407" s="74"/>
      <c r="H407" s="48">
        <f t="shared" si="1"/>
        <v>0</v>
      </c>
      <c r="I407" s="49"/>
      <c r="J407" s="63"/>
      <c r="K407" s="67"/>
      <c r="L407" s="50"/>
      <c r="M407" s="50"/>
    </row>
    <row r="408" spans="1:26" s="2" customFormat="1" ht="13.5" customHeight="1">
      <c r="A408" s="145" t="s">
        <v>645</v>
      </c>
      <c r="B408" s="44"/>
      <c r="C408" s="44"/>
      <c r="D408" s="47" t="s">
        <v>170</v>
      </c>
      <c r="E408" s="146" t="s">
        <v>27</v>
      </c>
      <c r="F408" s="48">
        <f>F407</f>
        <v>38.24</v>
      </c>
      <c r="G408" s="74"/>
      <c r="H408" s="48">
        <f t="shared" si="1"/>
        <v>0</v>
      </c>
      <c r="I408" s="49"/>
      <c r="J408" s="63"/>
      <c r="K408" s="67"/>
      <c r="L408" s="50"/>
      <c r="M408" s="50"/>
    </row>
    <row r="409" spans="1:26" s="2" customFormat="1" ht="13.5" customHeight="1">
      <c r="A409" s="42"/>
      <c r="B409" s="43"/>
      <c r="C409" s="44"/>
      <c r="D409" s="47" t="s">
        <v>398</v>
      </c>
      <c r="E409" s="44"/>
      <c r="F409" s="48">
        <f>29.91-7.72</f>
        <v>22.19</v>
      </c>
      <c r="G409" s="45"/>
      <c r="H409" s="45"/>
      <c r="I409" s="46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s="2" customFormat="1" ht="13.5" customHeight="1">
      <c r="A410" s="42"/>
      <c r="B410" s="43"/>
      <c r="C410" s="44"/>
      <c r="D410" s="47" t="s">
        <v>401</v>
      </c>
      <c r="E410" s="44"/>
      <c r="F410" s="48">
        <v>2.75</v>
      </c>
      <c r="G410" s="45"/>
      <c r="H410" s="45"/>
      <c r="I410" s="46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s="2" customFormat="1" ht="13.5" customHeight="1">
      <c r="A411" s="42"/>
      <c r="B411" s="43"/>
      <c r="C411" s="44"/>
      <c r="D411" s="47" t="s">
        <v>407</v>
      </c>
      <c r="E411" s="44"/>
      <c r="F411" s="48">
        <v>13.3</v>
      </c>
      <c r="G411" s="45"/>
      <c r="H411" s="45"/>
      <c r="I411" s="46"/>
      <c r="J411" s="12"/>
      <c r="K411" s="153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s="2" customFormat="1" ht="27" customHeight="1">
      <c r="A412" s="77">
        <v>78</v>
      </c>
      <c r="B412" s="113" t="s">
        <v>82</v>
      </c>
      <c r="C412" s="78" t="s">
        <v>83</v>
      </c>
      <c r="D412" s="78" t="s">
        <v>381</v>
      </c>
      <c r="E412" s="78" t="s">
        <v>34</v>
      </c>
      <c r="F412" s="154">
        <f>F413</f>
        <v>3065.58</v>
      </c>
      <c r="G412" s="72">
        <f>SUM(H414:H417)/F412</f>
        <v>0</v>
      </c>
      <c r="H412" s="81">
        <f t="shared" ref="H412" si="3">F412*G412</f>
        <v>0</v>
      </c>
      <c r="I412" s="46" t="s">
        <v>103</v>
      </c>
      <c r="J412" s="9"/>
    </row>
    <row r="413" spans="1:26" s="2" customFormat="1" ht="40.5" customHeight="1">
      <c r="A413" s="83"/>
      <c r="B413" s="122"/>
      <c r="C413" s="84"/>
      <c r="D413" s="79" t="s">
        <v>84</v>
      </c>
      <c r="E413" s="79"/>
      <c r="F413" s="123">
        <v>3065.58</v>
      </c>
      <c r="G413" s="85"/>
      <c r="H413" s="81"/>
      <c r="I413" s="75"/>
      <c r="J413" s="9"/>
      <c r="K413" s="124"/>
      <c r="L413" s="124"/>
      <c r="M413" s="124"/>
      <c r="N413" s="124"/>
    </row>
    <row r="414" spans="1:26" s="2" customFormat="1" ht="13.5" customHeight="1">
      <c r="A414" s="114" t="s">
        <v>630</v>
      </c>
      <c r="B414" s="122"/>
      <c r="C414" s="84"/>
      <c r="D414" s="47" t="s">
        <v>385</v>
      </c>
      <c r="E414" s="116" t="s">
        <v>34</v>
      </c>
      <c r="F414" s="123">
        <f>F412</f>
        <v>3065.58</v>
      </c>
      <c r="G414" s="74"/>
      <c r="H414" s="125">
        <f t="shared" ref="H414:H424" si="4">F414*G414</f>
        <v>0</v>
      </c>
      <c r="I414" s="75"/>
      <c r="J414" s="126"/>
      <c r="K414" s="127"/>
      <c r="L414" s="128"/>
      <c r="M414" s="128"/>
      <c r="N414" s="128"/>
      <c r="O414" s="127"/>
      <c r="P414" s="127"/>
      <c r="Q414" s="129"/>
      <c r="R414" s="127"/>
      <c r="S414" s="127"/>
      <c r="T414" s="127"/>
      <c r="U414" s="127"/>
      <c r="V414" s="127"/>
    </row>
    <row r="415" spans="1:26" s="2" customFormat="1" ht="13.5" customHeight="1">
      <c r="A415" s="114" t="s">
        <v>631</v>
      </c>
      <c r="B415" s="122"/>
      <c r="C415" s="84"/>
      <c r="D415" s="79" t="s">
        <v>85</v>
      </c>
      <c r="E415" s="116" t="s">
        <v>34</v>
      </c>
      <c r="F415" s="123">
        <f>F414</f>
        <v>3065.58</v>
      </c>
      <c r="G415" s="74"/>
      <c r="H415" s="125">
        <f t="shared" si="4"/>
        <v>0</v>
      </c>
      <c r="I415" s="75"/>
      <c r="J415" s="130"/>
      <c r="K415" s="127"/>
      <c r="L415" s="128"/>
      <c r="M415" s="128"/>
      <c r="N415" s="128"/>
      <c r="O415" s="127"/>
      <c r="P415" s="127"/>
      <c r="Q415" s="129"/>
    </row>
    <row r="416" spans="1:26" s="2" customFormat="1" ht="13.5" customHeight="1">
      <c r="A416" s="114" t="s">
        <v>632</v>
      </c>
      <c r="B416" s="122"/>
      <c r="C416" s="84"/>
      <c r="D416" s="79" t="s">
        <v>86</v>
      </c>
      <c r="E416" s="116" t="s">
        <v>34</v>
      </c>
      <c r="F416" s="123">
        <f>F414</f>
        <v>3065.58</v>
      </c>
      <c r="G416" s="74"/>
      <c r="H416" s="125">
        <f t="shared" si="4"/>
        <v>0</v>
      </c>
      <c r="I416" s="75"/>
      <c r="J416" s="130"/>
      <c r="K416" s="127"/>
      <c r="L416" s="128"/>
      <c r="M416" s="128"/>
      <c r="N416" s="128"/>
      <c r="O416" s="127"/>
      <c r="P416" s="127"/>
      <c r="Q416" s="129"/>
      <c r="Z416" s="131"/>
    </row>
    <row r="417" spans="1:26" s="2" customFormat="1" ht="13.5" customHeight="1">
      <c r="A417" s="114" t="s">
        <v>633</v>
      </c>
      <c r="B417" s="122"/>
      <c r="C417" s="84"/>
      <c r="D417" s="79" t="s">
        <v>87</v>
      </c>
      <c r="E417" s="116" t="s">
        <v>34</v>
      </c>
      <c r="F417" s="123">
        <f>F414</f>
        <v>3065.58</v>
      </c>
      <c r="G417" s="74"/>
      <c r="H417" s="125">
        <f t="shared" si="4"/>
        <v>0</v>
      </c>
      <c r="I417" s="75"/>
      <c r="J417" s="132"/>
      <c r="K417" s="124"/>
      <c r="L417" s="124"/>
      <c r="M417" s="124"/>
      <c r="N417" s="124"/>
      <c r="R417" s="13"/>
    </row>
    <row r="418" spans="1:26" s="2" customFormat="1" ht="13.5" customHeight="1">
      <c r="A418" s="77">
        <v>79</v>
      </c>
      <c r="B418" s="113" t="s">
        <v>82</v>
      </c>
      <c r="C418" s="78" t="s">
        <v>88</v>
      </c>
      <c r="D418" s="78" t="s">
        <v>380</v>
      </c>
      <c r="E418" s="78" t="s">
        <v>34</v>
      </c>
      <c r="F418" s="82">
        <f>F419</f>
        <v>149.36600000000001</v>
      </c>
      <c r="G418" s="72">
        <f>SUM(H420:H423)/F418</f>
        <v>0</v>
      </c>
      <c r="H418" s="81">
        <f t="shared" si="4"/>
        <v>0</v>
      </c>
      <c r="I418" s="46" t="s">
        <v>103</v>
      </c>
      <c r="J418" s="9"/>
    </row>
    <row r="419" spans="1:26" s="2" customFormat="1" ht="40.5" customHeight="1">
      <c r="A419" s="83"/>
      <c r="B419" s="122"/>
      <c r="C419" s="84"/>
      <c r="D419" s="79" t="s">
        <v>84</v>
      </c>
      <c r="E419" s="79"/>
      <c r="F419" s="123">
        <v>149.36600000000001</v>
      </c>
      <c r="G419" s="85"/>
      <c r="H419" s="81"/>
      <c r="I419" s="75"/>
      <c r="J419" s="9"/>
      <c r="K419" s="124"/>
      <c r="L419" s="124"/>
      <c r="M419" s="124"/>
      <c r="N419" s="124"/>
    </row>
    <row r="420" spans="1:26" s="2" customFormat="1" ht="13.5" customHeight="1">
      <c r="A420" s="114" t="s">
        <v>646</v>
      </c>
      <c r="B420" s="122"/>
      <c r="C420" s="84"/>
      <c r="D420" s="47" t="s">
        <v>385</v>
      </c>
      <c r="E420" s="116" t="s">
        <v>34</v>
      </c>
      <c r="F420" s="123">
        <f>F418</f>
        <v>149.36600000000001</v>
      </c>
      <c r="G420" s="74"/>
      <c r="H420" s="125">
        <f t="shared" ref="H420:H423" si="5">F420*G420</f>
        <v>0</v>
      </c>
      <c r="I420" s="75"/>
      <c r="J420" s="126"/>
      <c r="K420" s="127"/>
      <c r="L420" s="128"/>
      <c r="M420" s="128"/>
      <c r="N420" s="128"/>
      <c r="O420" s="127"/>
      <c r="P420" s="127"/>
      <c r="Q420" s="129"/>
      <c r="R420" s="127"/>
      <c r="S420" s="127"/>
      <c r="T420" s="127"/>
      <c r="U420" s="127"/>
      <c r="V420" s="127"/>
    </row>
    <row r="421" spans="1:26" s="2" customFormat="1" ht="13.5" customHeight="1">
      <c r="A421" s="114" t="s">
        <v>647</v>
      </c>
      <c r="B421" s="122"/>
      <c r="C421" s="84"/>
      <c r="D421" s="79" t="s">
        <v>85</v>
      </c>
      <c r="E421" s="116" t="s">
        <v>34</v>
      </c>
      <c r="F421" s="123">
        <f>F420</f>
        <v>149.36600000000001</v>
      </c>
      <c r="G421" s="74"/>
      <c r="H421" s="125">
        <f t="shared" si="5"/>
        <v>0</v>
      </c>
      <c r="I421" s="75"/>
      <c r="J421" s="130"/>
      <c r="K421" s="128"/>
      <c r="L421" s="128"/>
      <c r="M421" s="128"/>
      <c r="N421" s="128"/>
      <c r="O421" s="127"/>
      <c r="P421" s="127"/>
      <c r="Q421" s="129"/>
    </row>
    <row r="422" spans="1:26" s="2" customFormat="1" ht="13.5" customHeight="1">
      <c r="A422" s="114" t="s">
        <v>648</v>
      </c>
      <c r="B422" s="122"/>
      <c r="C422" s="84"/>
      <c r="D422" s="79" t="s">
        <v>86</v>
      </c>
      <c r="E422" s="116" t="s">
        <v>34</v>
      </c>
      <c r="F422" s="123">
        <f>F420</f>
        <v>149.36600000000001</v>
      </c>
      <c r="G422" s="74"/>
      <c r="H422" s="125">
        <f t="shared" si="5"/>
        <v>0</v>
      </c>
      <c r="I422" s="75"/>
      <c r="J422" s="130"/>
      <c r="K422" s="127"/>
      <c r="L422" s="128"/>
      <c r="M422" s="128"/>
      <c r="N422" s="128"/>
      <c r="O422" s="127"/>
      <c r="P422" s="127"/>
      <c r="Q422" s="129"/>
      <c r="Z422" s="131"/>
    </row>
    <row r="423" spans="1:26" s="2" customFormat="1" ht="13.5" customHeight="1">
      <c r="A423" s="114" t="s">
        <v>649</v>
      </c>
      <c r="B423" s="122"/>
      <c r="C423" s="84"/>
      <c r="D423" s="79" t="s">
        <v>87</v>
      </c>
      <c r="E423" s="116" t="s">
        <v>34</v>
      </c>
      <c r="F423" s="123">
        <f>F420</f>
        <v>149.36600000000001</v>
      </c>
      <c r="G423" s="74"/>
      <c r="H423" s="125">
        <f t="shared" si="5"/>
        <v>0</v>
      </c>
      <c r="I423" s="75"/>
      <c r="J423" s="132"/>
      <c r="L423" s="124"/>
      <c r="M423" s="124"/>
      <c r="N423" s="124"/>
      <c r="R423" s="13"/>
    </row>
    <row r="424" spans="1:26" s="2" customFormat="1" ht="13.5" customHeight="1">
      <c r="A424" s="42">
        <v>80</v>
      </c>
      <c r="B424" s="43" t="s">
        <v>82</v>
      </c>
      <c r="C424" s="44" t="s">
        <v>89</v>
      </c>
      <c r="D424" s="44" t="s">
        <v>90</v>
      </c>
      <c r="E424" s="44" t="s">
        <v>34</v>
      </c>
      <c r="F424" s="154">
        <f>F425</f>
        <v>47.66</v>
      </c>
      <c r="G424" s="72">
        <f>SUM(H426:H429)/F424</f>
        <v>0</v>
      </c>
      <c r="H424" s="45">
        <f t="shared" si="4"/>
        <v>0</v>
      </c>
      <c r="I424" s="46" t="s">
        <v>103</v>
      </c>
      <c r="J424" s="9"/>
    </row>
    <row r="425" spans="1:26" s="2" customFormat="1" ht="40.5" customHeight="1">
      <c r="A425" s="51"/>
      <c r="B425" s="76"/>
      <c r="C425" s="52"/>
      <c r="D425" s="47" t="s">
        <v>84</v>
      </c>
      <c r="E425" s="47"/>
      <c r="F425" s="156">
        <v>47.66</v>
      </c>
      <c r="G425" s="69"/>
      <c r="H425" s="45"/>
      <c r="I425" s="49"/>
      <c r="J425" s="160"/>
      <c r="L425" s="124"/>
      <c r="M425" s="124"/>
      <c r="N425" s="124"/>
    </row>
    <row r="426" spans="1:26" s="2" customFormat="1" ht="13.5" customHeight="1">
      <c r="A426" s="114" t="s">
        <v>650</v>
      </c>
      <c r="B426" s="122"/>
      <c r="C426" s="84"/>
      <c r="D426" s="47" t="s">
        <v>385</v>
      </c>
      <c r="E426" s="116" t="s">
        <v>34</v>
      </c>
      <c r="F426" s="133">
        <f>F425</f>
        <v>47.66</v>
      </c>
      <c r="G426" s="74"/>
      <c r="H426" s="125">
        <f>F426*G426</f>
        <v>0</v>
      </c>
      <c r="I426" s="75"/>
      <c r="J426" s="9"/>
      <c r="L426" s="124"/>
      <c r="M426" s="124"/>
      <c r="N426" s="124"/>
    </row>
    <row r="427" spans="1:26" s="2" customFormat="1" ht="13.5" customHeight="1">
      <c r="A427" s="114" t="s">
        <v>651</v>
      </c>
      <c r="B427" s="122"/>
      <c r="C427" s="84"/>
      <c r="D427" s="79" t="s">
        <v>85</v>
      </c>
      <c r="E427" s="116" t="s">
        <v>34</v>
      </c>
      <c r="F427" s="133">
        <f>F426</f>
        <v>47.66</v>
      </c>
      <c r="G427" s="74"/>
      <c r="H427" s="125">
        <f>F427*G427</f>
        <v>0</v>
      </c>
      <c r="I427" s="75"/>
      <c r="J427" s="9"/>
      <c r="L427" s="124"/>
      <c r="M427" s="124"/>
      <c r="N427" s="124"/>
    </row>
    <row r="428" spans="1:26" s="2" customFormat="1" ht="13.5" customHeight="1">
      <c r="A428" s="114" t="s">
        <v>652</v>
      </c>
      <c r="B428" s="122"/>
      <c r="C428" s="84"/>
      <c r="D428" s="79" t="s">
        <v>86</v>
      </c>
      <c r="E428" s="116" t="s">
        <v>34</v>
      </c>
      <c r="F428" s="133">
        <f>F426</f>
        <v>47.66</v>
      </c>
      <c r="G428" s="74"/>
      <c r="H428" s="125">
        <f>F428*G428</f>
        <v>0</v>
      </c>
      <c r="I428" s="75"/>
      <c r="J428" s="132"/>
      <c r="L428" s="124"/>
      <c r="M428" s="124"/>
      <c r="N428" s="124"/>
    </row>
    <row r="429" spans="1:26" s="2" customFormat="1" ht="13.5" customHeight="1">
      <c r="A429" s="114" t="s">
        <v>653</v>
      </c>
      <c r="B429" s="122"/>
      <c r="C429" s="84"/>
      <c r="D429" s="79" t="s">
        <v>87</v>
      </c>
      <c r="E429" s="116" t="s">
        <v>34</v>
      </c>
      <c r="F429" s="133">
        <f>F426</f>
        <v>47.66</v>
      </c>
      <c r="G429" s="74"/>
      <c r="H429" s="125">
        <f>F429*G429</f>
        <v>0</v>
      </c>
      <c r="I429" s="75"/>
      <c r="J429" s="132"/>
      <c r="K429" s="124"/>
      <c r="L429" s="124"/>
      <c r="M429" s="124"/>
      <c r="N429" s="124"/>
    </row>
    <row r="430" spans="1:26" s="2" customFormat="1" ht="13.5" customHeight="1">
      <c r="A430" s="42">
        <v>81</v>
      </c>
      <c r="B430" s="43" t="s">
        <v>466</v>
      </c>
      <c r="C430" s="44">
        <v>985132311</v>
      </c>
      <c r="D430" s="44" t="s">
        <v>467</v>
      </c>
      <c r="E430" s="44" t="s">
        <v>21</v>
      </c>
      <c r="F430" s="154">
        <f>F432+F433+F434</f>
        <v>938.05000000000007</v>
      </c>
      <c r="G430" s="45"/>
      <c r="H430" s="45">
        <f>F430*G430</f>
        <v>0</v>
      </c>
      <c r="I430" s="46" t="s">
        <v>68</v>
      </c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s="2" customFormat="1" ht="13.5" customHeight="1">
      <c r="A431" s="42"/>
      <c r="B431" s="43"/>
      <c r="C431" s="44"/>
      <c r="D431" s="47" t="s">
        <v>468</v>
      </c>
      <c r="E431" s="44"/>
      <c r="F431" s="48"/>
      <c r="G431" s="45"/>
      <c r="H431" s="45"/>
      <c r="I431" s="46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s="2" customFormat="1" ht="13.5" customHeight="1">
      <c r="A432" s="42"/>
      <c r="B432" s="43"/>
      <c r="C432" s="44"/>
      <c r="D432" s="47" t="s">
        <v>501</v>
      </c>
      <c r="E432" s="44"/>
      <c r="F432" s="48">
        <f>23.6+21.58+37.99+37.2+44.08+44.14+43.5+41.86+31.81+105.82</f>
        <v>431.58</v>
      </c>
      <c r="G432" s="45"/>
      <c r="H432" s="45"/>
      <c r="I432" s="46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s="2" customFormat="1" ht="13.5" customHeight="1">
      <c r="A433" s="42"/>
      <c r="B433" s="43"/>
      <c r="C433" s="44"/>
      <c r="D433" s="47" t="s">
        <v>493</v>
      </c>
      <c r="E433" s="44"/>
      <c r="F433" s="48">
        <v>109.13</v>
      </c>
      <c r="G433" s="45"/>
      <c r="H433" s="45"/>
      <c r="I433" s="46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s="2" customFormat="1" ht="13.5" customHeight="1">
      <c r="A434" s="42"/>
      <c r="B434" s="43"/>
      <c r="C434" s="44"/>
      <c r="D434" s="47" t="s">
        <v>494</v>
      </c>
      <c r="E434" s="44"/>
      <c r="F434" s="48">
        <f>42.72+42.14+21.91+17.02+37.81+38.34+105.56+91.84</f>
        <v>397.34000000000003</v>
      </c>
      <c r="G434" s="45"/>
      <c r="H434" s="45"/>
      <c r="I434" s="46"/>
      <c r="J434" s="12"/>
      <c r="K434" s="153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s="2" customFormat="1" ht="13.5" customHeight="1">
      <c r="A435" s="5"/>
      <c r="B435" s="6"/>
      <c r="C435" s="6" t="s">
        <v>22</v>
      </c>
      <c r="D435" s="6" t="s">
        <v>23</v>
      </c>
      <c r="E435" s="6"/>
      <c r="F435" s="7"/>
      <c r="G435" s="8"/>
      <c r="H435" s="8">
        <f>SUM(H436:H438)</f>
        <v>0</v>
      </c>
      <c r="I435" s="49"/>
      <c r="J435" s="50"/>
      <c r="K435" s="67"/>
      <c r="L435" s="50"/>
      <c r="M435" s="50"/>
    </row>
    <row r="436" spans="1:26" s="9" customFormat="1" ht="13.5" customHeight="1">
      <c r="A436" s="181" t="s">
        <v>654</v>
      </c>
      <c r="B436" s="43" t="s">
        <v>35</v>
      </c>
      <c r="C436" s="44">
        <v>998011004</v>
      </c>
      <c r="D436" s="44" t="s">
        <v>76</v>
      </c>
      <c r="E436" s="44" t="s">
        <v>34</v>
      </c>
      <c r="F436" s="154">
        <v>10.513999999999999</v>
      </c>
      <c r="G436" s="45"/>
      <c r="H436" s="45">
        <f>F436*G436</f>
        <v>0</v>
      </c>
      <c r="I436" s="46" t="s">
        <v>68</v>
      </c>
      <c r="K436"/>
    </row>
    <row r="437" spans="1:26" s="13" customFormat="1" ht="13.5" customHeight="1">
      <c r="A437" s="181" t="s">
        <v>655</v>
      </c>
      <c r="B437" s="44">
        <v>999</v>
      </c>
      <c r="C437" s="44" t="s">
        <v>30</v>
      </c>
      <c r="D437" s="44" t="s">
        <v>31</v>
      </c>
      <c r="E437" s="44" t="s">
        <v>28</v>
      </c>
      <c r="F437" s="154">
        <f>F438</f>
        <v>100</v>
      </c>
      <c r="G437" s="45"/>
      <c r="H437" s="45">
        <f>F437*G437</f>
        <v>0</v>
      </c>
      <c r="I437" s="46" t="s">
        <v>68</v>
      </c>
      <c r="J437" s="50"/>
      <c r="K437" s="67"/>
      <c r="L437" s="64"/>
      <c r="M437" s="64"/>
    </row>
    <row r="438" spans="1:26" s="9" customFormat="1" ht="24" customHeight="1">
      <c r="A438" s="42"/>
      <c r="B438" s="43"/>
      <c r="C438" s="44"/>
      <c r="D438" s="47" t="s">
        <v>29</v>
      </c>
      <c r="E438" s="44"/>
      <c r="F438" s="48">
        <v>100</v>
      </c>
      <c r="G438" s="45"/>
      <c r="H438" s="45"/>
      <c r="I438" s="46"/>
      <c r="J438" s="63"/>
      <c r="K438" s="67"/>
      <c r="L438" s="63"/>
      <c r="M438" s="63"/>
    </row>
    <row r="439" spans="1:26" s="2" customFormat="1" ht="21" customHeight="1">
      <c r="A439" s="139"/>
      <c r="B439" s="140"/>
      <c r="C439" s="6" t="s">
        <v>37</v>
      </c>
      <c r="D439" s="6" t="s">
        <v>38</v>
      </c>
      <c r="E439" s="140"/>
      <c r="F439" s="141"/>
      <c r="G439" s="142"/>
      <c r="H439" s="142">
        <f>H440+H451+H462+H506+H516+H528+H568+H574+H585+H595</f>
        <v>0</v>
      </c>
      <c r="I439" s="49"/>
    </row>
    <row r="440" spans="1:26" s="2" customFormat="1" ht="13.5" customHeight="1">
      <c r="A440" s="5"/>
      <c r="B440" s="6"/>
      <c r="C440" s="6" t="s">
        <v>138</v>
      </c>
      <c r="D440" s="6" t="s">
        <v>195</v>
      </c>
      <c r="E440" s="6"/>
      <c r="F440" s="7"/>
      <c r="G440" s="8"/>
      <c r="H440" s="8">
        <f>SUM(H441:H450)</f>
        <v>0</v>
      </c>
      <c r="I440" s="49"/>
      <c r="J440" s="135"/>
      <c r="K440" s="135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s="2" customFormat="1" ht="27" customHeight="1">
      <c r="A441" s="42">
        <v>84</v>
      </c>
      <c r="B441" s="44" t="s">
        <v>138</v>
      </c>
      <c r="C441" s="44" t="s">
        <v>196</v>
      </c>
      <c r="D441" s="44" t="s">
        <v>197</v>
      </c>
      <c r="E441" s="44" t="s">
        <v>151</v>
      </c>
      <c r="F441" s="154">
        <f>F442</f>
        <v>1</v>
      </c>
      <c r="G441" s="45"/>
      <c r="H441" s="45">
        <f>F441*G441</f>
        <v>0</v>
      </c>
      <c r="I441" s="46" t="s">
        <v>103</v>
      </c>
      <c r="J441" s="135"/>
      <c r="K441" s="135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s="2" customFormat="1" ht="42.75" customHeight="1">
      <c r="A442" s="42"/>
      <c r="B442" s="44"/>
      <c r="C442" s="44"/>
      <c r="D442" s="47" t="s">
        <v>198</v>
      </c>
      <c r="E442" s="44"/>
      <c r="F442" s="156">
        <v>1</v>
      </c>
      <c r="G442" s="45"/>
      <c r="H442" s="45"/>
      <c r="I442" s="49"/>
      <c r="J442" s="135"/>
      <c r="K442" s="135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s="2" customFormat="1" ht="40.5" customHeight="1">
      <c r="A443" s="51"/>
      <c r="B443" s="76"/>
      <c r="C443" s="52"/>
      <c r="D443" s="47" t="s">
        <v>109</v>
      </c>
      <c r="E443" s="47"/>
      <c r="F443" s="156"/>
      <c r="G443" s="69"/>
      <c r="H443" s="45"/>
      <c r="I443" s="49"/>
      <c r="J443" s="135"/>
      <c r="K443" s="135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s="2" customFormat="1" ht="27" customHeight="1">
      <c r="A444" s="42">
        <v>85</v>
      </c>
      <c r="B444" s="44" t="s">
        <v>138</v>
      </c>
      <c r="C444" s="44" t="s">
        <v>199</v>
      </c>
      <c r="D444" s="44" t="s">
        <v>200</v>
      </c>
      <c r="E444" s="44" t="s">
        <v>151</v>
      </c>
      <c r="F444" s="154">
        <f>F445</f>
        <v>1</v>
      </c>
      <c r="G444" s="45"/>
      <c r="H444" s="45">
        <f>F444*G444</f>
        <v>0</v>
      </c>
      <c r="I444" s="46" t="s">
        <v>103</v>
      </c>
      <c r="J444" s="135"/>
      <c r="K444" s="135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s="2" customFormat="1" ht="30.75" customHeight="1">
      <c r="A445" s="51"/>
      <c r="B445" s="76"/>
      <c r="C445" s="52"/>
      <c r="D445" s="47" t="s">
        <v>388</v>
      </c>
      <c r="E445" s="47"/>
      <c r="F445" s="156">
        <v>1</v>
      </c>
      <c r="G445" s="69"/>
      <c r="H445" s="45"/>
      <c r="I445" s="49"/>
      <c r="J445" s="135"/>
      <c r="K445" s="135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s="2" customFormat="1" ht="40.5" customHeight="1">
      <c r="A446" s="51"/>
      <c r="B446" s="76"/>
      <c r="C446" s="52"/>
      <c r="D446" s="47" t="s">
        <v>109</v>
      </c>
      <c r="E446" s="47"/>
      <c r="F446" s="156"/>
      <c r="G446" s="69"/>
      <c r="H446" s="45"/>
      <c r="I446" s="49"/>
      <c r="J446" s="135"/>
      <c r="K446" s="135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s="2" customFormat="1" ht="13.5" customHeight="1">
      <c r="A447" s="42">
        <v>86</v>
      </c>
      <c r="B447" s="43" t="s">
        <v>138</v>
      </c>
      <c r="C447" s="44" t="s">
        <v>201</v>
      </c>
      <c r="D447" s="44" t="s">
        <v>202</v>
      </c>
      <c r="E447" s="44" t="s">
        <v>151</v>
      </c>
      <c r="F447" s="154">
        <v>1</v>
      </c>
      <c r="G447" s="45"/>
      <c r="H447" s="45">
        <f>F447*G447</f>
        <v>0</v>
      </c>
      <c r="I447" s="46" t="s">
        <v>103</v>
      </c>
      <c r="J447" s="135"/>
      <c r="K447" s="135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s="2" customFormat="1" ht="13.5" customHeight="1">
      <c r="A448" s="42">
        <v>87</v>
      </c>
      <c r="B448" s="44" t="s">
        <v>125</v>
      </c>
      <c r="C448" s="44" t="s">
        <v>203</v>
      </c>
      <c r="D448" s="44" t="s">
        <v>204</v>
      </c>
      <c r="E448" s="44" t="s">
        <v>28</v>
      </c>
      <c r="F448" s="154">
        <f>F449</f>
        <v>15</v>
      </c>
      <c r="G448" s="45"/>
      <c r="H448" s="45">
        <f>F448*G448</f>
        <v>0</v>
      </c>
      <c r="I448" s="46" t="s">
        <v>68</v>
      </c>
      <c r="J448" s="135"/>
      <c r="K448" s="135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s="2" customFormat="1" ht="13.5" customHeight="1">
      <c r="A449" s="51"/>
      <c r="B449" s="52"/>
      <c r="C449" s="52"/>
      <c r="D449" s="47" t="s">
        <v>205</v>
      </c>
      <c r="E449" s="52"/>
      <c r="F449" s="48">
        <v>15</v>
      </c>
      <c r="G449" s="69"/>
      <c r="H449" s="45"/>
      <c r="I449" s="49"/>
      <c r="J449" s="135"/>
      <c r="K449" s="135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s="2" customFormat="1" ht="13.5" customHeight="1">
      <c r="A450" s="51"/>
      <c r="B450" s="52"/>
      <c r="C450" s="52"/>
      <c r="D450" s="47" t="s">
        <v>206</v>
      </c>
      <c r="E450" s="52"/>
      <c r="F450" s="48"/>
      <c r="G450" s="69"/>
      <c r="H450" s="45"/>
      <c r="I450" s="49"/>
      <c r="J450" s="135"/>
      <c r="K450" s="135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s="2" customFormat="1" ht="13.5" customHeight="1">
      <c r="A451" s="5"/>
      <c r="B451" s="6"/>
      <c r="C451" s="6" t="s">
        <v>207</v>
      </c>
      <c r="D451" s="6" t="s">
        <v>208</v>
      </c>
      <c r="E451" s="6"/>
      <c r="F451" s="7"/>
      <c r="G451" s="8"/>
      <c r="H451" s="8">
        <f>SUM(H452:H461)</f>
        <v>0</v>
      </c>
      <c r="I451" s="49"/>
      <c r="J451" s="135"/>
      <c r="K451" s="135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s="2" customFormat="1" ht="27" customHeight="1">
      <c r="A452" s="42">
        <v>88</v>
      </c>
      <c r="B452" s="44">
        <v>722</v>
      </c>
      <c r="C452" s="44" t="s">
        <v>209</v>
      </c>
      <c r="D452" s="44" t="s">
        <v>210</v>
      </c>
      <c r="E452" s="44" t="s">
        <v>151</v>
      </c>
      <c r="F452" s="154">
        <f>F453</f>
        <v>1</v>
      </c>
      <c r="G452" s="45"/>
      <c r="H452" s="45">
        <f>F452*G452</f>
        <v>0</v>
      </c>
      <c r="I452" s="46" t="s">
        <v>103</v>
      </c>
      <c r="J452" s="135"/>
      <c r="K452" s="135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s="2" customFormat="1" ht="36.75" customHeight="1">
      <c r="A453" s="42"/>
      <c r="B453" s="44"/>
      <c r="C453" s="44"/>
      <c r="D453" s="47" t="s">
        <v>256</v>
      </c>
      <c r="E453" s="44"/>
      <c r="F453" s="48">
        <v>1</v>
      </c>
      <c r="G453" s="170"/>
      <c r="H453" s="45"/>
      <c r="I453" s="49"/>
      <c r="J453" s="135"/>
      <c r="K453" s="135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s="2" customFormat="1" ht="40.5" customHeight="1">
      <c r="A454" s="51"/>
      <c r="B454" s="76"/>
      <c r="C454" s="52"/>
      <c r="D454" s="47" t="s">
        <v>109</v>
      </c>
      <c r="E454" s="47"/>
      <c r="F454" s="156"/>
      <c r="G454" s="69"/>
      <c r="H454" s="45"/>
      <c r="I454" s="49"/>
      <c r="J454" s="135"/>
      <c r="K454" s="135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s="2" customFormat="1" ht="29.25" customHeight="1">
      <c r="A455" s="42">
        <v>89</v>
      </c>
      <c r="B455" s="44">
        <v>722</v>
      </c>
      <c r="C455" s="44" t="s">
        <v>211</v>
      </c>
      <c r="D455" s="44" t="s">
        <v>254</v>
      </c>
      <c r="E455" s="44" t="s">
        <v>151</v>
      </c>
      <c r="F455" s="154">
        <f>F456</f>
        <v>1</v>
      </c>
      <c r="G455" s="45"/>
      <c r="H455" s="45">
        <f>F455*G455</f>
        <v>0</v>
      </c>
      <c r="I455" s="46" t="s">
        <v>103</v>
      </c>
      <c r="J455" s="135"/>
      <c r="K455" s="135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s="2" customFormat="1" ht="24.75" customHeight="1">
      <c r="A456" s="42"/>
      <c r="B456" s="44"/>
      <c r="C456" s="44"/>
      <c r="D456" s="47" t="s">
        <v>255</v>
      </c>
      <c r="E456" s="44"/>
      <c r="F456" s="48">
        <v>1</v>
      </c>
      <c r="G456" s="170"/>
      <c r="H456" s="45"/>
      <c r="I456" s="49"/>
      <c r="J456" s="135"/>
      <c r="K456" s="135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s="2" customFormat="1" ht="40.5" customHeight="1">
      <c r="A457" s="51"/>
      <c r="B457" s="76"/>
      <c r="C457" s="52"/>
      <c r="D457" s="47" t="s">
        <v>109</v>
      </c>
      <c r="E457" s="47"/>
      <c r="F457" s="156"/>
      <c r="G457" s="69"/>
      <c r="H457" s="45"/>
      <c r="I457" s="49"/>
      <c r="J457" s="135"/>
      <c r="K457" s="135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s="2" customFormat="1" ht="13.5" customHeight="1">
      <c r="A458" s="42">
        <v>90</v>
      </c>
      <c r="B458" s="43" t="s">
        <v>207</v>
      </c>
      <c r="C458" s="44" t="s">
        <v>212</v>
      </c>
      <c r="D458" s="44" t="s">
        <v>202</v>
      </c>
      <c r="E458" s="44" t="s">
        <v>151</v>
      </c>
      <c r="F458" s="154">
        <v>1</v>
      </c>
      <c r="G458" s="45"/>
      <c r="H458" s="45">
        <f>F458*G458</f>
        <v>0</v>
      </c>
      <c r="I458" s="46" t="s">
        <v>103</v>
      </c>
      <c r="J458" s="135"/>
      <c r="K458" s="135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s="2" customFormat="1" ht="13.5" customHeight="1">
      <c r="A459" s="42">
        <v>91</v>
      </c>
      <c r="B459" s="44" t="s">
        <v>125</v>
      </c>
      <c r="C459" s="44" t="s">
        <v>203</v>
      </c>
      <c r="D459" s="44" t="s">
        <v>204</v>
      </c>
      <c r="E459" s="44" t="s">
        <v>28</v>
      </c>
      <c r="F459" s="154">
        <f>F460</f>
        <v>15</v>
      </c>
      <c r="G459" s="45"/>
      <c r="H459" s="45">
        <f>F459*G459</f>
        <v>0</v>
      </c>
      <c r="I459" s="46" t="s">
        <v>68</v>
      </c>
      <c r="J459" s="135"/>
      <c r="K459" s="135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s="2" customFormat="1" ht="13.5" customHeight="1">
      <c r="A460" s="51"/>
      <c r="B460" s="52"/>
      <c r="C460" s="52"/>
      <c r="D460" s="47" t="s">
        <v>213</v>
      </c>
      <c r="E460" s="52"/>
      <c r="F460" s="48">
        <v>15</v>
      </c>
      <c r="G460" s="69"/>
      <c r="H460" s="45"/>
      <c r="I460" s="49"/>
      <c r="J460" s="135"/>
      <c r="K460" s="135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s="2" customFormat="1" ht="13.5" customHeight="1">
      <c r="A461" s="51"/>
      <c r="B461" s="52"/>
      <c r="C461" s="52"/>
      <c r="D461" s="47" t="s">
        <v>206</v>
      </c>
      <c r="E461" s="52"/>
      <c r="F461" s="48"/>
      <c r="G461" s="69"/>
      <c r="H461" s="45"/>
      <c r="I461" s="49"/>
      <c r="J461" s="135"/>
      <c r="K461" s="135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s="2" customFormat="1" ht="13.5" customHeight="1">
      <c r="A462" s="5"/>
      <c r="B462" s="6"/>
      <c r="C462" s="6" t="s">
        <v>136</v>
      </c>
      <c r="D462" s="6" t="s">
        <v>137</v>
      </c>
      <c r="E462" s="6"/>
      <c r="F462" s="7"/>
      <c r="G462" s="8"/>
      <c r="H462" s="8">
        <f>SUM(H463:H505)</f>
        <v>0</v>
      </c>
      <c r="I462" s="49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s="2" customFormat="1" ht="13.5" customHeight="1">
      <c r="A463" s="42">
        <v>92</v>
      </c>
      <c r="B463" s="43" t="s">
        <v>136</v>
      </c>
      <c r="C463" s="44" t="s">
        <v>139</v>
      </c>
      <c r="D463" s="44" t="s">
        <v>140</v>
      </c>
      <c r="E463" s="44" t="s">
        <v>141</v>
      </c>
      <c r="F463" s="154">
        <f>F465+F466+F467+F468+F469</f>
        <v>13</v>
      </c>
      <c r="G463" s="45"/>
      <c r="H463" s="45">
        <f>F463*G463</f>
        <v>0</v>
      </c>
      <c r="I463" s="46" t="s">
        <v>103</v>
      </c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s="2" customFormat="1" ht="40.5" customHeight="1">
      <c r="A464" s="42"/>
      <c r="B464" s="44"/>
      <c r="C464" s="44"/>
      <c r="D464" s="47" t="s">
        <v>142</v>
      </c>
      <c r="E464" s="44"/>
      <c r="F464" s="49"/>
      <c r="G464" s="45"/>
      <c r="H464" s="45"/>
      <c r="I464" s="46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s="2" customFormat="1" ht="13.5" customHeight="1">
      <c r="A465" s="42"/>
      <c r="B465" s="44"/>
      <c r="C465" s="44"/>
      <c r="D465" s="47" t="s">
        <v>153</v>
      </c>
      <c r="E465" s="44"/>
      <c r="F465" s="48">
        <v>2</v>
      </c>
      <c r="G465" s="45"/>
      <c r="H465" s="45"/>
      <c r="I465" s="46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s="2" customFormat="1" ht="13.5" customHeight="1">
      <c r="A466" s="42"/>
      <c r="B466" s="44"/>
      <c r="C466" s="44"/>
      <c r="D466" s="47" t="s">
        <v>228</v>
      </c>
      <c r="E466" s="44"/>
      <c r="F466" s="48">
        <v>3</v>
      </c>
      <c r="G466" s="45"/>
      <c r="H466" s="45"/>
      <c r="I466" s="46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s="2" customFormat="1" ht="13.5" customHeight="1">
      <c r="A467" s="42"/>
      <c r="B467" s="44"/>
      <c r="C467" s="44"/>
      <c r="D467" s="47" t="s">
        <v>253</v>
      </c>
      <c r="E467" s="44"/>
      <c r="F467" s="48">
        <v>3</v>
      </c>
      <c r="G467" s="45"/>
      <c r="H467" s="45"/>
      <c r="I467" s="46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s="2" customFormat="1" ht="13.5" customHeight="1">
      <c r="A468" s="42"/>
      <c r="B468" s="44"/>
      <c r="C468" s="44"/>
      <c r="D468" s="47" t="s">
        <v>288</v>
      </c>
      <c r="E468" s="44"/>
      <c r="F468" s="48">
        <v>3</v>
      </c>
      <c r="G468" s="45"/>
      <c r="H468" s="45"/>
      <c r="I468" s="46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s="2" customFormat="1" ht="13.5" customHeight="1">
      <c r="A469" s="42"/>
      <c r="B469" s="44"/>
      <c r="C469" s="44"/>
      <c r="D469" s="47" t="s">
        <v>319</v>
      </c>
      <c r="E469" s="44"/>
      <c r="F469" s="48">
        <v>2</v>
      </c>
      <c r="G469" s="45"/>
      <c r="H469" s="45"/>
      <c r="I469" s="46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s="2" customFormat="1" ht="13.5" customHeight="1">
      <c r="A470" s="42">
        <v>93</v>
      </c>
      <c r="B470" s="43" t="s">
        <v>136</v>
      </c>
      <c r="C470" s="44" t="s">
        <v>232</v>
      </c>
      <c r="D470" s="44" t="s">
        <v>233</v>
      </c>
      <c r="E470" s="44" t="s">
        <v>141</v>
      </c>
      <c r="F470" s="154">
        <f>SUM(F472:F474)</f>
        <v>6</v>
      </c>
      <c r="G470" s="45"/>
      <c r="H470" s="45">
        <f>F470*G470</f>
        <v>0</v>
      </c>
      <c r="I470" s="46" t="s">
        <v>103</v>
      </c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s="2" customFormat="1" ht="40.5" customHeight="1">
      <c r="A471" s="42"/>
      <c r="B471" s="44"/>
      <c r="C471" s="44"/>
      <c r="D471" s="47" t="s">
        <v>235</v>
      </c>
      <c r="E471" s="44"/>
      <c r="F471" s="49"/>
      <c r="G471" s="45"/>
      <c r="H471" s="45"/>
      <c r="I471" s="46"/>
      <c r="J471" s="12"/>
      <c r="K471" s="153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s="2" customFormat="1" ht="13.5" customHeight="1">
      <c r="A472" s="42"/>
      <c r="B472" s="44"/>
      <c r="C472" s="44"/>
      <c r="D472" s="47" t="s">
        <v>228</v>
      </c>
      <c r="E472" s="44"/>
      <c r="F472" s="48">
        <v>2</v>
      </c>
      <c r="G472" s="45"/>
      <c r="H472" s="45"/>
      <c r="I472" s="46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s="2" customFormat="1" ht="13.5" customHeight="1">
      <c r="A473" s="42"/>
      <c r="B473" s="44"/>
      <c r="C473" s="44"/>
      <c r="D473" s="47" t="s">
        <v>253</v>
      </c>
      <c r="E473" s="44"/>
      <c r="F473" s="48">
        <v>2</v>
      </c>
      <c r="G473" s="45"/>
      <c r="H473" s="45"/>
      <c r="I473" s="46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s="2" customFormat="1" ht="13.5" customHeight="1">
      <c r="A474" s="42"/>
      <c r="B474" s="44"/>
      <c r="C474" s="44"/>
      <c r="D474" s="47" t="s">
        <v>288</v>
      </c>
      <c r="E474" s="44"/>
      <c r="F474" s="48">
        <v>2</v>
      </c>
      <c r="G474" s="45"/>
      <c r="H474" s="45"/>
      <c r="I474" s="46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s="2" customFormat="1" ht="13.5" customHeight="1">
      <c r="A475" s="42">
        <v>94</v>
      </c>
      <c r="B475" s="43" t="s">
        <v>136</v>
      </c>
      <c r="C475" s="44" t="s">
        <v>143</v>
      </c>
      <c r="D475" s="44" t="s">
        <v>144</v>
      </c>
      <c r="E475" s="44" t="s">
        <v>141</v>
      </c>
      <c r="F475" s="154">
        <f>F477+F478+F479+F480+F481</f>
        <v>26</v>
      </c>
      <c r="G475" s="45"/>
      <c r="H475" s="45">
        <f>F475*G475</f>
        <v>0</v>
      </c>
      <c r="I475" s="46" t="s">
        <v>103</v>
      </c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s="2" customFormat="1" ht="40.5" customHeight="1">
      <c r="A476" s="42"/>
      <c r="B476" s="44"/>
      <c r="C476" s="44"/>
      <c r="D476" s="47" t="s">
        <v>145</v>
      </c>
      <c r="E476" s="44"/>
      <c r="F476" s="49"/>
      <c r="G476" s="45"/>
      <c r="H476" s="45"/>
      <c r="I476" s="46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s="2" customFormat="1" ht="13.5" customHeight="1">
      <c r="A477" s="42"/>
      <c r="B477" s="44"/>
      <c r="C477" s="44"/>
      <c r="D477" s="47" t="s">
        <v>153</v>
      </c>
      <c r="E477" s="44"/>
      <c r="F477" s="48">
        <v>7</v>
      </c>
      <c r="G477" s="45"/>
      <c r="H477" s="45"/>
      <c r="I477" s="46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s="2" customFormat="1" ht="13.5" customHeight="1">
      <c r="A478" s="42"/>
      <c r="B478" s="44"/>
      <c r="C478" s="44"/>
      <c r="D478" s="47" t="s">
        <v>228</v>
      </c>
      <c r="E478" s="44"/>
      <c r="F478" s="48">
        <v>8</v>
      </c>
      <c r="G478" s="45"/>
      <c r="H478" s="45"/>
      <c r="I478" s="46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s="2" customFormat="1" ht="13.5" customHeight="1">
      <c r="A479" s="42"/>
      <c r="B479" s="44"/>
      <c r="C479" s="44"/>
      <c r="D479" s="47" t="s">
        <v>253</v>
      </c>
      <c r="E479" s="44"/>
      <c r="F479" s="48">
        <v>5</v>
      </c>
      <c r="G479" s="45"/>
      <c r="H479" s="45"/>
      <c r="I479" s="46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s="2" customFormat="1" ht="13.5" customHeight="1">
      <c r="A480" s="42"/>
      <c r="B480" s="44"/>
      <c r="C480" s="44"/>
      <c r="D480" s="47" t="s">
        <v>288</v>
      </c>
      <c r="E480" s="44"/>
      <c r="F480" s="48">
        <v>4</v>
      </c>
      <c r="G480" s="45"/>
      <c r="H480" s="45"/>
      <c r="I480" s="46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s="2" customFormat="1" ht="13.5" customHeight="1">
      <c r="A481" s="42"/>
      <c r="B481" s="44"/>
      <c r="C481" s="44"/>
      <c r="D481" s="47" t="s">
        <v>319</v>
      </c>
      <c r="E481" s="44"/>
      <c r="F481" s="48">
        <v>2</v>
      </c>
      <c r="G481" s="45"/>
      <c r="H481" s="45"/>
      <c r="I481" s="46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s="2" customFormat="1" ht="13.5" customHeight="1">
      <c r="A482" s="42">
        <v>95</v>
      </c>
      <c r="B482" s="43" t="s">
        <v>136</v>
      </c>
      <c r="C482" s="44" t="s">
        <v>227</v>
      </c>
      <c r="D482" s="44" t="s">
        <v>226</v>
      </c>
      <c r="E482" s="44" t="s">
        <v>141</v>
      </c>
      <c r="F482" s="154">
        <f>F484</f>
        <v>1</v>
      </c>
      <c r="G482" s="45"/>
      <c r="H482" s="45">
        <f>F482*G482</f>
        <v>0</v>
      </c>
      <c r="I482" s="46" t="s">
        <v>103</v>
      </c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s="2" customFormat="1" ht="40.5" customHeight="1">
      <c r="A483" s="42"/>
      <c r="B483" s="44"/>
      <c r="C483" s="44"/>
      <c r="D483" s="47" t="s">
        <v>229</v>
      </c>
      <c r="E483" s="44"/>
      <c r="F483" s="49"/>
      <c r="G483" s="45"/>
      <c r="H483" s="45"/>
      <c r="I483" s="46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s="2" customFormat="1" ht="13.5" customHeight="1">
      <c r="A484" s="42"/>
      <c r="B484" s="44"/>
      <c r="C484" s="44"/>
      <c r="D484" s="47" t="s">
        <v>153</v>
      </c>
      <c r="E484" s="44"/>
      <c r="F484" s="48">
        <v>1</v>
      </c>
      <c r="G484" s="45"/>
      <c r="H484" s="45"/>
      <c r="I484" s="46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s="2" customFormat="1" ht="13.5" customHeight="1">
      <c r="A485" s="42">
        <v>96</v>
      </c>
      <c r="B485" s="43" t="s">
        <v>136</v>
      </c>
      <c r="C485" s="44" t="s">
        <v>379</v>
      </c>
      <c r="D485" s="44" t="s">
        <v>234</v>
      </c>
      <c r="E485" s="44" t="s">
        <v>141</v>
      </c>
      <c r="F485" s="154">
        <f>F487+F488+F489</f>
        <v>3</v>
      </c>
      <c r="G485" s="45"/>
      <c r="H485" s="45">
        <f>F485*G485</f>
        <v>0</v>
      </c>
      <c r="I485" s="46" t="s">
        <v>103</v>
      </c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s="2" customFormat="1" ht="40.5" customHeight="1">
      <c r="A486" s="42"/>
      <c r="B486" s="44"/>
      <c r="C486" s="44"/>
      <c r="D486" s="47" t="s">
        <v>236</v>
      </c>
      <c r="E486" s="44"/>
      <c r="F486" s="49"/>
      <c r="G486" s="45"/>
      <c r="H486" s="45"/>
      <c r="I486" s="46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s="2" customFormat="1" ht="13.5" customHeight="1">
      <c r="A487" s="42"/>
      <c r="B487" s="44"/>
      <c r="C487" s="44"/>
      <c r="D487" s="47" t="s">
        <v>228</v>
      </c>
      <c r="E487" s="44"/>
      <c r="F487" s="48">
        <v>1</v>
      </c>
      <c r="G487" s="45"/>
      <c r="H487" s="45"/>
      <c r="I487" s="46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s="2" customFormat="1" ht="13.5" customHeight="1">
      <c r="A488" s="42"/>
      <c r="B488" s="44"/>
      <c r="C488" s="44"/>
      <c r="D488" s="47" t="s">
        <v>253</v>
      </c>
      <c r="E488" s="44"/>
      <c r="F488" s="48">
        <v>1</v>
      </c>
      <c r="G488" s="45"/>
      <c r="H488" s="45"/>
      <c r="I488" s="46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s="2" customFormat="1" ht="13.5" customHeight="1">
      <c r="A489" s="42"/>
      <c r="B489" s="44"/>
      <c r="C489" s="44"/>
      <c r="D489" s="47" t="s">
        <v>288</v>
      </c>
      <c r="E489" s="44"/>
      <c r="F489" s="48">
        <v>1</v>
      </c>
      <c r="G489" s="45"/>
      <c r="H489" s="45"/>
      <c r="I489" s="46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s="2" customFormat="1" ht="13.5" customHeight="1">
      <c r="A490" s="42">
        <v>97</v>
      </c>
      <c r="B490" s="43" t="s">
        <v>136</v>
      </c>
      <c r="C490" s="44" t="s">
        <v>230</v>
      </c>
      <c r="D490" s="44" t="s">
        <v>231</v>
      </c>
      <c r="E490" s="44" t="s">
        <v>141</v>
      </c>
      <c r="F490" s="154">
        <f>F492+F493</f>
        <v>8</v>
      </c>
      <c r="G490" s="45"/>
      <c r="H490" s="45">
        <f>F490*G490</f>
        <v>0</v>
      </c>
      <c r="I490" s="46" t="s">
        <v>103</v>
      </c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s="2" customFormat="1" ht="40.5" customHeight="1">
      <c r="A491" s="42"/>
      <c r="B491" s="44"/>
      <c r="C491" s="44"/>
      <c r="D491" s="47" t="s">
        <v>145</v>
      </c>
      <c r="E491" s="44"/>
      <c r="F491" s="49"/>
      <c r="G491" s="45"/>
      <c r="H491" s="45"/>
      <c r="I491" s="46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s="2" customFormat="1" ht="13.5" customHeight="1">
      <c r="A492" s="42"/>
      <c r="B492" s="44"/>
      <c r="C492" s="44"/>
      <c r="D492" s="47" t="s">
        <v>228</v>
      </c>
      <c r="E492" s="44"/>
      <c r="F492" s="48">
        <v>5</v>
      </c>
      <c r="G492" s="45"/>
      <c r="H492" s="45"/>
      <c r="I492" s="46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s="2" customFormat="1" ht="13.5" customHeight="1">
      <c r="A493" s="42"/>
      <c r="B493" s="44"/>
      <c r="C493" s="44"/>
      <c r="D493" s="47" t="s">
        <v>253</v>
      </c>
      <c r="E493" s="44"/>
      <c r="F493" s="48">
        <v>3</v>
      </c>
      <c r="G493" s="45"/>
      <c r="H493" s="45"/>
      <c r="I493" s="46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s="2" customFormat="1" ht="13.5" customHeight="1">
      <c r="A494" s="42">
        <v>98</v>
      </c>
      <c r="B494" s="43" t="s">
        <v>136</v>
      </c>
      <c r="C494" s="44" t="s">
        <v>146</v>
      </c>
      <c r="D494" s="44" t="s">
        <v>147</v>
      </c>
      <c r="E494" s="44" t="s">
        <v>141</v>
      </c>
      <c r="F494" s="154">
        <f>F496+F497+F498+F499</f>
        <v>4</v>
      </c>
      <c r="G494" s="45"/>
      <c r="H494" s="45">
        <f>F494*G494</f>
        <v>0</v>
      </c>
      <c r="I494" s="46" t="s">
        <v>103</v>
      </c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s="2" customFormat="1" ht="40.5" customHeight="1">
      <c r="A495" s="42"/>
      <c r="B495" s="44"/>
      <c r="C495" s="44"/>
      <c r="D495" s="47" t="s">
        <v>148</v>
      </c>
      <c r="E495" s="44"/>
      <c r="F495" s="49"/>
      <c r="G495" s="45"/>
      <c r="H495" s="45"/>
      <c r="I495" s="46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s="2" customFormat="1" ht="13.5" customHeight="1">
      <c r="A496" s="42"/>
      <c r="B496" s="44"/>
      <c r="C496" s="44"/>
      <c r="D496" s="47" t="s">
        <v>153</v>
      </c>
      <c r="E496" s="44"/>
      <c r="F496" s="48">
        <v>1</v>
      </c>
      <c r="G496" s="45"/>
      <c r="H496" s="45"/>
      <c r="I496" s="46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s="2" customFormat="1" ht="13.5" customHeight="1">
      <c r="A497" s="42"/>
      <c r="B497" s="44"/>
      <c r="C497" s="44"/>
      <c r="D497" s="47" t="s">
        <v>228</v>
      </c>
      <c r="E497" s="44"/>
      <c r="F497" s="48">
        <v>1</v>
      </c>
      <c r="G497" s="45"/>
      <c r="H497" s="45"/>
      <c r="I497" s="46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s="2" customFormat="1" ht="13.5" customHeight="1">
      <c r="A498" s="42"/>
      <c r="B498" s="44"/>
      <c r="C498" s="44"/>
      <c r="D498" s="47" t="s">
        <v>253</v>
      </c>
      <c r="E498" s="44"/>
      <c r="F498" s="48">
        <v>1</v>
      </c>
      <c r="G498" s="45"/>
      <c r="H498" s="45"/>
      <c r="I498" s="46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s="2" customFormat="1" ht="13.5" customHeight="1">
      <c r="A499" s="42"/>
      <c r="B499" s="44"/>
      <c r="C499" s="44"/>
      <c r="D499" s="47" t="s">
        <v>288</v>
      </c>
      <c r="E499" s="44"/>
      <c r="F499" s="48">
        <v>1</v>
      </c>
      <c r="G499" s="45"/>
      <c r="H499" s="45"/>
      <c r="I499" s="46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s="2" customFormat="1" ht="13.5" customHeight="1">
      <c r="A500" s="42">
        <v>99</v>
      </c>
      <c r="B500" s="43" t="s">
        <v>136</v>
      </c>
      <c r="C500" s="44" t="s">
        <v>149</v>
      </c>
      <c r="D500" s="44" t="s">
        <v>150</v>
      </c>
      <c r="E500" s="44" t="s">
        <v>151</v>
      </c>
      <c r="F500" s="154">
        <f>F501</f>
        <v>1</v>
      </c>
      <c r="G500" s="45"/>
      <c r="H500" s="45">
        <f>F500*G500</f>
        <v>0</v>
      </c>
      <c r="I500" s="46" t="s">
        <v>103</v>
      </c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s="2" customFormat="1" ht="38.25" customHeight="1">
      <c r="A501" s="42"/>
      <c r="B501" s="44"/>
      <c r="C501" s="44"/>
      <c r="D501" s="47" t="s">
        <v>634</v>
      </c>
      <c r="E501" s="44"/>
      <c r="F501" s="48">
        <v>1</v>
      </c>
      <c r="G501" s="45"/>
      <c r="H501" s="45"/>
      <c r="I501" s="46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s="2" customFormat="1" ht="40.5" customHeight="1">
      <c r="A502" s="51"/>
      <c r="B502" s="76"/>
      <c r="C502" s="52"/>
      <c r="D502" s="47" t="s">
        <v>109</v>
      </c>
      <c r="E502" s="47"/>
      <c r="F502" s="156"/>
      <c r="G502" s="69"/>
      <c r="H502" s="45"/>
      <c r="I502" s="49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s="2" customFormat="1" ht="13.5" customHeight="1">
      <c r="A503" s="42">
        <v>100</v>
      </c>
      <c r="B503" s="43" t="s">
        <v>125</v>
      </c>
      <c r="C503" s="44" t="s">
        <v>126</v>
      </c>
      <c r="D503" s="44" t="s">
        <v>127</v>
      </c>
      <c r="E503" s="44" t="s">
        <v>28</v>
      </c>
      <c r="F503" s="154">
        <f>F504</f>
        <v>20</v>
      </c>
      <c r="G503" s="45"/>
      <c r="H503" s="45">
        <f>F503*G503</f>
        <v>0</v>
      </c>
      <c r="I503" s="46" t="s">
        <v>68</v>
      </c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s="2" customFormat="1" ht="13.5" customHeight="1">
      <c r="A504" s="51"/>
      <c r="B504" s="52"/>
      <c r="C504" s="52"/>
      <c r="D504" s="47" t="s">
        <v>152</v>
      </c>
      <c r="E504" s="52"/>
      <c r="F504" s="48">
        <v>20</v>
      </c>
      <c r="G504" s="69"/>
      <c r="H504" s="45"/>
      <c r="I504" s="49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s="2" customFormat="1" ht="13.5" customHeight="1">
      <c r="A505" s="51"/>
      <c r="B505" s="52"/>
      <c r="C505" s="52"/>
      <c r="D505" s="47" t="s">
        <v>129</v>
      </c>
      <c r="E505" s="52"/>
      <c r="F505" s="48"/>
      <c r="G505" s="69"/>
      <c r="H505" s="45"/>
      <c r="I505" s="49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s="149" customFormat="1" ht="13.5" customHeight="1">
      <c r="A506" s="49"/>
      <c r="B506" s="44"/>
      <c r="C506" s="6">
        <v>741</v>
      </c>
      <c r="D506" s="6" t="s">
        <v>214</v>
      </c>
      <c r="E506" s="6"/>
      <c r="F506" s="7"/>
      <c r="G506" s="8"/>
      <c r="H506" s="8">
        <f>SUM(H507:H515)</f>
        <v>0</v>
      </c>
      <c r="I506" s="49"/>
      <c r="J506" s="147"/>
      <c r="K506" s="148"/>
      <c r="L506" s="148"/>
      <c r="M506" s="148"/>
      <c r="N506" s="148"/>
      <c r="O506" s="148"/>
      <c r="P506" s="148"/>
      <c r="Q506" s="148"/>
      <c r="R506" s="148"/>
      <c r="S506" s="148"/>
      <c r="T506" s="148"/>
      <c r="U506" s="148"/>
      <c r="V506" s="148"/>
      <c r="W506" s="148"/>
      <c r="X506" s="148"/>
      <c r="Y506" s="148"/>
      <c r="Z506" s="148"/>
    </row>
    <row r="507" spans="1:26" s="9" customFormat="1" ht="26.25" customHeight="1">
      <c r="A507" s="42">
        <v>101</v>
      </c>
      <c r="B507" s="43" t="s">
        <v>215</v>
      </c>
      <c r="C507" s="168" t="s">
        <v>216</v>
      </c>
      <c r="D507" s="44" t="s">
        <v>224</v>
      </c>
      <c r="E507" s="44" t="s">
        <v>151</v>
      </c>
      <c r="F507" s="169">
        <f>F508</f>
        <v>1</v>
      </c>
      <c r="G507" s="45"/>
      <c r="H507" s="45">
        <f>F507*G507</f>
        <v>0</v>
      </c>
      <c r="I507" s="46" t="s">
        <v>103</v>
      </c>
    </row>
    <row r="508" spans="1:26" s="2" customFormat="1" ht="25.5" customHeight="1">
      <c r="A508" s="42"/>
      <c r="B508" s="44"/>
      <c r="C508" s="44"/>
      <c r="D508" s="47" t="s">
        <v>225</v>
      </c>
      <c r="E508" s="44"/>
      <c r="F508" s="48">
        <v>1</v>
      </c>
      <c r="G508" s="170"/>
      <c r="H508" s="45"/>
      <c r="I508" s="49"/>
      <c r="J508" s="135"/>
      <c r="K508" s="135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s="2" customFormat="1" ht="13.5" customHeight="1">
      <c r="A509" s="42"/>
      <c r="B509" s="44"/>
      <c r="C509" s="44"/>
      <c r="D509" s="47" t="s">
        <v>217</v>
      </c>
      <c r="E509" s="44"/>
      <c r="F509" s="154"/>
      <c r="G509" s="170"/>
      <c r="H509" s="45"/>
      <c r="I509" s="49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s="2" customFormat="1" ht="36.75" customHeight="1">
      <c r="A510" s="51"/>
      <c r="B510" s="76"/>
      <c r="C510" s="52"/>
      <c r="D510" s="47" t="s">
        <v>109</v>
      </c>
      <c r="E510" s="47"/>
      <c r="F510" s="48"/>
      <c r="G510" s="45"/>
      <c r="H510" s="45"/>
      <c r="I510" s="49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s="9" customFormat="1" ht="26.25" customHeight="1">
      <c r="A511" s="42">
        <v>102</v>
      </c>
      <c r="B511" s="43" t="s">
        <v>215</v>
      </c>
      <c r="C511" s="168" t="s">
        <v>337</v>
      </c>
      <c r="D511" s="44" t="s">
        <v>375</v>
      </c>
      <c r="E511" s="44" t="s">
        <v>151</v>
      </c>
      <c r="F511" s="169">
        <f>F512</f>
        <v>1</v>
      </c>
      <c r="G511" s="45"/>
      <c r="H511" s="45">
        <f>F511*G511</f>
        <v>0</v>
      </c>
      <c r="I511" s="46" t="s">
        <v>103</v>
      </c>
    </row>
    <row r="512" spans="1:26" s="2" customFormat="1" ht="36.75" customHeight="1">
      <c r="A512" s="51"/>
      <c r="B512" s="76"/>
      <c r="C512" s="52"/>
      <c r="D512" s="47" t="s">
        <v>109</v>
      </c>
      <c r="E512" s="47"/>
      <c r="F512" s="48">
        <v>1</v>
      </c>
      <c r="G512" s="45"/>
      <c r="H512" s="45"/>
      <c r="I512" s="49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s="151" customFormat="1" ht="13.5" customHeight="1">
      <c r="A513" s="171">
        <v>103</v>
      </c>
      <c r="B513" s="172" t="s">
        <v>125</v>
      </c>
      <c r="C513" s="172" t="s">
        <v>218</v>
      </c>
      <c r="D513" s="172" t="s">
        <v>219</v>
      </c>
      <c r="E513" s="172" t="s">
        <v>28</v>
      </c>
      <c r="F513" s="173">
        <f>F514</f>
        <v>15</v>
      </c>
      <c r="G513" s="174"/>
      <c r="H513" s="174">
        <f>F513*G513</f>
        <v>0</v>
      </c>
      <c r="I513" s="46" t="s">
        <v>68</v>
      </c>
      <c r="J513" s="150"/>
      <c r="K513" s="150"/>
      <c r="L513" s="150"/>
      <c r="M513" s="150"/>
      <c r="N513" s="150"/>
      <c r="O513" s="150"/>
      <c r="P513" s="150"/>
      <c r="Q513" s="150"/>
      <c r="R513" s="150"/>
      <c r="S513" s="150"/>
      <c r="T513" s="150"/>
      <c r="U513" s="150"/>
      <c r="V513" s="150"/>
      <c r="W513" s="150"/>
      <c r="X513" s="150"/>
      <c r="Y513" s="150"/>
      <c r="Z513" s="150"/>
    </row>
    <row r="514" spans="1:26" s="151" customFormat="1" ht="13.5" customHeight="1">
      <c r="A514" s="175"/>
      <c r="B514" s="176"/>
      <c r="C514" s="176"/>
      <c r="D514" s="177" t="s">
        <v>220</v>
      </c>
      <c r="E514" s="176"/>
      <c r="F514" s="178">
        <v>15</v>
      </c>
      <c r="G514" s="179"/>
      <c r="H514" s="174"/>
      <c r="I514" s="180"/>
      <c r="J514" s="150"/>
      <c r="K514" s="150"/>
      <c r="L514" s="150"/>
      <c r="M514" s="150"/>
      <c r="N514" s="150"/>
      <c r="O514" s="150"/>
      <c r="P514" s="150"/>
      <c r="Q514" s="150"/>
      <c r="R514" s="150"/>
      <c r="S514" s="150"/>
      <c r="T514" s="150"/>
      <c r="U514" s="150"/>
      <c r="V514" s="150"/>
      <c r="W514" s="150"/>
      <c r="X514" s="150"/>
      <c r="Y514" s="150"/>
      <c r="Z514" s="150"/>
    </row>
    <row r="515" spans="1:26" s="151" customFormat="1" ht="13.5" customHeight="1">
      <c r="A515" s="175"/>
      <c r="B515" s="176"/>
      <c r="C515" s="176"/>
      <c r="D515" s="177" t="s">
        <v>206</v>
      </c>
      <c r="E515" s="176"/>
      <c r="F515" s="178"/>
      <c r="G515" s="179"/>
      <c r="H515" s="174"/>
      <c r="I515" s="180"/>
      <c r="J515" s="150"/>
      <c r="K515" s="150"/>
      <c r="L515" s="150"/>
      <c r="M515" s="150"/>
      <c r="N515" s="150"/>
      <c r="O515" s="150"/>
      <c r="P515" s="150"/>
      <c r="Q515" s="150"/>
      <c r="R515" s="150"/>
      <c r="S515" s="150"/>
      <c r="T515" s="150"/>
      <c r="U515" s="150"/>
      <c r="V515" s="150"/>
      <c r="W515" s="150"/>
      <c r="X515" s="150"/>
      <c r="Y515" s="150"/>
      <c r="Z515" s="150"/>
    </row>
    <row r="516" spans="1:26" s="2" customFormat="1" ht="13.5" customHeight="1">
      <c r="A516" s="157"/>
      <c r="B516" s="158"/>
      <c r="C516" s="6">
        <v>762</v>
      </c>
      <c r="D516" s="6" t="s">
        <v>60</v>
      </c>
      <c r="E516" s="6"/>
      <c r="F516" s="7"/>
      <c r="G516" s="8"/>
      <c r="H516" s="8">
        <f>SUM(H517:H527)</f>
        <v>0</v>
      </c>
      <c r="I516" s="159"/>
      <c r="J516" s="50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s="2" customFormat="1" ht="13.5" customHeight="1">
      <c r="A517" s="42">
        <v>104</v>
      </c>
      <c r="B517" s="43" t="s">
        <v>257</v>
      </c>
      <c r="C517" s="44">
        <v>762342812</v>
      </c>
      <c r="D517" s="44" t="s">
        <v>330</v>
      </c>
      <c r="E517" s="44" t="s">
        <v>21</v>
      </c>
      <c r="F517" s="154">
        <f>F518</f>
        <v>2512</v>
      </c>
      <c r="G517" s="45"/>
      <c r="H517" s="45">
        <f>F517*G517</f>
        <v>0</v>
      </c>
      <c r="I517" s="46" t="s">
        <v>68</v>
      </c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s="2" customFormat="1" ht="13.5" customHeight="1">
      <c r="A518" s="51"/>
      <c r="B518" s="52"/>
      <c r="C518" s="52"/>
      <c r="D518" s="47" t="s">
        <v>332</v>
      </c>
      <c r="E518" s="52"/>
      <c r="F518" s="48">
        <v>2512</v>
      </c>
      <c r="G518" s="69"/>
      <c r="H518" s="45"/>
      <c r="I518" s="49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s="2" customFormat="1" ht="13.5" customHeight="1">
      <c r="A519" s="42">
        <v>105</v>
      </c>
      <c r="B519" s="43" t="s">
        <v>257</v>
      </c>
      <c r="C519" s="44">
        <v>762522812</v>
      </c>
      <c r="D519" s="44" t="s">
        <v>289</v>
      </c>
      <c r="E519" s="44" t="s">
        <v>21</v>
      </c>
      <c r="F519" s="154">
        <f>F521+F522+F523+F524</f>
        <v>2964.0400000000004</v>
      </c>
      <c r="G519" s="45"/>
      <c r="H519" s="45">
        <f>F519*G519</f>
        <v>0</v>
      </c>
      <c r="I519" s="46" t="s">
        <v>68</v>
      </c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s="2" customFormat="1" ht="13.5" customHeight="1">
      <c r="A520" s="51"/>
      <c r="B520" s="52"/>
      <c r="C520" s="52"/>
      <c r="D520" s="47" t="s">
        <v>309</v>
      </c>
      <c r="E520" s="52"/>
      <c r="F520" s="48"/>
      <c r="G520" s="69"/>
      <c r="H520" s="45"/>
      <c r="I520" s="49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s="2" customFormat="1" ht="36" customHeight="1">
      <c r="A521" s="51"/>
      <c r="B521" s="52"/>
      <c r="C521" s="52"/>
      <c r="D521" s="47" t="s">
        <v>324</v>
      </c>
      <c r="E521" s="52"/>
      <c r="F521" s="48">
        <f>41.52+41.14+21.99+16.67+37.51+37.13+148.99+18.97+37.95+33.52+32.88+20.9+22.11+23.36+37.99+37.2+16.45+21.86+44.08+44.14+31.81+105.82</f>
        <v>873.99</v>
      </c>
      <c r="G521" s="69"/>
      <c r="H521" s="45"/>
      <c r="I521" s="49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s="2" customFormat="1" ht="38.25" customHeight="1">
      <c r="A522" s="51"/>
      <c r="B522" s="52"/>
      <c r="C522" s="52"/>
      <c r="D522" s="47" t="s">
        <v>274</v>
      </c>
      <c r="E522" s="52"/>
      <c r="F522" s="48">
        <f>42.36+21.94+16.74+36.28+104.98+105.75+40.28+23.38+21.99+33.67+32.82+22.13+23.38+38.69+37.71+22.24+41.86+49.62+120.99+109.13</f>
        <v>945.94000000000017</v>
      </c>
      <c r="G522" s="69"/>
      <c r="H522" s="45"/>
      <c r="I522" s="49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s="2" customFormat="1" ht="36" customHeight="1">
      <c r="A523" s="51"/>
      <c r="B523" s="52"/>
      <c r="C523" s="52"/>
      <c r="D523" s="47" t="s">
        <v>296</v>
      </c>
      <c r="E523" s="52"/>
      <c r="F523" s="48">
        <f>42.72+42.14+21.91+17.02+37.81+38.34+105.56+105.51+34.23+21.65+39.21+38.11+16.81+22.52+91.84+121.11+108.7</f>
        <v>905.18999999999994</v>
      </c>
      <c r="G523" s="69"/>
      <c r="H523" s="45"/>
      <c r="I523" s="49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s="2" customFormat="1" ht="13.5" customHeight="1">
      <c r="A524" s="51"/>
      <c r="B524" s="52"/>
      <c r="C524" s="52"/>
      <c r="D524" s="47" t="s">
        <v>320</v>
      </c>
      <c r="E524" s="52"/>
      <c r="F524" s="48">
        <f>22.02+18.85+33.77+18.51+21.53+33.51+36.99+53.74</f>
        <v>238.92000000000004</v>
      </c>
      <c r="G524" s="69"/>
      <c r="H524" s="45"/>
      <c r="I524" s="49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s="2" customFormat="1" ht="13.5" customHeight="1">
      <c r="A525" s="42">
        <v>105</v>
      </c>
      <c r="B525" s="44" t="s">
        <v>125</v>
      </c>
      <c r="C525" s="44" t="s">
        <v>126</v>
      </c>
      <c r="D525" s="44" t="s">
        <v>127</v>
      </c>
      <c r="E525" s="44" t="s">
        <v>28</v>
      </c>
      <c r="F525" s="154">
        <f>F526</f>
        <v>20</v>
      </c>
      <c r="G525" s="45"/>
      <c r="H525" s="45">
        <f>F525*G525</f>
        <v>0</v>
      </c>
      <c r="I525" s="46" t="s">
        <v>68</v>
      </c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s="2" customFormat="1" ht="13.5" customHeight="1">
      <c r="A526" s="51"/>
      <c r="B526" s="52"/>
      <c r="C526" s="52"/>
      <c r="D526" s="47" t="s">
        <v>258</v>
      </c>
      <c r="E526" s="52"/>
      <c r="F526" s="48">
        <v>20</v>
      </c>
      <c r="G526" s="69"/>
      <c r="H526" s="45"/>
      <c r="I526" s="49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s="2" customFormat="1" ht="13.5" customHeight="1">
      <c r="A527" s="51"/>
      <c r="B527" s="52"/>
      <c r="C527" s="52"/>
      <c r="D527" s="47" t="s">
        <v>185</v>
      </c>
      <c r="E527" s="52"/>
      <c r="F527" s="48"/>
      <c r="G527" s="69"/>
      <c r="H527" s="45"/>
      <c r="I527" s="49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s="2" customFormat="1" ht="13.5" customHeight="1">
      <c r="A528" s="157"/>
      <c r="B528" s="158"/>
      <c r="C528" s="6">
        <v>764</v>
      </c>
      <c r="D528" s="6" t="s">
        <v>61</v>
      </c>
      <c r="E528" s="6"/>
      <c r="F528" s="7"/>
      <c r="G528" s="8"/>
      <c r="H528" s="8">
        <f>SUM(H529:H567)</f>
        <v>0</v>
      </c>
      <c r="I528" s="159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s="2" customFormat="1" ht="13.5" customHeight="1">
      <c r="A529" s="42">
        <v>106</v>
      </c>
      <c r="B529" s="43" t="s">
        <v>339</v>
      </c>
      <c r="C529" s="44">
        <v>764001891</v>
      </c>
      <c r="D529" s="44" t="s">
        <v>348</v>
      </c>
      <c r="E529" s="44" t="s">
        <v>46</v>
      </c>
      <c r="F529" s="154">
        <f>F530</f>
        <v>41.2</v>
      </c>
      <c r="G529" s="45"/>
      <c r="H529" s="45">
        <f>F529*G529</f>
        <v>0</v>
      </c>
      <c r="I529" s="46" t="s">
        <v>68</v>
      </c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s="2" customFormat="1" ht="13.5" customHeight="1">
      <c r="A530" s="51"/>
      <c r="B530" s="52"/>
      <c r="C530" s="52"/>
      <c r="D530" s="47" t="s">
        <v>349</v>
      </c>
      <c r="E530" s="52"/>
      <c r="F530" s="48">
        <f>11.2+9.4+10.2+10.4</f>
        <v>41.2</v>
      </c>
      <c r="G530" s="69"/>
      <c r="H530" s="45"/>
      <c r="I530" s="49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s="2" customFormat="1" ht="13.5" customHeight="1">
      <c r="A531" s="42">
        <v>107</v>
      </c>
      <c r="B531" s="43" t="s">
        <v>339</v>
      </c>
      <c r="C531" s="44">
        <v>764002812</v>
      </c>
      <c r="D531" s="44" t="s">
        <v>340</v>
      </c>
      <c r="E531" s="44" t="s">
        <v>46</v>
      </c>
      <c r="F531" s="154">
        <f>F532</f>
        <v>306.2</v>
      </c>
      <c r="G531" s="45"/>
      <c r="H531" s="45">
        <f>F531*G531</f>
        <v>0</v>
      </c>
      <c r="I531" s="46" t="s">
        <v>68</v>
      </c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s="2" customFormat="1" ht="40.5" customHeight="1">
      <c r="A532" s="51"/>
      <c r="B532" s="52"/>
      <c r="C532" s="52"/>
      <c r="D532" s="47" t="s">
        <v>341</v>
      </c>
      <c r="E532" s="52"/>
      <c r="F532" s="48">
        <f>30.2+15.9+17.2+17.3+6.4+27.6+6.4+20.1+20.8+15.9+30+15.8+0.4+17.3+0.4+7.7+12.3+7.7+0.4+17.3+0.4+15.9+0.7*4</f>
        <v>306.2</v>
      </c>
      <c r="G532" s="69"/>
      <c r="H532" s="45"/>
      <c r="I532" s="49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s="2" customFormat="1" ht="13.5" customHeight="1">
      <c r="A533" s="42">
        <v>108</v>
      </c>
      <c r="B533" s="43" t="s">
        <v>339</v>
      </c>
      <c r="C533" s="44">
        <v>764002821</v>
      </c>
      <c r="D533" s="44" t="s">
        <v>413</v>
      </c>
      <c r="E533" s="44" t="s">
        <v>141</v>
      </c>
      <c r="F533" s="154">
        <f>F534</f>
        <v>12</v>
      </c>
      <c r="G533" s="45"/>
      <c r="H533" s="45">
        <f>F533*G533</f>
        <v>0</v>
      </c>
      <c r="I533" s="46" t="s">
        <v>68</v>
      </c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s="2" customFormat="1" ht="13.5" customHeight="1">
      <c r="A534" s="51"/>
      <c r="B534" s="52"/>
      <c r="C534" s="52"/>
      <c r="D534" s="47" t="s">
        <v>355</v>
      </c>
      <c r="E534" s="52"/>
      <c r="F534" s="48">
        <v>12</v>
      </c>
      <c r="G534" s="69"/>
      <c r="H534" s="45"/>
      <c r="I534" s="49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s="2" customFormat="1" ht="13.5" customHeight="1">
      <c r="A535" s="42">
        <v>109</v>
      </c>
      <c r="B535" s="43" t="s">
        <v>339</v>
      </c>
      <c r="C535" s="44">
        <v>764002841</v>
      </c>
      <c r="D535" s="44" t="s">
        <v>354</v>
      </c>
      <c r="E535" s="44" t="s">
        <v>46</v>
      </c>
      <c r="F535" s="154">
        <f>F536</f>
        <v>12.3</v>
      </c>
      <c r="G535" s="45"/>
      <c r="H535" s="45">
        <f>F535*G535</f>
        <v>0</v>
      </c>
      <c r="I535" s="46" t="s">
        <v>68</v>
      </c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s="2" customFormat="1" ht="13.5" customHeight="1">
      <c r="A536" s="51"/>
      <c r="B536" s="52"/>
      <c r="C536" s="52"/>
      <c r="D536" s="47" t="s">
        <v>355</v>
      </c>
      <c r="E536" s="52"/>
      <c r="F536" s="48">
        <v>12.3</v>
      </c>
      <c r="G536" s="69"/>
      <c r="H536" s="45"/>
      <c r="I536" s="49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s="2" customFormat="1" ht="13.5" customHeight="1">
      <c r="A537" s="42">
        <v>110</v>
      </c>
      <c r="B537" s="43" t="s">
        <v>339</v>
      </c>
      <c r="C537" s="44">
        <v>764002851</v>
      </c>
      <c r="D537" s="44" t="s">
        <v>358</v>
      </c>
      <c r="E537" s="44" t="s">
        <v>46</v>
      </c>
      <c r="F537" s="154">
        <f>SUM(F539:F543)</f>
        <v>381.53999999999996</v>
      </c>
      <c r="G537" s="45"/>
      <c r="H537" s="45">
        <f>F537*G537</f>
        <v>0</v>
      </c>
      <c r="I537" s="46" t="s">
        <v>68</v>
      </c>
      <c r="J537" s="50"/>
      <c r="K537" s="50"/>
      <c r="L537" s="50"/>
      <c r="M537" s="50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s="2" customFormat="1" ht="13.5" customHeight="1">
      <c r="A538" s="51"/>
      <c r="B538" s="52"/>
      <c r="C538" s="52"/>
      <c r="D538" s="47" t="s">
        <v>355</v>
      </c>
      <c r="E538" s="52"/>
      <c r="F538" s="48"/>
      <c r="G538" s="69"/>
      <c r="H538" s="45"/>
      <c r="I538" s="49"/>
      <c r="J538" s="50"/>
      <c r="K538" s="50"/>
      <c r="L538" s="50"/>
      <c r="M538" s="50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s="2" customFormat="1" ht="13.5" customHeight="1">
      <c r="A539" s="51"/>
      <c r="B539" s="52"/>
      <c r="C539" s="52"/>
      <c r="D539" s="47" t="s">
        <v>361</v>
      </c>
      <c r="E539" s="52"/>
      <c r="F539" s="48">
        <f>1.16*58+1.3*1+0.88*4</f>
        <v>72.099999999999994</v>
      </c>
      <c r="G539" s="69"/>
      <c r="H539" s="45"/>
      <c r="I539" s="49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s="2" customFormat="1" ht="13.5" customHeight="1">
      <c r="A540" s="51"/>
      <c r="B540" s="52"/>
      <c r="C540" s="52"/>
      <c r="D540" s="47" t="s">
        <v>362</v>
      </c>
      <c r="E540" s="52"/>
      <c r="F540" s="48">
        <f xml:space="preserve"> 1.19*76+1*4+0.97*2+1.19*2</f>
        <v>98.759999999999991</v>
      </c>
      <c r="G540" s="69"/>
      <c r="H540" s="45"/>
      <c r="I540" s="49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s="2" customFormat="1" ht="13.5" customHeight="1">
      <c r="A541" s="51"/>
      <c r="B541" s="52"/>
      <c r="C541" s="52"/>
      <c r="D541" s="47" t="s">
        <v>363</v>
      </c>
      <c r="E541" s="52"/>
      <c r="F541" s="48">
        <f>1.19*78+0.97*6</f>
        <v>98.639999999999986</v>
      </c>
      <c r="G541" s="69"/>
      <c r="H541" s="45"/>
      <c r="I541" s="49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s="2" customFormat="1" ht="13.5" customHeight="1">
      <c r="A542" s="51"/>
      <c r="B542" s="52"/>
      <c r="C542" s="52"/>
      <c r="D542" s="47" t="s">
        <v>364</v>
      </c>
      <c r="E542" s="52"/>
      <c r="F542" s="48">
        <f>1.19*76+0.97*4</f>
        <v>94.32</v>
      </c>
      <c r="G542" s="69"/>
      <c r="H542" s="45"/>
      <c r="I542" s="49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s="2" customFormat="1" ht="13.5" customHeight="1">
      <c r="A543" s="51"/>
      <c r="B543" s="52"/>
      <c r="C543" s="52"/>
      <c r="D543" s="47" t="s">
        <v>366</v>
      </c>
      <c r="E543" s="52"/>
      <c r="F543" s="48">
        <f>1.19*8+0.97*6+1.19*2</f>
        <v>17.72</v>
      </c>
      <c r="G543" s="69"/>
      <c r="H543" s="45"/>
      <c r="I543" s="49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s="2" customFormat="1" ht="13.5" customHeight="1">
      <c r="A544" s="42">
        <v>111</v>
      </c>
      <c r="B544" s="43" t="s">
        <v>339</v>
      </c>
      <c r="C544" s="44">
        <v>764002861</v>
      </c>
      <c r="D544" s="44" t="s">
        <v>360</v>
      </c>
      <c r="E544" s="44" t="s">
        <v>46</v>
      </c>
      <c r="F544" s="154">
        <f>SUM(F545:F554)</f>
        <v>1297.5999999999999</v>
      </c>
      <c r="G544" s="45"/>
      <c r="H544" s="45">
        <f>F544*G544</f>
        <v>0</v>
      </c>
      <c r="I544" s="46" t="s">
        <v>68</v>
      </c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s="2" customFormat="1" ht="13.5" customHeight="1">
      <c r="A545" s="51"/>
      <c r="B545" s="52"/>
      <c r="C545" s="52"/>
      <c r="D545" s="47" t="s">
        <v>371</v>
      </c>
      <c r="E545" s="52"/>
      <c r="F545" s="48"/>
      <c r="G545" s="69"/>
      <c r="H545" s="45"/>
      <c r="I545" s="49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s="2" customFormat="1" ht="13.5" customHeight="1">
      <c r="A546" s="5"/>
      <c r="B546" s="6"/>
      <c r="C546" s="6"/>
      <c r="D546" s="146" t="s">
        <v>370</v>
      </c>
      <c r="E546" s="6"/>
      <c r="F546" s="48">
        <f>(92.4+28.7+14.4+20.7+21.4+18.7+17.2+14.5+28.7)*3</f>
        <v>770.09999999999991</v>
      </c>
      <c r="G546" s="8"/>
      <c r="H546" s="8"/>
      <c r="I546" s="49"/>
      <c r="J546" s="12"/>
      <c r="K546" s="70"/>
      <c r="L546" s="73"/>
      <c r="M546" s="12"/>
    </row>
    <row r="547" spans="1:26" s="2" customFormat="1" ht="13.5" customHeight="1">
      <c r="A547" s="5"/>
      <c r="B547" s="6"/>
      <c r="C547" s="6"/>
      <c r="D547" s="146" t="s">
        <v>373</v>
      </c>
      <c r="E547" s="6"/>
      <c r="F547" s="48">
        <f>(6.4+26.1+6.4)*(3+1)</f>
        <v>155.6</v>
      </c>
      <c r="G547" s="8"/>
      <c r="H547" s="8"/>
      <c r="I547" s="49"/>
      <c r="J547" s="12"/>
      <c r="K547" s="70"/>
      <c r="L547" s="73"/>
      <c r="M547" s="12"/>
    </row>
    <row r="548" spans="1:26" s="2" customFormat="1" ht="13.5" customHeight="1">
      <c r="A548" s="51"/>
      <c r="B548" s="52"/>
      <c r="C548" s="52"/>
      <c r="D548" s="47" t="s">
        <v>372</v>
      </c>
      <c r="E548" s="52"/>
      <c r="F548" s="48"/>
      <c r="G548" s="69"/>
      <c r="H548" s="45"/>
      <c r="I548" s="49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s="2" customFormat="1" ht="13.5" customHeight="1">
      <c r="A549" s="5"/>
      <c r="B549" s="6"/>
      <c r="C549" s="6"/>
      <c r="D549" s="146" t="s">
        <v>374</v>
      </c>
      <c r="E549" s="6"/>
      <c r="F549" s="48">
        <f>(1.5+2.4)*24+2.2*6+3.8*3+2.6*3+3.5*3</f>
        <v>136.5</v>
      </c>
      <c r="G549" s="8"/>
      <c r="H549" s="8"/>
      <c r="I549" s="49"/>
      <c r="J549" s="12"/>
      <c r="K549" s="70"/>
      <c r="L549" s="73"/>
      <c r="M549" s="12"/>
    </row>
    <row r="550" spans="1:26" s="2" customFormat="1" ht="13.5" customHeight="1">
      <c r="A550" s="5"/>
      <c r="B550" s="6"/>
      <c r="C550" s="6"/>
      <c r="D550" s="146" t="s">
        <v>376</v>
      </c>
      <c r="E550" s="6"/>
      <c r="F550" s="48">
        <f>(1.5+2.4)*24+2.2*12+3.5*4</f>
        <v>134</v>
      </c>
      <c r="G550" s="8"/>
      <c r="H550" s="8"/>
      <c r="I550" s="49"/>
      <c r="J550" s="12"/>
      <c r="K550" s="70"/>
      <c r="L550" s="73"/>
      <c r="M550" s="12"/>
    </row>
    <row r="551" spans="1:26" s="2" customFormat="1" ht="13.5" customHeight="1">
      <c r="A551" s="5"/>
      <c r="B551" s="6"/>
      <c r="C551" s="6"/>
      <c r="D551" s="146" t="s">
        <v>377</v>
      </c>
      <c r="E551" s="6"/>
      <c r="F551" s="48">
        <f>(1.5+2.4)*8</f>
        <v>31.2</v>
      </c>
      <c r="G551" s="8"/>
      <c r="H551" s="8"/>
      <c r="I551" s="49"/>
      <c r="J551" s="12"/>
      <c r="K551" s="70"/>
      <c r="L551" s="73"/>
      <c r="M551" s="12"/>
    </row>
    <row r="552" spans="1:26" s="2" customFormat="1" ht="13.5" customHeight="1">
      <c r="A552" s="5"/>
      <c r="B552" s="6"/>
      <c r="C552" s="6"/>
      <c r="D552" s="146" t="s">
        <v>377</v>
      </c>
      <c r="E552" s="6"/>
      <c r="F552" s="48">
        <f>(1.5+2.4)*8</f>
        <v>31.2</v>
      </c>
      <c r="G552" s="8"/>
      <c r="H552" s="8"/>
      <c r="I552" s="49"/>
      <c r="J552" s="12"/>
      <c r="K552" s="70"/>
      <c r="L552" s="73"/>
      <c r="M552" s="12"/>
    </row>
    <row r="553" spans="1:26" s="2" customFormat="1" ht="13.5" customHeight="1">
      <c r="A553" s="5"/>
      <c r="B553" s="6"/>
      <c r="C553" s="6"/>
      <c r="D553" s="146" t="s">
        <v>378</v>
      </c>
      <c r="E553" s="6"/>
      <c r="F553" s="48">
        <f>(1.5+2.4)*5</f>
        <v>19.5</v>
      </c>
      <c r="G553" s="8"/>
      <c r="H553" s="8"/>
      <c r="I553" s="49"/>
      <c r="J553" s="12"/>
      <c r="K553" s="70"/>
      <c r="L553" s="73"/>
      <c r="M553" s="12"/>
    </row>
    <row r="554" spans="1:26" s="2" customFormat="1" ht="13.5" customHeight="1">
      <c r="A554" s="5"/>
      <c r="B554" s="6"/>
      <c r="C554" s="6"/>
      <c r="D554" s="146" t="s">
        <v>378</v>
      </c>
      <c r="E554" s="6"/>
      <c r="F554" s="48">
        <f>(1.5+2.4)*5</f>
        <v>19.5</v>
      </c>
      <c r="G554" s="8"/>
      <c r="H554" s="8"/>
      <c r="I554" s="49"/>
      <c r="J554" s="12"/>
      <c r="K554" s="70"/>
      <c r="L554" s="73"/>
      <c r="M554" s="12"/>
    </row>
    <row r="555" spans="1:26" s="2" customFormat="1" ht="13.5" customHeight="1">
      <c r="A555" s="42">
        <v>112</v>
      </c>
      <c r="B555" s="43" t="s">
        <v>339</v>
      </c>
      <c r="C555" s="44">
        <v>764002871</v>
      </c>
      <c r="D555" s="44" t="s">
        <v>352</v>
      </c>
      <c r="E555" s="44" t="s">
        <v>46</v>
      </c>
      <c r="F555" s="154">
        <f>F556</f>
        <v>29.6</v>
      </c>
      <c r="G555" s="45"/>
      <c r="H555" s="45">
        <f>F555*G555</f>
        <v>0</v>
      </c>
      <c r="I555" s="46" t="s">
        <v>68</v>
      </c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s="2" customFormat="1" ht="13.5" customHeight="1">
      <c r="A556" s="51"/>
      <c r="B556" s="52"/>
      <c r="C556" s="52"/>
      <c r="D556" s="47" t="s">
        <v>353</v>
      </c>
      <c r="E556" s="52"/>
      <c r="F556" s="48">
        <f>7.4*4</f>
        <v>29.6</v>
      </c>
      <c r="G556" s="69"/>
      <c r="H556" s="45"/>
      <c r="I556" s="49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s="2" customFormat="1" ht="13.5" customHeight="1">
      <c r="A557" s="42">
        <v>113</v>
      </c>
      <c r="B557" s="43" t="s">
        <v>339</v>
      </c>
      <c r="C557" s="44">
        <v>764002881</v>
      </c>
      <c r="D557" s="44" t="s">
        <v>345</v>
      </c>
      <c r="E557" s="44" t="s">
        <v>21</v>
      </c>
      <c r="F557" s="154">
        <f>F558</f>
        <v>60.600000000000016</v>
      </c>
      <c r="G557" s="45"/>
      <c r="H557" s="45">
        <f>F557*G557</f>
        <v>0</v>
      </c>
      <c r="I557" s="46" t="s">
        <v>68</v>
      </c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s="2" customFormat="1" ht="42.75" customHeight="1">
      <c r="A558" s="51"/>
      <c r="B558" s="52"/>
      <c r="C558" s="52"/>
      <c r="D558" s="47" t="s">
        <v>357</v>
      </c>
      <c r="E558" s="52"/>
      <c r="F558" s="48">
        <f>(2*12+3.1+5.2+3.1+3.4+3.9+4.6+5.5+11.5+5.5+4+3.9+3.7+3.8+4+3.7+4.1+3.7+4.9+3.7+4.3+2.5+5.5+5.8+2.5+3.5+3.1+3.4+3.4+5.1+3.1)*0.4</f>
        <v>60.600000000000016</v>
      </c>
      <c r="G558" s="69"/>
      <c r="H558" s="45"/>
      <c r="I558" s="49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s="2" customFormat="1" ht="29.25" customHeight="1">
      <c r="A559" s="42">
        <v>114</v>
      </c>
      <c r="B559" s="43" t="s">
        <v>339</v>
      </c>
      <c r="C559" s="44">
        <v>764003801</v>
      </c>
      <c r="D559" s="44" t="s">
        <v>346</v>
      </c>
      <c r="E559" s="44" t="s">
        <v>141</v>
      </c>
      <c r="F559" s="154">
        <f>F560</f>
        <v>11</v>
      </c>
      <c r="G559" s="45"/>
      <c r="H559" s="45">
        <f>F559*G559</f>
        <v>0</v>
      </c>
      <c r="I559" s="46" t="s">
        <v>68</v>
      </c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s="2" customFormat="1" ht="13.5" customHeight="1">
      <c r="A560" s="51"/>
      <c r="B560" s="52"/>
      <c r="C560" s="52"/>
      <c r="D560" s="47" t="s">
        <v>347</v>
      </c>
      <c r="E560" s="52"/>
      <c r="F560" s="48">
        <v>11</v>
      </c>
      <c r="G560" s="69"/>
      <c r="H560" s="45"/>
      <c r="I560" s="49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s="2" customFormat="1" ht="13.5" customHeight="1">
      <c r="A561" s="42">
        <v>115</v>
      </c>
      <c r="B561" s="43" t="s">
        <v>339</v>
      </c>
      <c r="C561" s="44">
        <v>764004821</v>
      </c>
      <c r="D561" s="44" t="s">
        <v>342</v>
      </c>
      <c r="E561" s="44" t="s">
        <v>46</v>
      </c>
      <c r="F561" s="154">
        <f>F562</f>
        <v>306.2</v>
      </c>
      <c r="G561" s="45"/>
      <c r="H561" s="45">
        <f>F561*G561</f>
        <v>0</v>
      </c>
      <c r="I561" s="46" t="s">
        <v>68</v>
      </c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s="2" customFormat="1" ht="40.5" customHeight="1">
      <c r="A562" s="51"/>
      <c r="B562" s="52"/>
      <c r="C562" s="52"/>
      <c r="D562" s="47" t="s">
        <v>341</v>
      </c>
      <c r="E562" s="52"/>
      <c r="F562" s="48">
        <f>30.2+15.9+17.2+17.3+6.4+27.6+6.4+20.1+20.8+15.9+30+15.8+0.4+17.3+0.4+7.7+12.3+7.7+0.4+17.3+0.4+15.9+0.7*4</f>
        <v>306.2</v>
      </c>
      <c r="G562" s="69"/>
      <c r="H562" s="45"/>
      <c r="I562" s="49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s="2" customFormat="1" ht="13.5" customHeight="1">
      <c r="A563" s="42">
        <v>116</v>
      </c>
      <c r="B563" s="43" t="s">
        <v>339</v>
      </c>
      <c r="C563" s="44">
        <v>764004861</v>
      </c>
      <c r="D563" s="44" t="s">
        <v>343</v>
      </c>
      <c r="E563" s="44" t="s">
        <v>46</v>
      </c>
      <c r="F563" s="154">
        <f>F564</f>
        <v>187</v>
      </c>
      <c r="G563" s="45"/>
      <c r="H563" s="45">
        <f>F563*G563</f>
        <v>0</v>
      </c>
      <c r="I563" s="46" t="s">
        <v>68</v>
      </c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s="2" customFormat="1" ht="13.5" customHeight="1">
      <c r="A564" s="51"/>
      <c r="B564" s="52"/>
      <c r="C564" s="52"/>
      <c r="D564" s="47" t="s">
        <v>344</v>
      </c>
      <c r="E564" s="52"/>
      <c r="F564" s="48">
        <f xml:space="preserve"> 17*11</f>
        <v>187</v>
      </c>
      <c r="G564" s="69"/>
      <c r="H564" s="45"/>
      <c r="I564" s="49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s="2" customFormat="1" ht="13.5" customHeight="1">
      <c r="A565" s="42">
        <v>117</v>
      </c>
      <c r="B565" s="44" t="s">
        <v>125</v>
      </c>
      <c r="C565" s="44" t="s">
        <v>126</v>
      </c>
      <c r="D565" s="44" t="s">
        <v>127</v>
      </c>
      <c r="E565" s="44" t="s">
        <v>28</v>
      </c>
      <c r="F565" s="154">
        <f>F566</f>
        <v>20</v>
      </c>
      <c r="G565" s="45"/>
      <c r="H565" s="45">
        <f>F565*G565</f>
        <v>0</v>
      </c>
      <c r="I565" s="46" t="s">
        <v>68</v>
      </c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s="2" customFormat="1" ht="13.5" customHeight="1">
      <c r="A566" s="51"/>
      <c r="B566" s="52"/>
      <c r="C566" s="52"/>
      <c r="D566" s="47" t="s">
        <v>338</v>
      </c>
      <c r="E566" s="52"/>
      <c r="F566" s="48">
        <v>20</v>
      </c>
      <c r="G566" s="69"/>
      <c r="H566" s="45"/>
      <c r="I566" s="49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s="2" customFormat="1" ht="13.5" customHeight="1">
      <c r="A567" s="51"/>
      <c r="B567" s="52"/>
      <c r="C567" s="52"/>
      <c r="D567" s="47" t="s">
        <v>185</v>
      </c>
      <c r="E567" s="52"/>
      <c r="F567" s="48"/>
      <c r="G567" s="69"/>
      <c r="H567" s="45"/>
      <c r="I567" s="49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s="2" customFormat="1" ht="13.5" customHeight="1">
      <c r="A568" s="157"/>
      <c r="B568" s="158"/>
      <c r="C568" s="6">
        <v>765</v>
      </c>
      <c r="D568" s="6" t="s">
        <v>62</v>
      </c>
      <c r="E568" s="6"/>
      <c r="F568" s="7"/>
      <c r="G568" s="8"/>
      <c r="H568" s="8">
        <f>SUM(H569:H573)</f>
        <v>0</v>
      </c>
      <c r="I568" s="159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s="2" customFormat="1" ht="13.5" customHeight="1">
      <c r="A569" s="42">
        <v>118</v>
      </c>
      <c r="B569" s="43" t="s">
        <v>327</v>
      </c>
      <c r="C569" s="44">
        <v>765111801</v>
      </c>
      <c r="D569" s="44" t="s">
        <v>328</v>
      </c>
      <c r="E569" s="44" t="s">
        <v>21</v>
      </c>
      <c r="F569" s="154">
        <f>F570</f>
        <v>2512</v>
      </c>
      <c r="G569" s="45"/>
      <c r="H569" s="45">
        <f>F569*G569</f>
        <v>0</v>
      </c>
      <c r="I569" s="46" t="s">
        <v>68</v>
      </c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s="2" customFormat="1" ht="13.5" customHeight="1">
      <c r="A570" s="51"/>
      <c r="B570" s="52"/>
      <c r="C570" s="52"/>
      <c r="D570" s="47" t="s">
        <v>331</v>
      </c>
      <c r="E570" s="52"/>
      <c r="F570" s="48">
        <v>2512</v>
      </c>
      <c r="G570" s="69"/>
      <c r="H570" s="45"/>
      <c r="I570" s="49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s="2" customFormat="1" ht="13.5" customHeight="1">
      <c r="A571" s="42">
        <v>119</v>
      </c>
      <c r="B571" s="44" t="s">
        <v>125</v>
      </c>
      <c r="C571" s="44" t="s">
        <v>126</v>
      </c>
      <c r="D571" s="44" t="s">
        <v>127</v>
      </c>
      <c r="E571" s="44" t="s">
        <v>28</v>
      </c>
      <c r="F571" s="154">
        <f>F572</f>
        <v>50</v>
      </c>
      <c r="G571" s="45"/>
      <c r="H571" s="45">
        <f>F571*G571</f>
        <v>0</v>
      </c>
      <c r="I571" s="46" t="s">
        <v>68</v>
      </c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s="2" customFormat="1" ht="13.5" customHeight="1">
      <c r="A572" s="51"/>
      <c r="B572" s="52"/>
      <c r="C572" s="52"/>
      <c r="D572" s="47" t="s">
        <v>329</v>
      </c>
      <c r="E572" s="52"/>
      <c r="F572" s="48">
        <v>50</v>
      </c>
      <c r="G572" s="69"/>
      <c r="H572" s="45"/>
      <c r="I572" s="49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s="2" customFormat="1" ht="13.5" customHeight="1">
      <c r="A573" s="51"/>
      <c r="B573" s="52"/>
      <c r="C573" s="52"/>
      <c r="D573" s="47" t="s">
        <v>185</v>
      </c>
      <c r="E573" s="52"/>
      <c r="F573" s="48"/>
      <c r="G573" s="69"/>
      <c r="H573" s="45"/>
      <c r="I573" s="49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s="2" customFormat="1" ht="13.5" customHeight="1">
      <c r="A574" s="157"/>
      <c r="B574" s="158"/>
      <c r="C574" s="6">
        <v>767</v>
      </c>
      <c r="D574" s="6" t="s">
        <v>182</v>
      </c>
      <c r="E574" s="6"/>
      <c r="F574" s="7"/>
      <c r="G574" s="8"/>
      <c r="H574" s="8">
        <f>SUM(H575:H584)</f>
        <v>0</v>
      </c>
      <c r="I574" s="159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s="2" customFormat="1" ht="13.5" customHeight="1">
      <c r="A575" s="42">
        <v>120</v>
      </c>
      <c r="B575" s="43" t="s">
        <v>183</v>
      </c>
      <c r="C575" s="44">
        <v>767661811</v>
      </c>
      <c r="D575" s="44" t="s">
        <v>186</v>
      </c>
      <c r="E575" s="44" t="s">
        <v>21</v>
      </c>
      <c r="F575" s="154">
        <f>SUM(F577:F578)</f>
        <v>322.77259999999995</v>
      </c>
      <c r="G575" s="45"/>
      <c r="H575" s="45">
        <f>F575*G575</f>
        <v>0</v>
      </c>
      <c r="I575" s="46" t="s">
        <v>68</v>
      </c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s="2" customFormat="1" ht="13.5" customHeight="1">
      <c r="A576" s="51"/>
      <c r="B576" s="52"/>
      <c r="C576" s="52"/>
      <c r="D576" s="47" t="s">
        <v>273</v>
      </c>
      <c r="E576" s="52"/>
      <c r="F576" s="48"/>
      <c r="G576" s="69"/>
      <c r="H576" s="45"/>
      <c r="I576" s="49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s="2" customFormat="1" ht="24" customHeight="1">
      <c r="A577" s="51"/>
      <c r="B577" s="52"/>
      <c r="C577" s="52"/>
      <c r="D577" s="47" t="s">
        <v>188</v>
      </c>
      <c r="E577" s="52"/>
      <c r="F577" s="48">
        <f>1.16*1.31*47+1.16*1.3*4+0.88*1.31*4+1.16*1.12*3+1.16*1.27*2+1.16*1.12*2+1.3*2.93</f>
        <v>95.315799999999982</v>
      </c>
      <c r="G577" s="69"/>
      <c r="H577" s="45"/>
      <c r="I577" s="49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s="2" customFormat="1" ht="13.5" customHeight="1">
      <c r="A578" s="51"/>
      <c r="B578" s="52"/>
      <c r="C578" s="52"/>
      <c r="D578" s="47" t="s">
        <v>189</v>
      </c>
      <c r="E578" s="52"/>
      <c r="F578" s="48">
        <f>1.19*2.36*76+1*2.36*4+0.97*2.36*2</f>
        <v>227.45679999999996</v>
      </c>
      <c r="G578" s="69"/>
      <c r="H578" s="45"/>
      <c r="I578" s="49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s="2" customFormat="1" ht="13.5" customHeight="1">
      <c r="A579" s="42">
        <v>121</v>
      </c>
      <c r="B579" s="43" t="s">
        <v>183</v>
      </c>
      <c r="C579" s="44">
        <v>767851803</v>
      </c>
      <c r="D579" s="44" t="s">
        <v>350</v>
      </c>
      <c r="E579" s="44" t="s">
        <v>46</v>
      </c>
      <c r="F579" s="154">
        <f>SUM(F581:F581)</f>
        <v>152.69999999999993</v>
      </c>
      <c r="G579" s="45"/>
      <c r="H579" s="45">
        <f>F579*G579</f>
        <v>0</v>
      </c>
      <c r="I579" s="46" t="s">
        <v>68</v>
      </c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s="2" customFormat="1" ht="13.5" customHeight="1">
      <c r="A580" s="51"/>
      <c r="B580" s="52"/>
      <c r="C580" s="52"/>
      <c r="D580" s="47" t="s">
        <v>351</v>
      </c>
      <c r="E580" s="52"/>
      <c r="F580" s="48"/>
      <c r="G580" s="69"/>
      <c r="H580" s="45"/>
      <c r="I580" s="49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s="2" customFormat="1" ht="36" customHeight="1">
      <c r="A581" s="51"/>
      <c r="B581" s="52"/>
      <c r="C581" s="52"/>
      <c r="D581" s="47" t="s">
        <v>356</v>
      </c>
      <c r="E581" s="52"/>
      <c r="F581" s="48">
        <f>14.3+2.1+24.1+11.7+8.2+11.7+25.7+2.3+16.1+3.3+3.8+1.3+3.9+3.7+1.7+1.7+0.8+1.2+4.4+2.3+1.7+1.2+1.1+1.6+0.6+2.2</f>
        <v>152.69999999999993</v>
      </c>
      <c r="G581" s="69"/>
      <c r="H581" s="45"/>
      <c r="I581" s="49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s="2" customFormat="1" ht="13.5" customHeight="1">
      <c r="A582" s="42">
        <v>122</v>
      </c>
      <c r="B582" s="44" t="s">
        <v>125</v>
      </c>
      <c r="C582" s="44" t="s">
        <v>126</v>
      </c>
      <c r="D582" s="44" t="s">
        <v>127</v>
      </c>
      <c r="E582" s="44" t="s">
        <v>28</v>
      </c>
      <c r="F582" s="154">
        <f>F583</f>
        <v>10</v>
      </c>
      <c r="G582" s="45"/>
      <c r="H582" s="45">
        <f>F582*G582</f>
        <v>0</v>
      </c>
      <c r="I582" s="46" t="s">
        <v>68</v>
      </c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s="2" customFormat="1" ht="13.5" customHeight="1">
      <c r="A583" s="51"/>
      <c r="B583" s="52"/>
      <c r="C583" s="52"/>
      <c r="D583" s="47" t="s">
        <v>184</v>
      </c>
      <c r="E583" s="52"/>
      <c r="F583" s="48">
        <v>10</v>
      </c>
      <c r="G583" s="69"/>
      <c r="H583" s="45"/>
      <c r="I583" s="49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s="2" customFormat="1" ht="13.5" customHeight="1">
      <c r="A584" s="51"/>
      <c r="B584" s="52"/>
      <c r="C584" s="52"/>
      <c r="D584" s="47" t="s">
        <v>185</v>
      </c>
      <c r="E584" s="52"/>
      <c r="F584" s="48"/>
      <c r="G584" s="69"/>
      <c r="H584" s="45"/>
      <c r="I584" s="49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s="2" customFormat="1" ht="13.5" customHeight="1">
      <c r="A585" s="157"/>
      <c r="B585" s="158"/>
      <c r="C585" s="6">
        <v>775</v>
      </c>
      <c r="D585" s="6" t="s">
        <v>245</v>
      </c>
      <c r="E585" s="6"/>
      <c r="F585" s="7"/>
      <c r="G585" s="8"/>
      <c r="H585" s="8">
        <f>SUM(H586:H594)</f>
        <v>0</v>
      </c>
      <c r="I585" s="159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s="2" customFormat="1" ht="13.5" customHeight="1">
      <c r="A586" s="42">
        <v>123</v>
      </c>
      <c r="B586" s="43" t="s">
        <v>246</v>
      </c>
      <c r="C586" s="44">
        <v>775511830</v>
      </c>
      <c r="D586" s="44" t="s">
        <v>248</v>
      </c>
      <c r="E586" s="44" t="s">
        <v>21</v>
      </c>
      <c r="F586" s="154">
        <f>SUM(F588:F591)</f>
        <v>2964.0400000000004</v>
      </c>
      <c r="G586" s="45"/>
      <c r="H586" s="45">
        <f>F586*G586</f>
        <v>0</v>
      </c>
      <c r="I586" s="46" t="s">
        <v>68</v>
      </c>
      <c r="J586" s="50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s="2" customFormat="1" ht="13.5" customHeight="1">
      <c r="A587" s="51"/>
      <c r="B587" s="52"/>
      <c r="C587" s="52"/>
      <c r="D587" s="47" t="s">
        <v>249</v>
      </c>
      <c r="E587" s="52"/>
      <c r="F587" s="48"/>
      <c r="G587" s="69"/>
      <c r="H587" s="45"/>
      <c r="I587" s="49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s="2" customFormat="1" ht="37.5" customHeight="1">
      <c r="A588" s="51"/>
      <c r="B588" s="52"/>
      <c r="C588" s="52"/>
      <c r="D588" s="47" t="s">
        <v>503</v>
      </c>
      <c r="E588" s="52"/>
      <c r="F588" s="48">
        <f>41.52+41.14+21.99+16.67+37.51+37.13+148.99+18.97+37.95+33.52+32.88+20.9+22.11+23.36+37.99+37.2+16.45+21.86+44.08+44.14+31.81+105.82</f>
        <v>873.99</v>
      </c>
      <c r="G588" s="69"/>
      <c r="H588" s="45"/>
      <c r="I588" s="49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s="2" customFormat="1" ht="39.75" customHeight="1">
      <c r="A589" s="51"/>
      <c r="B589" s="52"/>
      <c r="C589" s="52"/>
      <c r="D589" s="47" t="s">
        <v>274</v>
      </c>
      <c r="E589" s="52"/>
      <c r="F589" s="48">
        <f>42.36+21.94+16.74+36.28+104.98+105.75+40.28+23.38+21.99+33.67+32.82+22.13+23.38+38.69+37.71+22.24+41.86+49.62+120.99+109.13</f>
        <v>945.94000000000017</v>
      </c>
      <c r="G589" s="69"/>
      <c r="H589" s="45"/>
      <c r="I589" s="49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s="2" customFormat="1" ht="39.75" customHeight="1">
      <c r="A590" s="51"/>
      <c r="B590" s="52"/>
      <c r="C590" s="52"/>
      <c r="D590" s="47" t="s">
        <v>296</v>
      </c>
      <c r="E590" s="52"/>
      <c r="F590" s="48">
        <f>42.72+42.14+21.91+17.02+37.81+38.34+105.56+105.51+34.23+21.65+39.21+38.11+16.81+22.52+91.84+121.11+108.7</f>
        <v>905.18999999999994</v>
      </c>
      <c r="G590" s="69"/>
      <c r="H590" s="45"/>
      <c r="I590" s="49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s="2" customFormat="1" ht="13.5" customHeight="1">
      <c r="A591" s="51"/>
      <c r="B591" s="52"/>
      <c r="C591" s="52"/>
      <c r="D591" s="47" t="s">
        <v>320</v>
      </c>
      <c r="E591" s="52"/>
      <c r="F591" s="48">
        <f>22.02+18.85+33.77+18.51+21.53+33.51+36.99+53.74</f>
        <v>238.92000000000004</v>
      </c>
      <c r="G591" s="69"/>
      <c r="H591" s="45"/>
      <c r="I591" s="49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s="2" customFormat="1" ht="13.5" customHeight="1">
      <c r="A592" s="42">
        <v>124</v>
      </c>
      <c r="B592" s="44" t="s">
        <v>125</v>
      </c>
      <c r="C592" s="44" t="s">
        <v>126</v>
      </c>
      <c r="D592" s="44" t="s">
        <v>127</v>
      </c>
      <c r="E592" s="44" t="s">
        <v>28</v>
      </c>
      <c r="F592" s="154">
        <f>F593</f>
        <v>30</v>
      </c>
      <c r="G592" s="45"/>
      <c r="H592" s="45">
        <f>F592*G592</f>
        <v>0</v>
      </c>
      <c r="I592" s="46" t="s">
        <v>68</v>
      </c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s="2" customFormat="1" ht="13.5" customHeight="1">
      <c r="A593" s="51"/>
      <c r="B593" s="52"/>
      <c r="C593" s="52"/>
      <c r="D593" s="47" t="s">
        <v>247</v>
      </c>
      <c r="E593" s="52"/>
      <c r="F593" s="48">
        <v>30</v>
      </c>
      <c r="G593" s="69"/>
      <c r="H593" s="45"/>
      <c r="I593" s="49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s="2" customFormat="1" ht="13.5" customHeight="1">
      <c r="A594" s="51"/>
      <c r="B594" s="52"/>
      <c r="C594" s="52"/>
      <c r="D594" s="47" t="s">
        <v>185</v>
      </c>
      <c r="E594" s="52"/>
      <c r="F594" s="48"/>
      <c r="G594" s="69"/>
      <c r="H594" s="45"/>
      <c r="I594" s="49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s="2" customFormat="1" ht="13.5" customHeight="1">
      <c r="A595" s="5"/>
      <c r="B595" s="6"/>
      <c r="C595" s="6">
        <v>776</v>
      </c>
      <c r="D595" s="6" t="s">
        <v>56</v>
      </c>
      <c r="E595" s="6"/>
      <c r="F595" s="7"/>
      <c r="G595" s="8"/>
      <c r="H595" s="8">
        <f>SUM(H596:H612)</f>
        <v>0</v>
      </c>
      <c r="I595" s="49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s="2" customFormat="1" ht="13.5" customHeight="1">
      <c r="A596" s="42">
        <v>125</v>
      </c>
      <c r="B596" s="43" t="s">
        <v>122</v>
      </c>
      <c r="C596" s="44">
        <v>776201812</v>
      </c>
      <c r="D596" s="44" t="s">
        <v>123</v>
      </c>
      <c r="E596" s="44" t="s">
        <v>21</v>
      </c>
      <c r="F596" s="154">
        <f>SUM(F598:F602)</f>
        <v>1548.94</v>
      </c>
      <c r="G596" s="45"/>
      <c r="H596" s="45">
        <f>F596*G596</f>
        <v>0</v>
      </c>
      <c r="I596" s="46" t="s">
        <v>68</v>
      </c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s="2" customFormat="1" ht="13.5" customHeight="1">
      <c r="A597" s="42"/>
      <c r="B597" s="43"/>
      <c r="C597" s="44"/>
      <c r="D597" s="47" t="s">
        <v>124</v>
      </c>
      <c r="E597" s="44"/>
      <c r="F597" s="48"/>
      <c r="G597" s="45"/>
      <c r="H597" s="45"/>
      <c r="I597" s="11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s="2" customFormat="1" ht="13.5" customHeight="1">
      <c r="A598" s="42"/>
      <c r="B598" s="43"/>
      <c r="C598" s="44"/>
      <c r="D598" s="47" t="s">
        <v>519</v>
      </c>
      <c r="E598" s="44"/>
      <c r="F598" s="48">
        <f>65.84+7.97</f>
        <v>73.81</v>
      </c>
      <c r="G598" s="45"/>
      <c r="H598" s="45"/>
      <c r="I598" s="11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s="2" customFormat="1" ht="39.75" customHeight="1">
      <c r="A599" s="42"/>
      <c r="B599" s="43"/>
      <c r="C599" s="44"/>
      <c r="D599" s="47" t="s">
        <v>504</v>
      </c>
      <c r="E599" s="44"/>
      <c r="F599" s="48">
        <f>41.52+41.14+21.99+16.67+37.51+37.13+148.99+18.97+37.95+23.6+21.58+33.52+32.88+20.89+22.11+23.36+37.99+37.2+16.45+21.86+44.08+44.14+43.5+41.86+31.81+105.82</f>
        <v>1004.52</v>
      </c>
      <c r="G599" s="45"/>
      <c r="H599" s="45"/>
      <c r="I599" s="11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s="2" customFormat="1" ht="13.5" customHeight="1">
      <c r="A600" s="42"/>
      <c r="B600" s="43"/>
      <c r="C600" s="44"/>
      <c r="D600" s="47" t="s">
        <v>275</v>
      </c>
      <c r="E600" s="44"/>
      <c r="F600" s="48">
        <f>42.51+16.75</f>
        <v>59.26</v>
      </c>
      <c r="G600" s="45"/>
      <c r="H600" s="45"/>
      <c r="I600" s="11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s="2" customFormat="1" ht="13.5" customHeight="1">
      <c r="A601" s="42"/>
      <c r="B601" s="43"/>
      <c r="C601" s="44"/>
      <c r="D601" s="47" t="s">
        <v>297</v>
      </c>
      <c r="E601" s="44"/>
      <c r="F601" s="48">
        <f>21.92+32.98</f>
        <v>54.9</v>
      </c>
      <c r="G601" s="45"/>
      <c r="H601" s="45"/>
      <c r="I601" s="11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s="2" customFormat="1" ht="13.5" customHeight="1">
      <c r="A602" s="42"/>
      <c r="B602" s="43"/>
      <c r="C602" s="44"/>
      <c r="D602" s="47" t="s">
        <v>321</v>
      </c>
      <c r="E602" s="44"/>
      <c r="F602" s="48">
        <f>22.19+22.02+18.85+33.77+18.51+21.53+22.16+73.18+33.51+36.99+53.74</f>
        <v>356.45000000000005</v>
      </c>
      <c r="G602" s="45"/>
      <c r="H602" s="45"/>
      <c r="I602" s="11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s="2" customFormat="1" ht="13.5" customHeight="1">
      <c r="A603" s="42">
        <v>126</v>
      </c>
      <c r="B603" s="43" t="s">
        <v>122</v>
      </c>
      <c r="C603" s="44">
        <v>776410811</v>
      </c>
      <c r="D603" s="44" t="s">
        <v>130</v>
      </c>
      <c r="E603" s="44" t="s">
        <v>46</v>
      </c>
      <c r="F603" s="154">
        <f>F605+F606+F607+F608+F609</f>
        <v>911.00000000000023</v>
      </c>
      <c r="G603" s="45"/>
      <c r="H603" s="45">
        <f>F603*G603</f>
        <v>0</v>
      </c>
      <c r="I603" s="46" t="s">
        <v>68</v>
      </c>
      <c r="J603" s="138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s="2" customFormat="1" ht="13.5" customHeight="1">
      <c r="A604" s="42"/>
      <c r="B604" s="43"/>
      <c r="C604" s="44"/>
      <c r="D604" s="47" t="s">
        <v>131</v>
      </c>
      <c r="E604" s="44"/>
      <c r="F604" s="48"/>
      <c r="G604" s="45"/>
      <c r="H604" s="45"/>
      <c r="I604" s="11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s="2" customFormat="1" ht="13.5" customHeight="1">
      <c r="A605" s="42"/>
      <c r="B605" s="43"/>
      <c r="C605" s="44"/>
      <c r="D605" s="47" t="s">
        <v>132</v>
      </c>
      <c r="E605" s="44"/>
      <c r="F605" s="48">
        <f>6.57*2+9.95*2+3.12*2+2.4*2</f>
        <v>44.08</v>
      </c>
      <c r="G605" s="45"/>
      <c r="H605" s="45"/>
      <c r="I605" s="11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s="2" customFormat="1" ht="58.5" customHeight="1">
      <c r="A606" s="42"/>
      <c r="B606" s="43"/>
      <c r="C606" s="44"/>
      <c r="D606" s="47" t="s">
        <v>244</v>
      </c>
      <c r="E606" s="44"/>
      <c r="F606" s="48">
        <f>6.1*2+10.5*2+6.1*2+5.9*2+2.9*2+6.1*2+6.1*2+13.5*2+6.2+6.5*2+6.4*2+6.2+6.2*2+3.4*2+6.2*2+2.5*2+6.2*2+5.8*2+6.2*2+5.9*2+6.5*2+3.5*2+6.5*2+3.2*2+6.6*2+4.9*2+6.6*2+4.8*2+6.5*2+3.2*2+6.5*2+3.4*2+6.2+6*2+5.8*2+6.2+2.5*2+6.2+3.4*2+6.2+6.1+7*2+6.3+6.1+7.7+19.8+16.4+13.3+12.9</f>
        <v>524.60000000000014</v>
      </c>
      <c r="G606" s="45"/>
      <c r="H606" s="45"/>
      <c r="I606" s="11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s="2" customFormat="1" ht="13.5" customHeight="1">
      <c r="A607" s="42"/>
      <c r="B607" s="43"/>
      <c r="C607" s="44"/>
      <c r="D607" s="47" t="s">
        <v>276</v>
      </c>
      <c r="E607" s="44"/>
      <c r="F607" s="48">
        <f>6.4*2+6.5*2+6.4*2+2.5*2</f>
        <v>43.6</v>
      </c>
      <c r="G607" s="45"/>
      <c r="H607" s="45"/>
      <c r="I607" s="11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s="2" customFormat="1" ht="13.5" customHeight="1">
      <c r="A608" s="42"/>
      <c r="B608" s="43"/>
      <c r="C608" s="44"/>
      <c r="D608" s="47" t="s">
        <v>298</v>
      </c>
      <c r="E608" s="44"/>
      <c r="F608" s="48">
        <f>6.7*2+3.2*2+4.7*2+6.8*2</f>
        <v>42.800000000000004</v>
      </c>
      <c r="G608" s="45"/>
      <c r="H608" s="45"/>
      <c r="I608" s="11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s="2" customFormat="1" ht="36" customHeight="1">
      <c r="A609" s="42"/>
      <c r="B609" s="43"/>
      <c r="C609" s="44"/>
      <c r="D609" s="47" t="s">
        <v>322</v>
      </c>
      <c r="E609" s="44"/>
      <c r="F609" s="48">
        <f>2.96*2+24.8*2+5.4*2+6+6.1*2+6*2+9.2*2+6*2+3.4*2+6.9+3.2*2+6.7+2.8*2+6.8*2+4.9*2+6.8*2+2.7*2+6.8*2+3.2*2+6.8*2+3.5*2+6.8*2</f>
        <v>255.92000000000002</v>
      </c>
      <c r="G609" s="45"/>
      <c r="H609" s="45"/>
      <c r="I609" s="11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s="2" customFormat="1" ht="13.5" customHeight="1">
      <c r="A610" s="42">
        <v>127</v>
      </c>
      <c r="B610" s="44" t="s">
        <v>125</v>
      </c>
      <c r="C610" s="44" t="s">
        <v>126</v>
      </c>
      <c r="D610" s="44" t="s">
        <v>127</v>
      </c>
      <c r="E610" s="44" t="s">
        <v>28</v>
      </c>
      <c r="F610" s="154">
        <f>F611</f>
        <v>30</v>
      </c>
      <c r="G610" s="45"/>
      <c r="H610" s="45">
        <f>F610*G610</f>
        <v>0</v>
      </c>
      <c r="I610" s="46" t="s">
        <v>68</v>
      </c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s="2" customFormat="1" ht="13.5" customHeight="1">
      <c r="A611" s="51"/>
      <c r="B611" s="52"/>
      <c r="C611" s="52"/>
      <c r="D611" s="47" t="s">
        <v>128</v>
      </c>
      <c r="E611" s="52"/>
      <c r="F611" s="48">
        <v>30</v>
      </c>
      <c r="G611" s="69"/>
      <c r="H611" s="45"/>
      <c r="I611" s="49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s="2" customFormat="1" ht="13.5" customHeight="1">
      <c r="A612" s="51"/>
      <c r="B612" s="52"/>
      <c r="C612" s="52"/>
      <c r="D612" s="47" t="s">
        <v>129</v>
      </c>
      <c r="E612" s="52"/>
      <c r="F612" s="48"/>
      <c r="G612" s="69"/>
      <c r="H612" s="45"/>
      <c r="I612" s="49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s="2" customFormat="1" ht="21.75" customHeight="1">
      <c r="A613" s="5"/>
      <c r="B613" s="167"/>
      <c r="C613" s="6" t="s">
        <v>543</v>
      </c>
      <c r="D613" s="6" t="s">
        <v>544</v>
      </c>
      <c r="E613" s="6"/>
      <c r="F613" s="7"/>
      <c r="G613" s="8"/>
      <c r="H613" s="8">
        <f>H614</f>
        <v>0</v>
      </c>
      <c r="I613" s="49"/>
    </row>
    <row r="614" spans="1:26" s="2" customFormat="1" ht="13.5" customHeight="1">
      <c r="A614" s="5"/>
      <c r="B614" s="6"/>
      <c r="C614" s="6" t="s">
        <v>545</v>
      </c>
      <c r="D614" s="6" t="s">
        <v>546</v>
      </c>
      <c r="E614" s="6"/>
      <c r="F614" s="7"/>
      <c r="G614" s="8"/>
      <c r="H614" s="8">
        <f>SUM(H615:H621)</f>
        <v>0</v>
      </c>
      <c r="I614" s="49"/>
    </row>
    <row r="615" spans="1:26" s="2" customFormat="1" ht="13.5" customHeight="1">
      <c r="A615" s="42">
        <v>128</v>
      </c>
      <c r="B615" s="44">
        <v>901</v>
      </c>
      <c r="C615" s="44" t="s">
        <v>547</v>
      </c>
      <c r="D615" s="44" t="s">
        <v>548</v>
      </c>
      <c r="E615" s="44" t="s">
        <v>141</v>
      </c>
      <c r="F615" s="154">
        <f>F617</f>
        <v>1</v>
      </c>
      <c r="G615" s="45"/>
      <c r="H615" s="45">
        <f>F615*G615</f>
        <v>0</v>
      </c>
      <c r="I615" s="46" t="s">
        <v>103</v>
      </c>
    </row>
    <row r="616" spans="1:26" s="2" customFormat="1" ht="37.5" customHeight="1">
      <c r="A616" s="51"/>
      <c r="B616" s="52"/>
      <c r="C616" s="52"/>
      <c r="D616" s="47" t="s">
        <v>549</v>
      </c>
      <c r="E616" s="52"/>
      <c r="F616" s="48"/>
      <c r="G616" s="69"/>
      <c r="H616" s="69"/>
      <c r="I616" s="49"/>
    </row>
    <row r="617" spans="1:26" s="12" customFormat="1" ht="13.5" customHeight="1">
      <c r="A617" s="51"/>
      <c r="B617" s="52"/>
      <c r="C617" s="52"/>
      <c r="D617" s="47" t="s">
        <v>551</v>
      </c>
      <c r="E617" s="52"/>
      <c r="F617" s="48">
        <v>1</v>
      </c>
      <c r="G617" s="69"/>
      <c r="H617" s="69"/>
      <c r="I617" s="46"/>
    </row>
    <row r="618" spans="1:26" s="2" customFormat="1" ht="37.5" customHeight="1">
      <c r="A618" s="51"/>
      <c r="B618" s="52"/>
      <c r="C618" s="52"/>
      <c r="D618" s="47" t="s">
        <v>109</v>
      </c>
      <c r="E618" s="52"/>
      <c r="F618" s="48"/>
      <c r="G618" s="69"/>
      <c r="H618" s="69"/>
      <c r="I618" s="49"/>
    </row>
    <row r="619" spans="1:26" s="10" customFormat="1" ht="13.5" customHeight="1">
      <c r="A619" s="42">
        <v>129</v>
      </c>
      <c r="B619" s="44">
        <v>901</v>
      </c>
      <c r="C619" s="44" t="s">
        <v>126</v>
      </c>
      <c r="D619" s="44" t="s">
        <v>127</v>
      </c>
      <c r="E619" s="44" t="s">
        <v>28</v>
      </c>
      <c r="F619" s="154">
        <f>F620</f>
        <v>15</v>
      </c>
      <c r="G619" s="45"/>
      <c r="H619" s="45">
        <f>F619*G619</f>
        <v>0</v>
      </c>
      <c r="I619" s="46" t="s">
        <v>68</v>
      </c>
    </row>
    <row r="620" spans="1:26" s="2" customFormat="1" ht="13.5" customHeight="1">
      <c r="A620" s="51"/>
      <c r="B620" s="52"/>
      <c r="C620" s="52"/>
      <c r="D620" s="47" t="s">
        <v>550</v>
      </c>
      <c r="E620" s="52"/>
      <c r="F620" s="48">
        <v>15</v>
      </c>
      <c r="G620" s="69"/>
      <c r="H620" s="45"/>
      <c r="I620" s="49"/>
    </row>
    <row r="621" spans="1:26" s="2" customFormat="1" ht="13.5" customHeight="1">
      <c r="A621" s="51"/>
      <c r="B621" s="52"/>
      <c r="C621" s="52"/>
      <c r="D621" s="47" t="s">
        <v>206</v>
      </c>
      <c r="E621" s="52"/>
      <c r="F621" s="48"/>
      <c r="G621" s="69"/>
      <c r="H621" s="45"/>
      <c r="I621" s="49"/>
    </row>
    <row r="622" spans="1:26" s="2" customFormat="1" ht="21" customHeight="1">
      <c r="A622" s="14"/>
      <c r="B622" s="15"/>
      <c r="C622" s="15"/>
      <c r="D622" s="15" t="s">
        <v>18</v>
      </c>
      <c r="E622" s="15"/>
      <c r="F622" s="16"/>
      <c r="G622" s="35"/>
      <c r="H622" s="17">
        <f>H613+H439+H8</f>
        <v>0</v>
      </c>
      <c r="J622" s="50"/>
      <c r="K622" s="50"/>
      <c r="L622" s="50"/>
      <c r="M622" s="50"/>
    </row>
    <row r="623" spans="1:26" s="22" customFormat="1" ht="12" customHeight="1">
      <c r="A623" s="18"/>
      <c r="B623" s="19"/>
      <c r="C623" s="19"/>
      <c r="D623" s="19"/>
      <c r="E623" s="19"/>
      <c r="F623" s="20"/>
      <c r="G623" s="36"/>
      <c r="H623" s="21"/>
      <c r="J623" s="65"/>
      <c r="K623" s="65"/>
      <c r="L623" s="65"/>
      <c r="M623" s="65"/>
    </row>
    <row r="624" spans="1:26" s="2" customFormat="1" ht="13.5" customHeight="1">
      <c r="A624" s="215" t="s">
        <v>19</v>
      </c>
      <c r="B624" s="216"/>
      <c r="C624" s="217"/>
      <c r="D624" s="23" t="s">
        <v>65</v>
      </c>
      <c r="E624" s="24"/>
      <c r="F624" s="25"/>
      <c r="G624" s="37"/>
      <c r="H624" s="26">
        <f>H622</f>
        <v>0</v>
      </c>
      <c r="I624" s="12"/>
      <c r="J624" s="50"/>
      <c r="K624" s="50"/>
      <c r="L624" s="66"/>
      <c r="M624" s="50"/>
    </row>
    <row r="625" spans="1:13" s="2" customFormat="1" ht="13.5" customHeight="1">
      <c r="A625" s="27"/>
      <c r="B625" s="28"/>
      <c r="C625" s="28"/>
      <c r="D625" s="29"/>
      <c r="E625" s="30"/>
      <c r="F625" s="31"/>
      <c r="G625" s="38"/>
      <c r="H625" s="32"/>
      <c r="I625" s="12"/>
      <c r="J625" s="50"/>
      <c r="K625" s="50"/>
      <c r="L625" s="50"/>
      <c r="M625" s="50"/>
    </row>
    <row r="626" spans="1:13" s="33" customFormat="1" ht="11.25">
      <c r="A626" s="33" t="s">
        <v>20</v>
      </c>
      <c r="G626" s="34"/>
      <c r="I626" s="34"/>
      <c r="J626" s="68"/>
      <c r="K626" s="68"/>
      <c r="L626" s="68"/>
      <c r="M626" s="68"/>
    </row>
    <row r="627" spans="1:13" s="2" customFormat="1" ht="23.45" customHeight="1">
      <c r="A627" s="218" t="s">
        <v>24</v>
      </c>
      <c r="B627" s="219"/>
      <c r="C627" s="219"/>
      <c r="D627" s="219"/>
      <c r="E627" s="219"/>
      <c r="F627" s="219"/>
      <c r="G627" s="219"/>
      <c r="H627" s="34"/>
      <c r="I627" s="12"/>
    </row>
    <row r="628" spans="1:13" s="33" customFormat="1" ht="93.75" customHeight="1">
      <c r="A628" s="213" t="s">
        <v>32</v>
      </c>
      <c r="B628" s="220"/>
      <c r="C628" s="220"/>
      <c r="D628" s="220"/>
      <c r="E628" s="220"/>
      <c r="F628" s="220"/>
      <c r="G628" s="220"/>
    </row>
    <row r="629" spans="1:13" s="10" customFormat="1" ht="13.5" customHeight="1">
      <c r="A629" s="218" t="s">
        <v>25</v>
      </c>
      <c r="B629" s="221"/>
      <c r="C629" s="221"/>
      <c r="D629" s="221"/>
      <c r="E629" s="221"/>
      <c r="F629" s="221"/>
      <c r="G629" s="221"/>
      <c r="H629" s="40"/>
      <c r="I629" s="41"/>
    </row>
    <row r="630" spans="1:13" s="10" customFormat="1" ht="13.5" customHeight="1">
      <c r="A630" s="218" t="s">
        <v>26</v>
      </c>
      <c r="B630" s="221"/>
      <c r="C630" s="221"/>
      <c r="D630" s="221"/>
      <c r="E630" s="221"/>
      <c r="F630" s="221"/>
      <c r="G630" s="221"/>
      <c r="H630" s="40"/>
      <c r="I630" s="41"/>
    </row>
    <row r="631" spans="1:13" s="10" customFormat="1" ht="13.5" customHeight="1">
      <c r="A631" s="61"/>
      <c r="B631" s="62"/>
      <c r="C631" s="62"/>
      <c r="D631" s="62"/>
      <c r="E631" s="62"/>
      <c r="F631" s="62"/>
      <c r="G631" s="62"/>
      <c r="H631" s="40"/>
      <c r="I631" s="41"/>
    </row>
    <row r="632" spans="1:13" s="33" customFormat="1" ht="23.45" customHeight="1">
      <c r="A632" s="213"/>
      <c r="B632" s="214"/>
      <c r="C632" s="214"/>
      <c r="D632" s="214"/>
      <c r="E632" s="214"/>
      <c r="F632" s="214"/>
      <c r="G632" s="214"/>
      <c r="I632" s="34"/>
    </row>
  </sheetData>
  <mergeCells count="7">
    <mergeCell ref="A2:I2"/>
    <mergeCell ref="A632:G632"/>
    <mergeCell ref="A624:C624"/>
    <mergeCell ref="A627:G627"/>
    <mergeCell ref="A628:G628"/>
    <mergeCell ref="A629:G629"/>
    <mergeCell ref="A630:G63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 - BP</vt:lpstr>
      <vt:lpstr>'D.1.1. ASR - BP'!Oblast_tisku</vt:lpstr>
      <vt:lpstr>Rekapitulace!Oblast_tisku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2018-07-25T10:30:57Z</dcterms:modified>
</cp:coreProperties>
</file>