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M:\1 Technik\Veřejné zakázky\2026\RÚ Hostiné úklid dodatek č. 2\"/>
    </mc:Choice>
  </mc:AlternateContent>
  <xr:revisionPtr revIDLastSave="0" documentId="8_{A0E85E58-53D9-4FCB-A062-D4874EDDA620}" xr6:coauthVersionLast="47" xr6:coauthVersionMax="47" xr10:uidLastSave="{00000000-0000-0000-0000-000000000000}"/>
  <bookViews>
    <workbookView xWindow="-120" yWindow="-120" windowWidth="29040" windowHeight="15720" xr2:uid="{00000000-000D-0000-FFFF-FFFF00000000}"/>
  </bookViews>
  <sheets>
    <sheet name="Trekvila 2026" sheetId="6" r:id="rId1"/>
    <sheet name="Trekvila 2025" sheetId="5" r:id="rId2"/>
    <sheet name="Trekvila 2024"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 i="6" l="1"/>
  <c r="E199" i="6"/>
  <c r="E181" i="6"/>
  <c r="E182" i="6"/>
  <c r="E183" i="6"/>
  <c r="E184" i="6"/>
  <c r="E185" i="6"/>
  <c r="E186" i="6"/>
  <c r="E187" i="6"/>
  <c r="E188" i="6"/>
  <c r="E189" i="6"/>
  <c r="E190" i="6"/>
  <c r="E191" i="6"/>
  <c r="E180" i="6"/>
  <c r="E179" i="6"/>
  <c r="E177" i="6"/>
  <c r="E176" i="6"/>
  <c r="E170" i="6"/>
  <c r="E171" i="6"/>
  <c r="E172" i="6"/>
  <c r="E173" i="6"/>
  <c r="E174" i="6"/>
  <c r="E169" i="6"/>
  <c r="E30" i="6"/>
  <c r="E31" i="6"/>
  <c r="E32" i="6"/>
  <c r="E33" i="6"/>
  <c r="E34" i="6"/>
  <c r="E35" i="6"/>
  <c r="E36" i="6"/>
  <c r="E37" i="6"/>
  <c r="E38" i="6"/>
  <c r="E39" i="6"/>
  <c r="E40" i="6"/>
  <c r="E41" i="6"/>
  <c r="E42" i="6"/>
  <c r="E43" i="6"/>
  <c r="E44" i="6"/>
  <c r="E45" i="6"/>
  <c r="E46" i="6"/>
  <c r="E47" i="6"/>
  <c r="E48" i="6"/>
  <c r="E49" i="6"/>
  <c r="E50" i="6"/>
  <c r="E51" i="6"/>
  <c r="E52" i="6"/>
  <c r="E53" i="6"/>
  <c r="E54" i="6"/>
  <c r="E55" i="6"/>
  <c r="E56" i="6"/>
  <c r="E57" i="6"/>
  <c r="E58" i="6"/>
  <c r="E59" i="6"/>
  <c r="E60" i="6"/>
  <c r="E61" i="6"/>
  <c r="E62" i="6"/>
  <c r="E63" i="6"/>
  <c r="E64" i="6"/>
  <c r="E65" i="6"/>
  <c r="E66" i="6"/>
  <c r="E67" i="6"/>
  <c r="E68" i="6"/>
  <c r="E69" i="6"/>
  <c r="E70" i="6"/>
  <c r="E71" i="6"/>
  <c r="E72" i="6"/>
  <c r="E73" i="6"/>
  <c r="E74" i="6"/>
  <c r="E75" i="6"/>
  <c r="E76" i="6"/>
  <c r="E77" i="6"/>
  <c r="E78" i="6"/>
  <c r="E79" i="6"/>
  <c r="E80" i="6"/>
  <c r="E81" i="6"/>
  <c r="E82" i="6"/>
  <c r="E83" i="6"/>
  <c r="E84" i="6"/>
  <c r="E85" i="6"/>
  <c r="E86" i="6"/>
  <c r="E87" i="6"/>
  <c r="E88" i="6"/>
  <c r="E89" i="6"/>
  <c r="E90" i="6"/>
  <c r="E91" i="6"/>
  <c r="E92" i="6"/>
  <c r="E93" i="6"/>
  <c r="E94" i="6"/>
  <c r="E95" i="6"/>
  <c r="E96" i="6"/>
  <c r="E97" i="6"/>
  <c r="E98" i="6"/>
  <c r="E99" i="6"/>
  <c r="E100" i="6"/>
  <c r="E101" i="6"/>
  <c r="E102" i="6"/>
  <c r="E103" i="6"/>
  <c r="E104" i="6"/>
  <c r="E105" i="6"/>
  <c r="E106" i="6"/>
  <c r="E107" i="6"/>
  <c r="E108" i="6"/>
  <c r="E109" i="6"/>
  <c r="E110" i="6"/>
  <c r="E111" i="6"/>
  <c r="E112" i="6"/>
  <c r="E113" i="6"/>
  <c r="E114" i="6"/>
  <c r="E115" i="6"/>
  <c r="E116" i="6"/>
  <c r="E117" i="6"/>
  <c r="E118" i="6"/>
  <c r="E119" i="6"/>
  <c r="E120" i="6"/>
  <c r="E121" i="6"/>
  <c r="E122" i="6"/>
  <c r="E123" i="6"/>
  <c r="E124" i="6"/>
  <c r="E125" i="6"/>
  <c r="E126" i="6"/>
  <c r="E127" i="6"/>
  <c r="E128" i="6"/>
  <c r="E129" i="6"/>
  <c r="E130" i="6"/>
  <c r="E131" i="6"/>
  <c r="E132" i="6"/>
  <c r="E133" i="6"/>
  <c r="E134" i="6"/>
  <c r="E135" i="6"/>
  <c r="E136" i="6"/>
  <c r="E137" i="6"/>
  <c r="E138" i="6"/>
  <c r="E139" i="6"/>
  <c r="E140" i="6"/>
  <c r="E141" i="6"/>
  <c r="E142" i="6"/>
  <c r="E143" i="6"/>
  <c r="E144" i="6"/>
  <c r="E145" i="6"/>
  <c r="E146" i="6"/>
  <c r="E147" i="6"/>
  <c r="E148" i="6"/>
  <c r="E149" i="6"/>
  <c r="E150" i="6"/>
  <c r="E151" i="6"/>
  <c r="E152" i="6"/>
  <c r="E153" i="6"/>
  <c r="E154" i="6"/>
  <c r="E155" i="6"/>
  <c r="E156" i="6"/>
  <c r="E157" i="6"/>
  <c r="E158" i="6"/>
  <c r="E159" i="6"/>
  <c r="E160" i="6"/>
  <c r="E161" i="6"/>
  <c r="E162" i="6"/>
  <c r="E163" i="6"/>
  <c r="E164" i="6"/>
  <c r="E165" i="6"/>
  <c r="E166" i="6"/>
  <c r="E29" i="6"/>
  <c r="G29" i="6"/>
  <c r="J6" i="6"/>
  <c r="I6" i="5" l="1"/>
  <c r="G199" i="6"/>
  <c r="G200" i="6" s="1"/>
  <c r="F191" i="6"/>
  <c r="G191" i="6"/>
  <c r="G190" i="6"/>
  <c r="G189" i="6"/>
  <c r="G188" i="6"/>
  <c r="G187" i="6"/>
  <c r="G186" i="6"/>
  <c r="G185" i="6"/>
  <c r="G184" i="6"/>
  <c r="G183" i="6"/>
  <c r="G182" i="6"/>
  <c r="G181" i="6"/>
  <c r="G180" i="6"/>
  <c r="G179" i="6"/>
  <c r="F177" i="6"/>
  <c r="G177" i="6"/>
  <c r="F176" i="6"/>
  <c r="G176" i="6"/>
  <c r="G174" i="6"/>
  <c r="G173" i="6"/>
  <c r="G172" i="6"/>
  <c r="G171" i="6"/>
  <c r="G170" i="6"/>
  <c r="G169" i="6"/>
  <c r="G166" i="6"/>
  <c r="B166" i="6"/>
  <c r="G165" i="6"/>
  <c r="G164" i="6"/>
  <c r="G163" i="6"/>
  <c r="G162" i="6"/>
  <c r="G161" i="6"/>
  <c r="G160" i="6"/>
  <c r="G159" i="6"/>
  <c r="G158" i="6"/>
  <c r="G157" i="6"/>
  <c r="G156" i="6"/>
  <c r="G155" i="6"/>
  <c r="G154" i="6"/>
  <c r="G153" i="6"/>
  <c r="G152" i="6"/>
  <c r="G151" i="6"/>
  <c r="G150" i="6"/>
  <c r="G149" i="6"/>
  <c r="G148" i="6"/>
  <c r="G147" i="6"/>
  <c r="G146" i="6"/>
  <c r="G145" i="6"/>
  <c r="G144" i="6"/>
  <c r="G143" i="6"/>
  <c r="G142" i="6"/>
  <c r="G141" i="6"/>
  <c r="B141" i="6"/>
  <c r="G140" i="6"/>
  <c r="G139" i="6"/>
  <c r="G138" i="6"/>
  <c r="G137" i="6"/>
  <c r="G136" i="6"/>
  <c r="G135" i="6"/>
  <c r="G134" i="6"/>
  <c r="G133" i="6"/>
  <c r="G132" i="6"/>
  <c r="G131" i="6"/>
  <c r="G130" i="6"/>
  <c r="G129" i="6"/>
  <c r="G128" i="6"/>
  <c r="G127" i="6"/>
  <c r="B127" i="6"/>
  <c r="G126" i="6"/>
  <c r="B126" i="6"/>
  <c r="G125" i="6"/>
  <c r="G124" i="6"/>
  <c r="G123" i="6"/>
  <c r="B123" i="6"/>
  <c r="G122" i="6"/>
  <c r="G121" i="6"/>
  <c r="G120" i="6"/>
  <c r="B120" i="6"/>
  <c r="G119" i="6"/>
  <c r="G118" i="6"/>
  <c r="G117" i="6"/>
  <c r="G116" i="6"/>
  <c r="G115" i="6"/>
  <c r="G114" i="6"/>
  <c r="G113" i="6"/>
  <c r="B113" i="6"/>
  <c r="G112" i="6"/>
  <c r="G111" i="6"/>
  <c r="G110" i="6"/>
  <c r="G109" i="6"/>
  <c r="G108" i="6"/>
  <c r="G107" i="6"/>
  <c r="B107" i="6"/>
  <c r="G106" i="6"/>
  <c r="G105" i="6"/>
  <c r="G104" i="6"/>
  <c r="G103" i="6"/>
  <c r="G102" i="6"/>
  <c r="G101" i="6"/>
  <c r="G100" i="6"/>
  <c r="G99" i="6"/>
  <c r="G98" i="6"/>
  <c r="G97" i="6"/>
  <c r="G96" i="6"/>
  <c r="G95" i="6"/>
  <c r="G94" i="6"/>
  <c r="G93" i="6"/>
  <c r="G92" i="6"/>
  <c r="G91" i="6"/>
  <c r="G90" i="6"/>
  <c r="G89" i="6"/>
  <c r="G88" i="6"/>
  <c r="G87" i="6"/>
  <c r="G86" i="6"/>
  <c r="G85" i="6"/>
  <c r="G84" i="6"/>
  <c r="G83" i="6"/>
  <c r="G82" i="6"/>
  <c r="G81" i="6"/>
  <c r="G80" i="6"/>
  <c r="G79" i="6"/>
  <c r="G78" i="6"/>
  <c r="G77" i="6"/>
  <c r="G76" i="6"/>
  <c r="G75" i="6"/>
  <c r="G74" i="6"/>
  <c r="G73" i="6"/>
  <c r="G72" i="6"/>
  <c r="G71" i="6"/>
  <c r="G70" i="6"/>
  <c r="G69" i="6"/>
  <c r="G68" i="6"/>
  <c r="G67" i="6"/>
  <c r="G66" i="6"/>
  <c r="G65" i="6"/>
  <c r="B65" i="6"/>
  <c r="G64" i="6"/>
  <c r="G63" i="6"/>
  <c r="G62" i="6"/>
  <c r="G61" i="6"/>
  <c r="G60" i="6"/>
  <c r="G59" i="6"/>
  <c r="G58" i="6"/>
  <c r="G57" i="6"/>
  <c r="G56" i="6"/>
  <c r="G55" i="6"/>
  <c r="G54" i="6"/>
  <c r="G53" i="6"/>
  <c r="G52" i="6"/>
  <c r="G51" i="6"/>
  <c r="G50" i="6"/>
  <c r="G49" i="6"/>
  <c r="G48" i="6"/>
  <c r="G47" i="6"/>
  <c r="G46" i="6"/>
  <c r="G45" i="6"/>
  <c r="G44" i="6"/>
  <c r="G43" i="6"/>
  <c r="G42" i="6"/>
  <c r="G41" i="6"/>
  <c r="G40" i="6"/>
  <c r="G39" i="6"/>
  <c r="G38" i="6"/>
  <c r="G37" i="6"/>
  <c r="G36" i="6"/>
  <c r="G35" i="6"/>
  <c r="G34" i="6"/>
  <c r="G33" i="6"/>
  <c r="G32" i="6"/>
  <c r="G31" i="6"/>
  <c r="G30" i="6"/>
  <c r="B29" i="6"/>
  <c r="D29" i="5"/>
  <c r="D95" i="5"/>
  <c r="F95" i="5"/>
  <c r="F85" i="5"/>
  <c r="D85" i="5"/>
  <c r="E191" i="5"/>
  <c r="E177" i="5"/>
  <c r="E176" i="5"/>
  <c r="D172" i="5"/>
  <c r="F172" i="5" s="1"/>
  <c r="D171" i="5"/>
  <c r="F171" i="5" s="1"/>
  <c r="B166" i="5"/>
  <c r="D143" i="5"/>
  <c r="F143" i="5" s="1"/>
  <c r="B141" i="5"/>
  <c r="B127" i="5"/>
  <c r="B126" i="5"/>
  <c r="B123" i="5"/>
  <c r="D121" i="5"/>
  <c r="F121" i="5" s="1"/>
  <c r="B120" i="5"/>
  <c r="B113" i="5"/>
  <c r="B107" i="5"/>
  <c r="D90" i="5"/>
  <c r="F90" i="5" s="1"/>
  <c r="D89" i="5"/>
  <c r="F89" i="5" s="1"/>
  <c r="B65" i="5"/>
  <c r="D57" i="5"/>
  <c r="F57" i="5" s="1"/>
  <c r="D56" i="5"/>
  <c r="F56" i="5" s="1"/>
  <c r="B29" i="5"/>
  <c r="D188" i="5"/>
  <c r="F188" i="5" s="1"/>
  <c r="F200" i="4"/>
  <c r="E191" i="4"/>
  <c r="F191" i="4" s="1"/>
  <c r="F190" i="4"/>
  <c r="F189" i="4"/>
  <c r="F188" i="4"/>
  <c r="F187" i="4"/>
  <c r="F186" i="4"/>
  <c r="F185" i="4"/>
  <c r="F184" i="4"/>
  <c r="F183" i="4"/>
  <c r="F182" i="4"/>
  <c r="F181" i="4"/>
  <c r="F180" i="4"/>
  <c r="F179" i="4"/>
  <c r="E177" i="4"/>
  <c r="F177" i="4" s="1"/>
  <c r="E176" i="4"/>
  <c r="F176" i="4" s="1"/>
  <c r="F174" i="4"/>
  <c r="F173" i="4"/>
  <c r="F172" i="4"/>
  <c r="F171" i="4"/>
  <c r="F170" i="4"/>
  <c r="F169" i="4"/>
  <c r="F166" i="4"/>
  <c r="B166" i="4"/>
  <c r="F165" i="4"/>
  <c r="F164" i="4"/>
  <c r="F163" i="4"/>
  <c r="F162" i="4"/>
  <c r="F161" i="4"/>
  <c r="F160" i="4"/>
  <c r="F159" i="4"/>
  <c r="F158" i="4"/>
  <c r="F157" i="4"/>
  <c r="F156" i="4"/>
  <c r="F155" i="4"/>
  <c r="F154" i="4"/>
  <c r="F153" i="4"/>
  <c r="F152" i="4"/>
  <c r="F151" i="4"/>
  <c r="F150" i="4"/>
  <c r="F149" i="4"/>
  <c r="F148" i="4"/>
  <c r="F147" i="4"/>
  <c r="F146" i="4"/>
  <c r="F145" i="4"/>
  <c r="F144" i="4"/>
  <c r="F143" i="4"/>
  <c r="F142" i="4"/>
  <c r="F141" i="4"/>
  <c r="B141" i="4"/>
  <c r="F140" i="4"/>
  <c r="F139" i="4"/>
  <c r="F138" i="4"/>
  <c r="F137" i="4"/>
  <c r="F136" i="4"/>
  <c r="F135" i="4"/>
  <c r="F134" i="4"/>
  <c r="F133" i="4"/>
  <c r="F132" i="4"/>
  <c r="F131" i="4"/>
  <c r="F130" i="4"/>
  <c r="F129" i="4"/>
  <c r="F128" i="4"/>
  <c r="F127" i="4"/>
  <c r="B127" i="4"/>
  <c r="F126" i="4"/>
  <c r="B126" i="4"/>
  <c r="F125" i="4"/>
  <c r="F124" i="4"/>
  <c r="F123" i="4"/>
  <c r="B123" i="4"/>
  <c r="F122" i="4"/>
  <c r="F121" i="4"/>
  <c r="F120" i="4"/>
  <c r="B120" i="4"/>
  <c r="F119" i="4"/>
  <c r="F118" i="4"/>
  <c r="F117" i="4"/>
  <c r="F116" i="4"/>
  <c r="F115" i="4"/>
  <c r="F114" i="4"/>
  <c r="F113" i="4"/>
  <c r="B113" i="4"/>
  <c r="F112" i="4"/>
  <c r="F111" i="4"/>
  <c r="F110" i="4"/>
  <c r="F109" i="4"/>
  <c r="F108" i="4"/>
  <c r="F107" i="4"/>
  <c r="B107" i="4"/>
  <c r="F106" i="4"/>
  <c r="F105" i="4"/>
  <c r="F104" i="4"/>
  <c r="F103" i="4"/>
  <c r="F102" i="4"/>
  <c r="F101" i="4"/>
  <c r="F100" i="4"/>
  <c r="F99" i="4"/>
  <c r="F98" i="4"/>
  <c r="F97" i="4"/>
  <c r="F96" i="4"/>
  <c r="F95" i="4"/>
  <c r="F94" i="4"/>
  <c r="F93" i="4"/>
  <c r="F92" i="4"/>
  <c r="F91" i="4"/>
  <c r="F90" i="4"/>
  <c r="F89" i="4"/>
  <c r="F88" i="4"/>
  <c r="F87" i="4"/>
  <c r="F86" i="4"/>
  <c r="F85" i="4"/>
  <c r="F84" i="4"/>
  <c r="F83" i="4"/>
  <c r="F82" i="4"/>
  <c r="F81" i="4"/>
  <c r="F80" i="4"/>
  <c r="F79" i="4"/>
  <c r="F78" i="4"/>
  <c r="F77" i="4"/>
  <c r="F76" i="4"/>
  <c r="F75" i="4"/>
  <c r="F74" i="4"/>
  <c r="F73" i="4"/>
  <c r="F72" i="4"/>
  <c r="F71" i="4"/>
  <c r="F70" i="4"/>
  <c r="F69" i="4"/>
  <c r="F68" i="4"/>
  <c r="F67" i="4"/>
  <c r="F66" i="4"/>
  <c r="F65" i="4"/>
  <c r="B65" i="4"/>
  <c r="F64" i="4"/>
  <c r="F63" i="4"/>
  <c r="F62" i="4"/>
  <c r="F61" i="4"/>
  <c r="F60" i="4"/>
  <c r="F59" i="4"/>
  <c r="F58" i="4"/>
  <c r="F57" i="4"/>
  <c r="F56" i="4"/>
  <c r="F55" i="4"/>
  <c r="F54" i="4"/>
  <c r="F53" i="4"/>
  <c r="F52" i="4"/>
  <c r="F51" i="4"/>
  <c r="F50" i="4"/>
  <c r="F49" i="4"/>
  <c r="F48" i="4"/>
  <c r="F47" i="4"/>
  <c r="F46" i="4"/>
  <c r="F45" i="4"/>
  <c r="F44" i="4"/>
  <c r="F43" i="4"/>
  <c r="F42" i="4"/>
  <c r="F41" i="4"/>
  <c r="F40" i="4"/>
  <c r="F39" i="4"/>
  <c r="F38" i="4"/>
  <c r="F37" i="4"/>
  <c r="F36" i="4"/>
  <c r="F35" i="4"/>
  <c r="F34" i="4"/>
  <c r="F33" i="4"/>
  <c r="F32" i="4"/>
  <c r="F31" i="4"/>
  <c r="F30" i="4"/>
  <c r="F29" i="4"/>
  <c r="F167" i="4" s="1"/>
  <c r="F192" i="4" s="1"/>
  <c r="F195" i="4" s="1"/>
  <c r="B29" i="4"/>
  <c r="B167" i="4" s="1"/>
  <c r="G167" i="6" l="1"/>
  <c r="G192" i="6" s="1"/>
  <c r="G195" i="6" s="1"/>
  <c r="B167" i="6"/>
  <c r="D59" i="5"/>
  <c r="F59" i="5" s="1"/>
  <c r="D91" i="5"/>
  <c r="F91" i="5" s="1"/>
  <c r="D145" i="5"/>
  <c r="F145" i="5" s="1"/>
  <c r="D99" i="5"/>
  <c r="F99" i="5" s="1"/>
  <c r="D123" i="5"/>
  <c r="F123" i="5" s="1"/>
  <c r="D146" i="5"/>
  <c r="F146" i="5" s="1"/>
  <c r="D33" i="5"/>
  <c r="F33" i="5" s="1"/>
  <c r="D66" i="5"/>
  <c r="F66" i="5" s="1"/>
  <c r="D101" i="5"/>
  <c r="F101" i="5" s="1"/>
  <c r="D124" i="5"/>
  <c r="F124" i="5" s="1"/>
  <c r="D147" i="5"/>
  <c r="F147" i="5" s="1"/>
  <c r="D183" i="5"/>
  <c r="F183" i="5" s="1"/>
  <c r="D35" i="5"/>
  <c r="F35" i="5" s="1"/>
  <c r="D67" i="5"/>
  <c r="F67" i="5" s="1"/>
  <c r="D102" i="5"/>
  <c r="F102" i="5" s="1"/>
  <c r="D155" i="5"/>
  <c r="F155" i="5" s="1"/>
  <c r="D184" i="5"/>
  <c r="F184" i="5" s="1"/>
  <c r="D36" i="5"/>
  <c r="F36" i="5" s="1"/>
  <c r="D68" i="5"/>
  <c r="F68" i="5" s="1"/>
  <c r="D103" i="5"/>
  <c r="F103" i="5" s="1"/>
  <c r="D157" i="5"/>
  <c r="F157" i="5" s="1"/>
  <c r="F185" i="5"/>
  <c r="D44" i="5"/>
  <c r="F44" i="5" s="1"/>
  <c r="D77" i="5"/>
  <c r="F77" i="5" s="1"/>
  <c r="D131" i="5"/>
  <c r="F131" i="5" s="1"/>
  <c r="D158" i="5"/>
  <c r="F158" i="5" s="1"/>
  <c r="D186" i="5"/>
  <c r="F186" i="5" s="1"/>
  <c r="D45" i="5"/>
  <c r="F45" i="5" s="1"/>
  <c r="D78" i="5"/>
  <c r="F78" i="5" s="1"/>
  <c r="D110" i="5"/>
  <c r="F110" i="5" s="1"/>
  <c r="D132" i="5"/>
  <c r="F132" i="5" s="1"/>
  <c r="D159" i="5"/>
  <c r="F159" i="5" s="1"/>
  <c r="D47" i="5"/>
  <c r="F47" i="5" s="1"/>
  <c r="D79" i="5"/>
  <c r="F79" i="5" s="1"/>
  <c r="D112" i="5"/>
  <c r="F112" i="5" s="1"/>
  <c r="D134" i="5"/>
  <c r="F134" i="5" s="1"/>
  <c r="D48" i="5"/>
  <c r="F48" i="5" s="1"/>
  <c r="D80" i="5"/>
  <c r="F80" i="5" s="1"/>
  <c r="D135" i="5"/>
  <c r="F135" i="5" s="1"/>
  <c r="D166" i="5"/>
  <c r="F166" i="5" s="1"/>
  <c r="D55" i="5"/>
  <c r="F55" i="5" s="1"/>
  <c r="D87" i="5"/>
  <c r="F87" i="5" s="1"/>
  <c r="D113" i="5"/>
  <c r="F113" i="5" s="1"/>
  <c r="D136" i="5"/>
  <c r="F136" i="5" s="1"/>
  <c r="D170" i="5"/>
  <c r="F170" i="5" s="1"/>
  <c r="D49" i="5"/>
  <c r="F49" i="5" s="1"/>
  <c r="D69" i="5"/>
  <c r="F69" i="5" s="1"/>
  <c r="D81" i="5"/>
  <c r="F81" i="5" s="1"/>
  <c r="D114" i="5"/>
  <c r="F114" i="5" s="1"/>
  <c r="D125" i="5"/>
  <c r="F125" i="5" s="1"/>
  <c r="D148" i="5"/>
  <c r="F148" i="5" s="1"/>
  <c r="D160" i="5"/>
  <c r="F160" i="5" s="1"/>
  <c r="D187" i="5"/>
  <c r="F187" i="5" s="1"/>
  <c r="D38" i="5"/>
  <c r="F38" i="5" s="1"/>
  <c r="D83" i="5"/>
  <c r="F83" i="5" s="1"/>
  <c r="D93" i="5"/>
  <c r="F93" i="5" s="1"/>
  <c r="D115" i="5"/>
  <c r="F115" i="5" s="1"/>
  <c r="D149" i="5"/>
  <c r="F149" i="5" s="1"/>
  <c r="D161" i="5"/>
  <c r="F161" i="5" s="1"/>
  <c r="D189" i="5"/>
  <c r="F189" i="5" s="1"/>
  <c r="F29" i="5"/>
  <c r="D50" i="5"/>
  <c r="F50" i="5" s="1"/>
  <c r="D61" i="5"/>
  <c r="F61" i="5" s="1"/>
  <c r="D116" i="5"/>
  <c r="F116" i="5" s="1"/>
  <c r="D140" i="5"/>
  <c r="F140" i="5" s="1"/>
  <c r="D190" i="5"/>
  <c r="F190" i="5" s="1"/>
  <c r="D41" i="5"/>
  <c r="F41" i="5" s="1"/>
  <c r="D62" i="5"/>
  <c r="F62" i="5" s="1"/>
  <c r="D73" i="5"/>
  <c r="F73" i="5" s="1"/>
  <c r="D84" i="5"/>
  <c r="F84" i="5" s="1"/>
  <c r="D118" i="5"/>
  <c r="F118" i="5" s="1"/>
  <c r="D191" i="5"/>
  <c r="F191" i="5" s="1"/>
  <c r="D30" i="5"/>
  <c r="F30" i="5" s="1"/>
  <c r="D53" i="5"/>
  <c r="F53" i="5" s="1"/>
  <c r="D63" i="5"/>
  <c r="F63" i="5" s="1"/>
  <c r="D96" i="5"/>
  <c r="F96" i="5" s="1"/>
  <c r="D107" i="5"/>
  <c r="F107" i="5" s="1"/>
  <c r="D119" i="5"/>
  <c r="F119" i="5" s="1"/>
  <c r="D128" i="5"/>
  <c r="F128" i="5" s="1"/>
  <c r="D141" i="5"/>
  <c r="F141" i="5" s="1"/>
  <c r="D152" i="5"/>
  <c r="F152" i="5" s="1"/>
  <c r="D164" i="5"/>
  <c r="F164" i="5" s="1"/>
  <c r="D31" i="5"/>
  <c r="F31" i="5" s="1"/>
  <c r="D42" i="5"/>
  <c r="F42" i="5" s="1"/>
  <c r="D74" i="5"/>
  <c r="F74" i="5" s="1"/>
  <c r="D97" i="5"/>
  <c r="F97" i="5" s="1"/>
  <c r="D108" i="5"/>
  <c r="F108" i="5" s="1"/>
  <c r="D129" i="5"/>
  <c r="F129" i="5" s="1"/>
  <c r="D142" i="5"/>
  <c r="F142" i="5" s="1"/>
  <c r="D153" i="5"/>
  <c r="F153" i="5" s="1"/>
  <c r="D179" i="5"/>
  <c r="F179" i="5" s="1"/>
  <c r="D37" i="5"/>
  <c r="F37" i="5" s="1"/>
  <c r="D60" i="5"/>
  <c r="F60" i="5" s="1"/>
  <c r="D92" i="5"/>
  <c r="F92" i="5" s="1"/>
  <c r="D137" i="5"/>
  <c r="F137" i="5" s="1"/>
  <c r="D173" i="5"/>
  <c r="F173" i="5" s="1"/>
  <c r="D71" i="5"/>
  <c r="F71" i="5" s="1"/>
  <c r="D104" i="5"/>
  <c r="F104" i="5" s="1"/>
  <c r="D138" i="5"/>
  <c r="F138" i="5" s="1"/>
  <c r="D174" i="5"/>
  <c r="F174" i="5" s="1"/>
  <c r="D39" i="5"/>
  <c r="F39" i="5" s="1"/>
  <c r="D72" i="5"/>
  <c r="F72" i="5" s="1"/>
  <c r="D105" i="5"/>
  <c r="F105" i="5" s="1"/>
  <c r="D126" i="5"/>
  <c r="F126" i="5" s="1"/>
  <c r="D151" i="5"/>
  <c r="F151" i="5" s="1"/>
  <c r="D163" i="5"/>
  <c r="F163" i="5" s="1"/>
  <c r="D51" i="5"/>
  <c r="F51" i="5" s="1"/>
  <c r="D177" i="5"/>
  <c r="F177" i="5" s="1"/>
  <c r="D32" i="5"/>
  <c r="F32" i="5" s="1"/>
  <c r="D43" i="5"/>
  <c r="F43" i="5" s="1"/>
  <c r="D54" i="5"/>
  <c r="F54" i="5" s="1"/>
  <c r="D65" i="5"/>
  <c r="F65" i="5" s="1"/>
  <c r="D75" i="5"/>
  <c r="F75" i="5" s="1"/>
  <c r="D86" i="5"/>
  <c r="F86" i="5" s="1"/>
  <c r="D98" i="5"/>
  <c r="F98" i="5" s="1"/>
  <c r="D109" i="5"/>
  <c r="F109" i="5" s="1"/>
  <c r="D120" i="5"/>
  <c r="F120" i="5" s="1"/>
  <c r="D130" i="5"/>
  <c r="F130" i="5" s="1"/>
  <c r="D154" i="5"/>
  <c r="F154" i="5" s="1"/>
  <c r="D165" i="5"/>
  <c r="F165" i="5" s="1"/>
  <c r="D180" i="5"/>
  <c r="F180" i="5" s="1"/>
  <c r="D181" i="5"/>
  <c r="F181" i="5" s="1"/>
  <c r="B167" i="5"/>
  <c r="D34" i="5"/>
  <c r="F34" i="5" s="1"/>
  <c r="D40" i="5"/>
  <c r="F40" i="5" s="1"/>
  <c r="D46" i="5"/>
  <c r="F46" i="5" s="1"/>
  <c r="D52" i="5"/>
  <c r="F52" i="5" s="1"/>
  <c r="D58" i="5"/>
  <c r="F58" i="5" s="1"/>
  <c r="D64" i="5"/>
  <c r="F64" i="5" s="1"/>
  <c r="D111" i="5"/>
  <c r="F111" i="5" s="1"/>
  <c r="D122" i="5"/>
  <c r="F122" i="5" s="1"/>
  <c r="D144" i="5"/>
  <c r="F144" i="5" s="1"/>
  <c r="D150" i="5"/>
  <c r="F150" i="5" s="1"/>
  <c r="D156" i="5"/>
  <c r="F156" i="5" s="1"/>
  <c r="D162" i="5"/>
  <c r="F162" i="5" s="1"/>
  <c r="D199" i="5"/>
  <c r="F199" i="5" s="1"/>
  <c r="F200" i="5" s="1"/>
  <c r="D70" i="5"/>
  <c r="F70" i="5" s="1"/>
  <c r="D76" i="5"/>
  <c r="F76" i="5" s="1"/>
  <c r="D82" i="5"/>
  <c r="F82" i="5" s="1"/>
  <c r="D88" i="5"/>
  <c r="F88" i="5" s="1"/>
  <c r="D94" i="5"/>
  <c r="F94" i="5" s="1"/>
  <c r="D100" i="5"/>
  <c r="F100" i="5" s="1"/>
  <c r="D106" i="5"/>
  <c r="F106" i="5" s="1"/>
  <c r="D117" i="5"/>
  <c r="F117" i="5" s="1"/>
  <c r="D127" i="5"/>
  <c r="F127" i="5" s="1"/>
  <c r="D133" i="5"/>
  <c r="F133" i="5" s="1"/>
  <c r="D139" i="5"/>
  <c r="F139" i="5" s="1"/>
  <c r="D169" i="5"/>
  <c r="F169" i="5" s="1"/>
  <c r="D176" i="5"/>
  <c r="F176" i="5" s="1"/>
  <c r="D182" i="5"/>
  <c r="F182" i="5" s="1"/>
  <c r="F204" i="4"/>
  <c r="G204" i="6" l="1"/>
  <c r="F167" i="5"/>
  <c r="F192" i="5" s="1"/>
  <c r="F195" i="5" s="1"/>
  <c r="F204" i="5" l="1"/>
</calcChain>
</file>

<file path=xl/sharedStrings.xml><?xml version="1.0" encoding="utf-8"?>
<sst xmlns="http://schemas.openxmlformats.org/spreadsheetml/2006/main" count="1661" uniqueCount="299">
  <si>
    <t>jednotka</t>
  </si>
  <si>
    <t>m2</t>
  </si>
  <si>
    <t>Manuální úklid</t>
  </si>
  <si>
    <t>Nabídková cena v Kč bez DPH za jednotku úklidu</t>
  </si>
  <si>
    <t>* Zadavatel stanovil hodnocení dle modelového příkladu z důvodu, že není schopen předem přesně vymezit rozsah nepravidelného (mimořádného) úklidu. Záměrem zadavatele je získat nejvýhodnější cenu za předmět plnění, tak aby byly budoucí náklady na realizaci předmětu VZ vynaloženy, co nejefektivněji a nejhospodárněji.</t>
  </si>
  <si>
    <t>Úklidové služby RÚ HOSTINNÉ</t>
  </si>
  <si>
    <t>1x denně úklid WC/sprch - pokoje pacientů A0</t>
  </si>
  <si>
    <t>Výpomoc s obsluhou pacientů - stravování</t>
  </si>
  <si>
    <t>Sanitární den</t>
  </si>
  <si>
    <t>hod</t>
  </si>
  <si>
    <t>1x denně sesterny (6x místnost)</t>
  </si>
  <si>
    <t>Rozsah/rok</t>
  </si>
  <si>
    <r>
      <t xml:space="preserve">Nabídková cena v Kč bez DPH za celkovou práci </t>
    </r>
    <r>
      <rPr>
        <b/>
        <i/>
        <sz val="8"/>
        <rFont val="Times New Roman"/>
        <family val="1"/>
        <charset val="238"/>
      </rPr>
      <t xml:space="preserve"> za 1 rok </t>
    </r>
  </si>
  <si>
    <t>1x denně úklid pokojů pacientů C1 - 10 pokojů</t>
  </si>
  <si>
    <t>vytírání podlahy, otření zábradlí (RS)</t>
  </si>
  <si>
    <t>Výtah (3ks)  (1 x 6,36 m2, 1 x 6,44 m2, 1 x 6,30 m2)</t>
  </si>
  <si>
    <t>ks</t>
  </si>
  <si>
    <t>mytí omyvatelných zdí v celém objektu (2500 m2) - 1* měsíčně</t>
  </si>
  <si>
    <r>
      <rPr>
        <b/>
        <sz val="10"/>
        <color theme="1"/>
        <rFont val="Arial"/>
        <family val="2"/>
        <charset val="238"/>
      </rPr>
      <t>RS</t>
    </r>
    <r>
      <rPr>
        <sz val="10"/>
        <color theme="1"/>
        <rFont val="Arial"/>
        <family val="2"/>
        <charset val="238"/>
      </rPr>
      <t xml:space="preserve"> - ranní směna (5:30-14:00) - v pracovní dny: 6 pracovníků / v sobotu, neděli, ve svátek - 4 pracovníci</t>
    </r>
  </si>
  <si>
    <t>Celková cena pro účely hodnocení sekce B  za 1 rok bez DPH v Kč</t>
  </si>
  <si>
    <t>Celková cena pro účely hodnocení sekce A a sekce B  za 1 rok bez DPH v Kč</t>
  </si>
  <si>
    <t>A) Kalkulace úklidu pro hodnocení (pravidelný úklid)</t>
  </si>
  <si>
    <t>Kalkulace úklidu pro hodnocení (pravidelný a nepravidelný úklid)</t>
  </si>
  <si>
    <t>A) a B) Kalkulace úklidu pro hodnocení CELKEM</t>
  </si>
  <si>
    <t>Pokoje pacientů - 10 pokojů A0</t>
  </si>
  <si>
    <t xml:space="preserve">WC/sprchy pokoje pacientů - 10 místností A0 </t>
  </si>
  <si>
    <t xml:space="preserve">2x měsíčně strojové mytí podlahy </t>
  </si>
  <si>
    <t>Pokoje pacientů - 10 pokojů A1</t>
  </si>
  <si>
    <t>1x denně úklid WC/sprch - pokoje pacientů A1</t>
  </si>
  <si>
    <t xml:space="preserve">WC/sprchy pokoje pacientů - 10 místností A1 </t>
  </si>
  <si>
    <t>Pokoje pacientů - 10 pokojů A2</t>
  </si>
  <si>
    <t>WC/sprchy pokoje pacientů - 10 místností A2</t>
  </si>
  <si>
    <t>Pokoje pacientů - 5 pokojů B</t>
  </si>
  <si>
    <t>WC/sprchy pokoje pacientů - 5 místností B</t>
  </si>
  <si>
    <t>Chodba C0</t>
  </si>
  <si>
    <t>Pokoje pacientů - 10 pokojů C1</t>
  </si>
  <si>
    <t>WC/sprchy pokoje pacientů - 10 místností C1</t>
  </si>
  <si>
    <t>Chodba C1</t>
  </si>
  <si>
    <t>Pokoje pacientů -  9 pokojů C2</t>
  </si>
  <si>
    <t>WC/sprchy pokoje pacientů - 9 místností C2</t>
  </si>
  <si>
    <t>Chodba C2</t>
  </si>
  <si>
    <t>Atria C0, C1, C2</t>
  </si>
  <si>
    <t>cvičebny / rehabilitace 1NP 8 cvičeben/ambulancí</t>
  </si>
  <si>
    <t xml:space="preserve">Výtah (3ks) </t>
  </si>
  <si>
    <t xml:space="preserve"> 2x tělocvična (po-pá)</t>
  </si>
  <si>
    <t>Vysvětlení pro tvorbu ceny:</t>
  </si>
  <si>
    <t>Místo úklidu</t>
  </si>
  <si>
    <t>četnost úklidu</t>
  </si>
  <si>
    <t>Plocha podlahy v m2</t>
  </si>
  <si>
    <t>plocha pro daný úsek v m2</t>
  </si>
  <si>
    <t>četnost za rok - použité vzorce:</t>
  </si>
  <si>
    <t>1x denně (po-pá)= * 246 pracovních dní</t>
  </si>
  <si>
    <t>1x měsíčně = *12 (12 měsíců)</t>
  </si>
  <si>
    <t>1x denně</t>
  </si>
  <si>
    <t>2x týdně</t>
  </si>
  <si>
    <t>Jednotka úklidu</t>
  </si>
  <si>
    <t xml:space="preserve">dezinfekční mytí povrchů – otření parapetů (út, čt)  (celkem 10 ks rozměr: 185cm x 29cm), osvětlení u lůžka, prach z nábytku do 1,7 m (RS)
úklid a mytí botníků (10 ks) (RS) (út, čt)
</t>
  </si>
  <si>
    <t>1x týdně</t>
  </si>
  <si>
    <t>mytí radiátorů (RS) - 10 ks ( 9 ks á 120cm x 60 cm x9 cm), 1 ks (140 cm x 60 cm x 15cm) (RS)
mytí dveří a zárubní (RS) (20 ks)</t>
  </si>
  <si>
    <t>1x měsíčně</t>
  </si>
  <si>
    <t>otření povrchu nábytku ve výškách více než 1,7 m (RS)</t>
  </si>
  <si>
    <t>vytírání podlahy s dezinfekčním prostředkem (dezinfekce dle platného dezinfekčního plánu, stírání na vlhko, na každou místnost čistý mop, setření celého prostoru od zadní stěny ke dveřím (RS), 
odtáhnout lůžka od stěny pokoje, vytřít pod lůžky, vrátit lůžka (RS)
vyprazdňování odpadkových košů vč. mytí (10 ks) – s ohledem na zásady třídění odpadu, otření koše na vlhko dezinfekčním prostředkem – zevní i vnitřní strana, výměna PE sáčků (RS)
 desinfekce klik a dveří v okolí klik, vypínačů, otření zásuvky za lůžkem (RS)</t>
  </si>
  <si>
    <t xml:space="preserve">mytí a dezinfekce WC mís (10ks), záchodového prkénka (10 ks), podlah na toaletě (RS)
mytí dezinfekcí umyvadel včetně vodovodních baterií a odkládacích poliček (10 ks) (RS)
mytí a dezinfekce sprchových koutů, včetně baterie (10 ks) – koupelnové obklady (RS)
mytí vypínačů a dveří vč. desinfekce klik a zárubní (10 ks) (RS)
čištění zrcadel (10 ks) (RS)
vyprazdňování odpadkových košů vč. dezinfekčního mytí + výměna PE sáčků (RS) (10 ks) (RS)
doplnění toaletního papíru (RS)
</t>
  </si>
  <si>
    <t>mytí radiátorů (RS)
mytí dveří a zárubní (RS)</t>
  </si>
  <si>
    <t>parní čištění sanitárního zařízení (RS)</t>
  </si>
  <si>
    <t>1 x týdně/ 29 týdnů</t>
  </si>
  <si>
    <t xml:space="preserve">vytírání podlahy s dezinfekčním prostředkem (dle platného dezinfekčního plánu, stírání na vlhko, vyhrazení určitého mopu, setření celého prostoru) (RS)
otření všech omyvatelných povrchů dezinfekcí (RS)
mytí parapetů (6 ks á 235cm x 29 cm, 3 ks á  122 cm x 29 cm) na vlhko (RS)
 odstranění pavučin (RS)
otření stolů (2 stolky) (RS)
vyprazdňování odpadkových košů (1 koš) vč. mytí – s ohledem na zásady třídění odpadu, otření koše na vlhko dezinfekčním prostředkem – zevní i vnitřní strana, výměna PE sáčků (RS)
otření madel u židlí (8 židlí) (RS)
</t>
  </si>
  <si>
    <t>2x denně</t>
  </si>
  <si>
    <t>mytí vypínačů (25 ks), zásuvek (10 ks) a dveří vč. desinfekce klik a madel (100 m) (RS)</t>
  </si>
  <si>
    <t>otření světel signálního zařízení u pokojů (10 ks)
otření světel na chodbách (7 nouzových světel) (RS)
mytí radiátorů (2 ks á 200 cm x 50 cm. x 9 cm,. 1 ks á 162 cm x 50 cm x 9 cm) (RS)
mytí dveří a zárubní (dveře: 2xsklad, 2x šatna, 1x kancelář sociální pracovnice, 1x modlitebna, 1x desinfekce, 1x vyšetřovna, 1x společenská místnost, 2x WC, 1x sesterna, 1x protipožární vstupní dveře oddělení, 10x pokoj) (RS)
mytí hasicích přístrojů (5 ks) a krabiček nouzového požárního tlačítka (5x) (RS)</t>
  </si>
  <si>
    <t>2x měsíčně</t>
  </si>
  <si>
    <t xml:space="preserve">vytírání podlahy s dezinfekčním prostředkem (dezinfekce dle platného dezinfekčního plánu, stírání na vlhko, na každou místnost čistý mop, setření celého prostoru od zadní stěny ke dveřím (RS), 
odtáhnout lůžka od stěny pokoje, vytřít pod lůžky, vrátit lůžka (RS)
vyprazdňování odpadkových košů vč. mytí (10 ks) – s ohledem na zásady třídění odpadu, otření koše na vlhko dezinfekčním prostředkem – zevní i vnitřní strana, výměna PE sáčků (RS)
desinfekce klik a dveří v okolí klik, vypínačů, otření zásuvky za lůžkem (RS)
</t>
  </si>
  <si>
    <t xml:space="preserve">2x týdně </t>
  </si>
  <si>
    <t xml:space="preserve">dezinfekční mytí povrchů (út, čt) – otření parapetů (celkem 10 ks rozměr: 185cm x 29cm), osvětlení u lůžka, prach z nábytku do 1,7 m (RS)
úklid a mytí botníků (10 ks) (út, čt)  (RS)
</t>
  </si>
  <si>
    <t>1xdenně</t>
  </si>
  <si>
    <t>otření všech omyvatelných povrchů dezinfekcí (RS)
mytí parapetů (6 ks á 235 cm x 29 cm, 3 ks á 122 cm x 29 cm) na vlhko (RS)
odstranění pavučin (RS)
mytí vypínačů (25 ks), zásuvek (10 ks) a dveří vč. desinfekce klik a madel (100 m) (RS)
otření stolů (2 stolky) (RS)
vyprazdňování odpadkových košů (1 koš) vč. mytí – s ohledem na zásady třídění odpadu, otření koše na vlhko dezinfekčním prostředkem – zevní i vnitřní strana, výměna PE sáčků (RS)
otření madel u židlí (8 židlí) (RS)</t>
  </si>
  <si>
    <t>strojové mytí podlahy</t>
  </si>
  <si>
    <t>otření světel signálního zařízení u pokojů (10 ks)
otření světel na chodbách (7 nouzových světel) (RS)
mytí radiátorů (2 ks á 200 cm x 50 cm. x 9 cm,. 1 ks á 162 cm x 50 cm x 9 cm) (RS)
mytí radiátorů (2 ks á 200 cm x 50 cm. x 9 cm, 1 ks á 162 cm x 50 cm x 9 cm) (RS)
mytí dveří a zárubní (dveře: 2xsklad, 2x šatna, 1x desinfekce, 1x vyšetřovna, 1x společenská místnost, 2x WC, 1x sesterna, 1x protipožární vstupní dveře oddělení, 10x pokoj) (RS)
mytí hasicích přístrojů (5 ks) a krabiček nouzového požárního tlačítka (5x) (RS)</t>
  </si>
  <si>
    <t xml:space="preserve">mytí a dezinfekce WC mís )10ks), záchodového prkénka (10 ks), podlah na toaletě (RS)
mytí dezinfekcí umyvadel včetně vodovodních baterií a odkládacích poliček (10 ks) (RS)
mytí a dezinfekce sprchových koutů, včetně baterie (10 ks) – koupelnové obklady (RS)
mytí vypínačů a dveří vč. desinfekce klik a zárubní (10 ks) (RS)
čištění zrcadel (10 ks) (RS)
vyprazdňování odpadkových košů vč. dezinfekčního mytí + výměna PE sáčků (RS) (10 ks)
doplnění toaletního papíru (RS)
</t>
  </si>
  <si>
    <t>mytí vypínačů (25 ks), zásuvek (10 ks) a dveří vč. desinfekce klik a madel (RS)</t>
  </si>
  <si>
    <t>vytírání podlahy s dezinfekčním prostředkem (dle platného dezinfekčního plánu, stírání na vlhko, vyhrazení určitého mopu, setření celého prostoru) (RS)
otření všech omyvatelných povrchů dezinfekcí včetně madel podél stěn (100 m) (RS)
mytí parapetů (6 ks á 235cm x 29 cm, 3 ks á  122 cm x 29 cm) na vlhko (RS)
odstranění pavučin (RS)
otření stolů (2 stolky) (RS)
vyprazdňování odpadkových košů (1 koš) vč. mytí – s ohledem na zásady třídění odpadu, otření koše na vlhko dezinfekčním prostředkem – zevní i vnitřní strana, výměna PE sáčků (RS)
otření madel u židlí (8 židlí) (RS)</t>
  </si>
  <si>
    <t>vytírání podlahy s dezinfekčním prostředkem (stírání na vlhko, vyhrazení určitého mopu, setření celého prostoru od zadní stěny ke dveřím) (RS)
otírání povrchu dveří, desinfekce klik (RS)
vyprazdňování odpadkových košů vč. mytí (6 košů) + výměna PE sáčků (RS)
mytí parapetů na vlhko (RS) (3 ks á 420 cm x 29 cm) (RS)</t>
  </si>
  <si>
    <t>mytí radiátorů (6 ks á 160 cm x 60 cm x 6 cm) (RS)</t>
  </si>
  <si>
    <t xml:space="preserve">vytírání podlahy s dezinfekčním prostředkem (dezinfekce dle platného dezinfekčního plánu, stírání na vlhko, na každou místnost čistý mop, setření celého prostoru od zadní stěny ke dveřím (RS), 
odtáhnout lůžka od stěny pokoje, vytřít pod lůžky, vrátit lůžka (RS)
vyprazdňování odpadkových košů vč. mytí  (5ks) – s ohledem na zásady třídění odpadu, otření koše na vlhko dezinfekčním prostředkem – zevní i vnitřní strana, výměna PE sáčků (RS)
desinfekce klik a dveří v okolí klik, vypínačů, otření zásuvky za lůžkem (RS)
</t>
  </si>
  <si>
    <t>dezinfekční mytí povrchů (út, čt)– otření parapetů (celkem 5 ks rozměr: 175cm x 29cm), osvětlení u lůžka, prach z nábytku do 1,7 m (RS)</t>
  </si>
  <si>
    <t>mytí radiátorů (RS) - 5 ks (100 cm x 60 cm x6 cm) (RS)
mytí dveří a zárubní - 5 ks (RS)</t>
  </si>
  <si>
    <t xml:space="preserve">mytí a dezinfekce WC mís (5 ks), záchodového prkénka (5 ks), podlah na toaletě (RS)
mytí dezinfekcí umyvadel včetně vodovodních baterií a odkládacích poliček (5 ks) (RS)
mytí a dezinfekce sprchových koutů – koupelnové obklady - 5 ks (RS)
mytí vypínačů a dveří vč. desinfekce klik a zárubní (RS)
čištění zrcadel (RS)
vyprazdňování odpadkových košů (5 ks) vč. dezinfekčního mytí + výměna PE sáčků (RS)
doplnění toaletního papíru (RS)
</t>
  </si>
  <si>
    <t>dezinfekční mytí povrchů (út, čt)– otření parapetů (celkem 21 ks rozměr: 123cm x48cm), osvětlení u lůžka, prach z nábytku do 1,7 m (RS)
klid a mytí botníků (RS) (út, čt)</t>
  </si>
  <si>
    <t>mytí radiátorů (RS) - 12 ks (100cm x 50 cm x9 cm), 8 ks (80 cm x 50 cm x 15cm), 3 ks (90 cm x 50 cm x 9 cm) 
mytí dveří a zárubní (RS)</t>
  </si>
  <si>
    <t xml:space="preserve">vytírání podlahy s dezinfekčním prostředkem (dle platného dezinfekčního plánu, stírání na vlhko, vyhrazení určitého mopu, setření celého prostoru) (RS)
otření všech omyvatelných povrchů dezinfekcí (RS)
mytí parapetů na vlhko (RS) 6 ks (100 cm x 50 cm) (RS)
odstranění pavučin (RS) 
otření madel židlí (5 židlí) (RS)
</t>
  </si>
  <si>
    <t>otření světel na chodbách (9 nouzových světel) (RS)
mytí radiátorů (6 ks - 71 cm x 50 cm x 15, 2 ks - 180 cm x 50 cm x 15 cm, 1 ks 140cm  x 50 cm x 15 cm) (RS)
mytí dveří a zárubní - dveře skladu vč. 1 ks zrcadla na dveřích, denní místnost zaměstnanců, desinf. místnost, 2x sesterna, 1x vyšetřovna, 8x pokoj (RS)
mytí hasicích přístrojů (4 ks) a krabiček nouzového požárního tlačítka (5 ks) (RS)</t>
  </si>
  <si>
    <t xml:space="preserve">vytírání podlahy s dezinfekčním prostředkem (dezinfekce dle platného dezinfekčního plánu, stírání na vlhko, na každou místnost čistý mop, setření celého prostoru od zadní stěny ke dveřím (RS), 
odtáhnout lůžka od stěny pokoje, vytřít pod lůžky, vrátit lůžka (RS)
vyprazdňování odpadkových košů (10 ks) vč. mytí – s ohledem na zásady třídění odpadu, otření koše na vlhko dezinfekčním prostředkem – zevní i vnitřní strana, výměna PE sáčků (RS)
desinfekce klik a dveří v okolí klik, vypínačů, otření zásuvky za lůžkem (RS)
</t>
  </si>
  <si>
    <t>dezinfekční mytí povrchů (út, čt)– otření parapetů (celkem 21 ks rozměr: 123cm x48cm), osvětlení u lůžka, prach z nábytku do 1,7 m (RS)
úklid a mytí botníků  (RS)</t>
  </si>
  <si>
    <t>mytí radiátorů (RS) - 12 ks (100cm x 50 cm x9 cm), 8 ks (80 cm x 50 cm x 15cm), 3 ks (90 cm x 50 cm x 9 cm)
mytí dveří a zárubní (RS) (10 ks)</t>
  </si>
  <si>
    <t xml:space="preserve">mytí a dezinfekce WC mís (10 ks), záchodového prkénka (10 ks), podlah na toaletě (RS)
mytí dezinfekcí umyvadel (10 ks) včetně vodovodních baterií a odkládacích poliček (RS)
mytí a dezinfekce sprchových koutů (10 ks) – koupelnové obklady (RS)
mytí vypínačů a dveří vč. desinfekce klik a zárubní (RS)
čištění zrcadel (RS)
vyprazdňování odpadkových košů vč. dezinfekčního mytí + výměna PE sáčků (RS) (10 ks) 
doplnění toaletního papíru (RS)
</t>
  </si>
  <si>
    <t>mytí vypínačů (23 ks), zásuvek (9 ks), klik a madel (100 m) (RS)</t>
  </si>
  <si>
    <t xml:space="preserve">vytírání podlahy s dezinfekčním prostředkem (dle platného dezinfekčního plánu, stírání na vlhko, vyhrazení určitého mopu, setření celého prostoru) (RS)
otření všech omyvatelných povrchů dezinfekcí (RS)
mytí parapetů na vlhko (RS) 6 ks (100 cm x 50 cm) (RS)
odstranění pavučin (RS)
otření madel židlí (5 židlí) (RS)
</t>
  </si>
  <si>
    <t>otření světel na chodbách (9 nouzových světel) (RS)
mytí radiátorů (6 ks - 71 cm x 50 cm x 15, 2 ks - 180 cm x 50 cm x 15 cm, 1 ks 140cm  x 50 cm x 15 cm) (RS)
mytí dveří a zárubní - dveře skladu vč. 1 ks zrcadla na dveřích, desinf. místnost, 2x sesterna, 1x vyšetřovna, 10x pokoj (RS)
mytí hasicích přístrojů (4 ks) a krabiček nouzového požárního tlačítka (5 ks) (RS)</t>
  </si>
  <si>
    <t xml:space="preserve">vytírání podlahy s dezinfekčním prostředkem (dezinfekce dle platného dezinfekčního plánu, stírání na vlhko, na každou místnost čistý mop, setření celého prostoru od zadní stěny ke dveřím (RS), 
odtáhnout lůžka od stěny pokoje, vytřít pod lůžky, vrátit lůžka (RS)
vyprazdňování odpadkových košů (9 košů) vč. mytí – s ohledem na zásady třídění odpadu, otření koše na vlhko dezinfekčním prostředkem – zevní i vnitřní strana, výměna PE sáčků (RS)
desinfekce klik a dveří v okolí klik, vypínačů, otření zásuvky za lůžkem (RS)
</t>
  </si>
  <si>
    <t>dezinfekční mytí povrchů (út, čt)– otření parapetů (celkem 21 ks rozměr: 123cm x48cm), osvětlení u lůžka, prach z nábytku do 1,7 m (RS)
úklid a mytí botníků (út, čt) (RS)</t>
  </si>
  <si>
    <t>mytí radiátorů (RS) - 12 ks (100cm x 50 cm x9 cm), 8 ks (80 cm x 50 cm x 15cm), 3 ks (90 cm x 50 cm x 9 cm)
mytí dveří a zárubní (RS)</t>
  </si>
  <si>
    <t xml:space="preserve">mytí a dezinfekce WC mís (9 ks), záchodového prkénka (9 ks), podlah na toaletě (RS)
mytí dezinfekcí umyvadel (9 ks) včetně vodovodních baterií a odkládacích poliček (RS)
mytí a dezinfekce sprchových koutů (9 ks) – koupelnové obklady (RS)
mytí vypínačů a dveří vč. desinfekce klik a zárubní (RS)
čištění zrcadel (RS)
vyprazdňování odpadkových košů (9 ks) vč. dezinfekčního mytí + výměna PE sáčků (RS)
doplnění toaletního papíru (RS)
</t>
  </si>
  <si>
    <t>mytí radiátorů (6 ks - 71 cm x 50 cm x 15, 2 ks - 180 cm x 50 cm x 15 cm, 1 ks 140cm  x 50 cm x 15 cm) (RS)
mytí dveří a zárubní - dveře skladu vč. 1 ks zrcadla na dveřích, inhalace, desinf. místnost, 2x sesterna, 1x vyšetřovna, 9x pokoj  (RS)
mytí hasicích přístrojů (4 ks) a krabiček nouzového požárního tlačítka (5 ks) (RS)</t>
  </si>
  <si>
    <t xml:space="preserve">mytí vypínačů (23 ks), zásuvek (9 ks),  a desinfekce klik a madel (100 m) (RS) </t>
  </si>
  <si>
    <t xml:space="preserve">vytírání podlahy s dezinfekčním prostředkem (dle platného dezinfekčního plánu, stírání na vlhko, vyhrazení určitého mopu, setření celého prostoru) (RS)
otření všech omyvatelných povrchů dezinfekcí (RS)
mytí parapetů na vlhko (RS) 6 ks (100 cm x 50 cm) 
odstranění pavučin (RS)
otření madel židlí (5 židlí) (RS)
</t>
  </si>
  <si>
    <t>Úklid pokojů pacientů A0 / včetně zádveří - 10 pokojů</t>
  </si>
  <si>
    <t>Chodba A0</t>
  </si>
  <si>
    <t>Úklid pokojů pacientů A1/včetně zádveří / 10x pokoj</t>
  </si>
  <si>
    <t>Úklid balkónů - v letních měsících (1.duben-15.říjen - 29 týdnů) A1 11x balkón</t>
  </si>
  <si>
    <t>Chodba A1</t>
  </si>
  <si>
    <t>Úklid pokojů pacientů A2/ včetně zádveří 10x pokoj</t>
  </si>
  <si>
    <t>Úklid WC/sprch - pokoje pacientů A2, 10x koupelna</t>
  </si>
  <si>
    <t>Úklid balkónů - v letních měsících (1.duben-15.říjen - 29 týdnů) A2 11x balkón</t>
  </si>
  <si>
    <t>Chodba A2</t>
  </si>
  <si>
    <t>Úklid pokojů pacientů B (5 pokojů)</t>
  </si>
  <si>
    <t>Úklid WC/sprch - pokoje pacientů B - 5 pokojů</t>
  </si>
  <si>
    <t>Úklid WC/sprch - pokoje pacientů C1  (10 pokojů)</t>
  </si>
  <si>
    <t>Úklid pokojů pacientů C2 - 9 pokojů</t>
  </si>
  <si>
    <t>Úklid WC/sprch - pokoje pacientů C2 (9 pokojů)</t>
  </si>
  <si>
    <t xml:space="preserve">Úklid atrií C0, C1, C2 </t>
  </si>
  <si>
    <t>čištění mřížek v podlaze – topení (RS) (15 ks – velikost: 200cmx40cm) (RS)</t>
  </si>
  <si>
    <t>omytí vstupních dveří – výplň dveří: sklo (RS)</t>
  </si>
  <si>
    <t>vytírání podlahy s dezinfekčním prostředkem (dle platného dezinfekčního plánu, stírání na vlhko, vyhrazení určitého mopu, setření celého prostoru) (RS)
vyprazdňování odpadkových košů vč. mytí (6ks) + výměna PE sáčků (RS)
vysátí koberce před výtahem 3 ks (123 cm x 90 cm) (RS)
omytí vstupních dveří – výplň dveří: sklo (RS)</t>
  </si>
  <si>
    <t xml:space="preserve">vytírání podlahy s dezinfekčním prostředkem (stírání na vlhko, vyhrazení určitého mopu, setření celého prostoru od zadní stěny ke dveřím) (RS)
otírání povrchu dveří (8x dveře), desinfekce klik a otírání okenních parapetů (8 ks á 240 cm x 28 cm) (RS)
otření zrcadel (8 ks á 200cm x 160 cm) (RS)
vyprazdňování odpadkových košů vč. mytí (8 košů) + výměna PE sáčků (RS)1x denně vyprazdňování odpadkových košů vč. mytí (8 košů) + výměna PE sáčků (RS)
</t>
  </si>
  <si>
    <t>mytí radiátorů (8 ks á 180 cm x 60 cm x 6cm) (RS)</t>
  </si>
  <si>
    <t>vytírání podlahy s dezinfekčním prostředkem (stírání na vlhko, vyhrazení určitého mopu, setření celého prostoru od zadní stěny ke dveřím) (RS)
otírání povrchu dveří (9x dveře), desinfekce klik a otírání okenních parapetů (12 ks á 240 cm x 28 cm) (RS)
vyprazdňování odpadkových košů vč. mytí (18 košů) + výměna PE sáčků (RS)</t>
  </si>
  <si>
    <t>mytí radiátorů (12 ks á 160cm x 60 cm x 6cm) (RS)</t>
  </si>
  <si>
    <t>vytírání podlahy s dezinfekčním prostředkem (stírání na vlhko, vyhrazení určitého mopu, setření celého prostoru od zadní stěny ke dveřím) (RS)
otírání povrchu dveří (6x dveře), desinfekce klik a otírání okenních parapetů (6 ks á 240 cm x 28 cm) (RS)
vyprazdňování odpadkových košů vč. mytí (6 košů) + výměna PE sáčků  (RS)</t>
  </si>
  <si>
    <t>vytírání podlahy s dezinfekčním prostředkem (stírání na vlhko, vyhrazení určitého mopu, setření celého prostoru od zadní stěny ke dveřím) (RS)
mytí umyvadel včetně vodovodních baterií (4 ks) (RS)
otírání povrchu dveří (5x dveře), desinfekce klik a otírání okenních parapetů (4 ks á 240 cm x 28 cm) (RS)
vyprazdňování odpadkových košů vč. mytí (8 košů) + výměna PE sáčků (RS)1x denně vyprazdňování odpadkových košů vč. mytí (8 košů) + výměna PE sáčků (RS)</t>
  </si>
  <si>
    <t>Úklid pokojů pacientů C0 / 8 pokojů, 2 cvičebny</t>
  </si>
  <si>
    <t>Pokoje pacientů, cvičebny - 10 pokojů C0</t>
  </si>
  <si>
    <t>WC/sprchy pokoje pacientů - 10 místností C0</t>
  </si>
  <si>
    <t>Úklid WC/sprch - pokoje pacientů C0 (10 místností)</t>
  </si>
  <si>
    <t xml:space="preserve">vytírání podlahy s dezinfekčním prostředkem (dezinfekce dle platného dezinfekčního plánu, stírání na vlhko, na každou místnost čistý mop, setření celého prostoru od zadní stěny ke dveřím (RS), 
odtáhnout lůžka od stěny pokoje, vytřít pod lůžky, vrátit lůžka (RS)
vyprazdňování odpadkových košů vč. mytí (10ks) – s ohledem na zásady třídění odpadu, otření koše na vlhko dezinfekčním prostředkem – zevní i vnitřní strana, výměna PE sáčků (RS)
desinfekce klik a dveří v okolí klik, vypínačů, otření zásuvky za lůžkem (RS)
</t>
  </si>
  <si>
    <t xml:space="preserve">mytí a dezinfekce WC mís (10 ks), záchodového prkénka (10 ks), podlah na toaletě (RS)
mytí dezinfekcí umyvadel (10 ks) včetně vodovodních baterií a odkládacích poliček (RS)
mytí a dezinfekce sprchových koutů – koupelnové obklady (10 ks)(RS)
mytí vypínačů a dveří vč. desinfekce klik a zárubní (RS)
čištění zrcadel (10ks) (RS) 
vyprazdňování odpadkových košů vč. dezinfekčního mytí + výměna PE sáčků (RS) (10 ks)
doplnění toaletního papíru (RS)
</t>
  </si>
  <si>
    <t>mytí radiátorů (4 ks á 180 cm x 60 cm x 6 cm) (RS)</t>
  </si>
  <si>
    <t xml:space="preserve">mytí vypínačů (44 ks), zásuvek (15 ks), a desinfekce klik a madel (325 m) (RS) </t>
  </si>
  <si>
    <t xml:space="preserve">vytírání podlahy s dezinfekčním prostředkem (dle platného dezinfekčního plánu, stírání na vlhko, vyhrazení určitého mopu, setření celého prostoru – přístrojové čištění v kombinaci s mopem) 
mytí parapetů na vlhko (8 ks á350 cm x 28 cm), (1 ks á 475 cm x 28 cm)
odstranění pavučin
otření madel židlí (25 židlí)
</t>
  </si>
  <si>
    <t>Vstupní hala, spojovací krčky 0.,I., II. patro</t>
  </si>
  <si>
    <t>otření světel na chodbách (18 nouzových světel)
mytí radiátorů (3 ks á 180 cm x 60 cm x 6 cm), (1 ks á 180 cm x 60 cm x 9 cm), (1ks á 263 cm x 60 cm x 9 cm), (4 ks á 300 cm x 60 cm x 6 cm)
mytí dveří a zárubní
mytí hasicích přístrojů (4 ks) a krabiček nouzového požárního tlačítka (3 ks), hydrantu (2 ks)
mytí hlásiče – reproduktoru na stěně (6 ks)
mytí bílých lišt soklů (365m)</t>
  </si>
  <si>
    <t>Společné WC na chodbách</t>
  </si>
  <si>
    <t xml:space="preserve">mytí a dezinfekce WC mís (19 ks) a mušlí (5 ks), záchodového prkénka (19 ks), podlah na toaletě
mytí dezinfekcí umyvadel (14ks) včetně vodovodních baterií 
mytí vypínačů a dveří vč. desinfekce klik a zárubní 
čištění zrcadel (19 ks) 
vyprazdňování odpadkových košů vč. dezinfekčního mytí + výměna PE sáčků (RS) (16 ks)
doplnění toaletního papíru 
</t>
  </si>
  <si>
    <t>mytí radiátorů (6 ks á 200 cm x 50 cm x 9 cm)
mytí dveří a zárubní</t>
  </si>
  <si>
    <t xml:space="preserve">parní čištění sanitárního zařízení </t>
  </si>
  <si>
    <t>Hlavní schodiště</t>
  </si>
  <si>
    <t xml:space="preserve">vytírání podlahy s dezinfekčním prostředkem (stírání na vlhko, vyhrazení určitého mopu, setření celého prostoru) (RS, 1NP, 2NP. / OD: recepce, -1 patro)
vytírání podlahy plošin a prostoru pod plošinami, vstup, A1, A2
otření parapetů (4 ks á 116 cm x 28 cm) včetně okenních mřížek (4m)
</t>
  </si>
  <si>
    <t>otření rolet u plošin A1, A2</t>
  </si>
  <si>
    <t>mytí skel na schodišti (70 m2) a skel plošin (vstup, A1, A2), mytí světel a bílých lišt (180 m) na schodišti</t>
  </si>
  <si>
    <t>otření zábradlí (180 m), odstranění pavučin (RS, 1NP, 2NP. / OD: recepce, -1 patro)</t>
  </si>
  <si>
    <t xml:space="preserve">vytírání podlahy s dezinfekčním prostředkem (stírání na vlhko, vyhrazení určitého mopu, setření celého prostoru)
otření parapetů (6 ks á 120 cm x 50 cm)
otření zábradlí (300 m), odstranění pavučin
</t>
  </si>
  <si>
    <t>otření zábradlí (300 m), odstranění pavučin</t>
  </si>
  <si>
    <t>mytí skel na schodišti (100 m2) 
mytí světel a bílých lišt na schodišti (300 m)</t>
  </si>
  <si>
    <t>Schodiště oddělení C (-1, C0, C1, C2)</t>
  </si>
  <si>
    <t>3x týdně</t>
  </si>
  <si>
    <t xml:space="preserve">vytírání podlahy s dezinfekčním prostředkem (dle platného dezinfekčního plánu, stírání na vlhko, vyhrazení určitého mopu, setření celého prostoru) (RS)
mytí dezinfekcí umyvadel včetně vodovodních baterií a odkládacích poliček (3ks) (RS)
vyprazdňování odpadkových košů vč. des. mytí + výměna PE sáčků (RS) (3ks)
otření lokálních osvětlovacích těles (RS)
otření parapetů a odkládacích poliček, prachu z nábytku do výše 1,7 m, vypínačů a el. zásuvek, klik a dveří v okolí klik (RS)
otření zrcadel přípravkem na mytí skla (RS)
</t>
  </si>
  <si>
    <t>Provozovna kadeřnice</t>
  </si>
  <si>
    <t xml:space="preserve">vytírání podlahy (RS) (v pátek)
otírání všech povrchů (vč. nábytku, dveří apod.) a okenních parapetů (1 ks á 240 cm x 28 cm)(RS) (v pátek)
vyprazdňování odpadkových košů vč. des. mytí + výměna PE sáčků (1ks) (RS) (v pátek)
mytí umyvadel včetně vodovodních baterií (1ks) (RS) (v pátek)
mytí dveří vč. klik a zárubní, otírání ploch radiátorů (1 ks á 160cm x 60 cm x 6cm), omytí vypínačů a zrcadel (RS) (v pátek)
</t>
  </si>
  <si>
    <t>parní čištění sanitárního zařízení (OS)</t>
  </si>
  <si>
    <t xml:space="preserve">Parafango, elektroléčba, magnetoterapie, laser  - místnosti léčby, denní místnost zaměstnanců </t>
  </si>
  <si>
    <t>mytí radiátorů (1 ks á 71 cm x 60 cm x 6, 3 ks á 160 cm x 60 cm x 9 cm, 1 ks á 120 cm x 60 cm x 6 cm, 2 ks á 100 cm x 50 cm x 6 cm, 3 ks á 100 cm x 60 cm x 6 cm, 1 ks á 200 cm x 50 cm, x 9 cm) (OS)
mytí dveří a zárubní (OS)</t>
  </si>
  <si>
    <t>mytí radiátorů (6 ks á 80 cm x 50 cm x 6)
mytí lišt soklů (46 m)</t>
  </si>
  <si>
    <t>2x tělocvična (po-pá)/246 prac.dní</t>
  </si>
  <si>
    <t xml:space="preserve">vytírání podlahy s dezinfekčním prostředkem (dle platného dezinfekčního plánu, stírání na vlhko, vyhrazení určitého mopu, setření celého prostoru) (OS)
mytí dezinfekcí umyvadel (2 ks) včetně vodovodních baterií 
mytí vypínačů a dveří (2 ks, 1 ks křídlo) vč. desinfekce klik a zárubní 
čištění zrcadel (2 ks) 
vyprazdňování odpadkových košů vč. dezinfekčního mytí + výměna PE sáčků (RS) (2 ks)
otření parapetů (6 ks á 150 cm x 28 cm)
</t>
  </si>
  <si>
    <t>mytí radiátorů (1 ks á 1120 cm x 60 cm x 6, 1 ks á 50 cm x 60 cm x 6 cm)
mytí dveří a zárubní</t>
  </si>
  <si>
    <t xml:space="preserve">Společné WC - chodba vodoléčby, spojovací krček -1 </t>
  </si>
  <si>
    <t>parní čištění sanitárního zařízení</t>
  </si>
  <si>
    <t xml:space="preserve">mytí a dezinfekce WC mís (11 ks) a mušlí (3 ks), záchodového prkénka (11 ks), podlah na toaletě
mytí dezinfekcí umyvadel (8 ks) včetně vodovodních baterií 
mytí vypínačů a dveří vč. desinfekce klik a zárubní 
čištění zrcadel (8 ks) 
vyprazdňování odpadkových košů vč. dezinfekčního mytí + výměna PE sáčků (RS) (4 ks)
doplnění toaletního papíru 
otření parapetů (2 ks á 90 cm x 28 cm)
</t>
  </si>
  <si>
    <t>Chodba vodoléčby, spojovací krček - chodba elektroléčby, chodba u prádelny, údržby, krček u zadního vchodu</t>
  </si>
  <si>
    <t>otření rozhlasového zařízení na stěně (4 ks)
otření krabiček nouzového poplachu (5 ks)
otření světel na chodbách (10 nouzových světel) 
mytí radiátorů (OS) (1ks á 80 cm x 50 cm x 9 cm, 1 ks á 220 cm, 60 cm, 9 cm, 1 ks á 50 cm x 60 cm x 6 cm), 
odstranění pavučin (OS)
mytí dveří a zárubní (OS)
mytí hasicích přístrojů (12 ks) a hydrantů (1ks) (OS)
mytí bílých lišt soklů (266 m) (OS)</t>
  </si>
  <si>
    <t>Chodba vodoléčby (po-pá), spojovací krček - chodba elektroléčby (po-pá), chodba u prádelny, údržby, krček u zadního vchodu / 246 prac. dní</t>
  </si>
  <si>
    <t xml:space="preserve">vytírání podlahy s dezinfekčním prostředkem (dle platného dezinfekčního plánu, stírání na vlhko, vyhrazení určitého mopu, setření celého prostoru – přístrojové čištění v kombinaci s mopem) (OS)
mytí vypínačů (40 ks), zásuvek (15 ks) a dveří vč. desinfekce klik a zárubní (OS) 
vyprazdňování odpadkových košů (2 ks) vč. des. mytí + výměna PE sáčků (OS)
otření parapetů (1 ks á 280 cm x 28 cm, 1 ks á 420 cm x28 cm, 1 ks á 400 cm x 28 cm) (OS)
desinfekce klik (OS)
desinfekce madel (73 m) (OS)
</t>
  </si>
  <si>
    <t>čištění drážek při vstupu (RS)</t>
  </si>
  <si>
    <t>desinfekce celých stěn (leštění) (RS)</t>
  </si>
  <si>
    <t xml:space="preserve">čištění záchytných vstupních rohoží u zadního vchodu do budov (350 cm x 250 cm) – vysávání (OS)
desinfekce madel ve vstupním prostoru (15 m), včetně madel plošiny (10 m)
vytření podlahy plošiny (150 cm x 100 cm)
otření skel plošiny
otření vstupních dveří – hlavní vchod (RS), zadní vchod (OS)
</t>
  </si>
  <si>
    <t>čištění záchytných vstupních rohoží u hlavního vchodu do budov – vysávání (500 cm x 300 cm) (RS, OS)</t>
  </si>
  <si>
    <t>mytí bílých lišt soklů – zadní vchod (8 m)</t>
  </si>
  <si>
    <t xml:space="preserve">vytírání podlahy s dezinfekčním prostředkem (dle platného dezinfekčního plánu, stírání na vlhko, vyhrazení určitého mopu, setření celého prostoru) (OS)
mytí parapetů na vlhko (3 ks á350 cm x 28 cm), (4 ks á 335 cm x 28 cm) (OS)
 odstranění pavučin (OS)
mytí vypínačů a zásuvek, a desinfekce klik a ochranných lišt za židlemi (250 m) (OS)
mytí umyvadel (3 ks) (OS)
</t>
  </si>
  <si>
    <t>mytí radiátorů (3 ks á 160 cm x 60 cm x 6 cm), (4 ks á 140 cm x 60 cm x 6 cm) (OS)
mytí dveří a zárubní (3 ks dvoukřídlých dveří, 1 ks dveří) (OS)</t>
  </si>
  <si>
    <t>vytírání podlahy s dezinfekčním prostředkem (stírání na vlhko, vyhrazení určitého mopu, setření celého prostoru od zadní stěny ke dveřím) (RS)
otírání povrchu dveří (3 ks) , desinfekce klik (RS)
vyprazdňování odpadkových košů vč. mytí (4 ks) + výměna PE sáčků (RS)</t>
  </si>
  <si>
    <t>vytírání podlahy s dezinfekčním prostředkem (dle platného dezinfekčního plánu, stírání na vlhko, vyhrazení určitého mopu, setření celého prostoru – přístrojové čištění v kombinaci s mopem) (OS)
mytí dezinfekcí umyvadel (4ks) včetně vodovodních baterií a odkládacích poliček OS)
mytí a dezinfekce sprchových koutů (4 ks) – koupelnové obklady (OS)
mytí vypínačů a dveří vč. desinfekce klik a zárubní (OS) (10x dveře, 1x křídlové dveře)
vyprazdňování odpadkových košů vč. des. mytí + výměna PE sáčků (OS) (8 ks)
otření zrcadel přípravkem na mytí skla (OS) (4ks)
desinfekce klik (OS)
otření prachu z nábytku do výše 1,7 m, vypínačů a el. zásuvek, klik a dveří v okolí klik (OS)</t>
  </si>
  <si>
    <t>otření lokálních osvětlovacích těles (OS)
mytí parapetů - povrch: koupelnové obklady (12 ks) (OS)
mytí radiátorů (12 ks á 230 cm x 60 cm x 6 cm) (OS)
mytí dveří (11) a zárubní (OS)
mytí hydrantů (1 ks) (OS)</t>
  </si>
  <si>
    <t>Vodoléčba, toalety ve vodoléčbě, šatny ve vodoléčbě</t>
  </si>
  <si>
    <t>Jídelna zaměstnanců a pacientů</t>
  </si>
  <si>
    <t>Prostor hyperbarické komory - včetně šatny pacientů (út a pá)</t>
  </si>
  <si>
    <t>Vodoléčba (po-pá), toalety ve vodoléčbě, šatny ve vodoléčbě/ 246 pracovních dní</t>
  </si>
  <si>
    <t>Vchody do budovy</t>
  </si>
  <si>
    <t>Úklid balkónů - (1.duben-15.říjen - 29 týdnů) A0 10x balkón</t>
  </si>
  <si>
    <t>1x týdně/ 29 týdnů</t>
  </si>
  <si>
    <t>vytírání podlahy s dezinfekčním prostředkem (dezinfekce dle platného dezinfekčního plánu, stírání na vlhko, na každou místnost čistý mop, setření celého prostoru od zadní stěny ke dveřím (RS), 
odtáhnout lůžka od stěny pokoje, vytřít pod lůžky, vrátit lůžka (RS)
vyprazdňování odpadkových košů vč. mytí (10 ks) – s ohledem na zásady třídění odpadu, otření koše na vlhko dezinfekčním prostředkem – zevní i vnitřní strana, výměna PE sáčků (RS)
desinfekce klik a dveří v okolí klik, vypínačů, otření zásuvky za lůžkem (RS)</t>
  </si>
  <si>
    <t>dezinfekční mytí povrchů (út a čt)  – otření parapetů (celkem 10 ks rozměr: 185cm x 29cm), osvětlení u lůžka, prach z nábytku do 1,7 m (RS)
úklid a mytí botníků (10 ks) (RS) (út a čt)</t>
  </si>
  <si>
    <t>označní místností, pokojů, prostoru k úklidu, případně počet místnostní</t>
  </si>
  <si>
    <t xml:space="preserve">náplň činnosti pro daný úsek </t>
  </si>
  <si>
    <t>místo úklidu - sloupec A</t>
  </si>
  <si>
    <t>plocha podlahy v m2 - sloupec B</t>
  </si>
  <si>
    <t>jednotka úklidu - sloupec C</t>
  </si>
  <si>
    <t>četnost úklidu - sloupec E</t>
  </si>
  <si>
    <t>nabídková cena na jednotku úklidu - sloupec D</t>
  </si>
  <si>
    <t>jak často se úklid provádí  - nastaveno zadavatelem</t>
  </si>
  <si>
    <t>výpočet za rok dle četnosti za jednotku úklidu - nastaveno zadavatelem vzorečkem dle četnosti</t>
  </si>
  <si>
    <t>1x týdně = *51 (52 týdnů mínus 1 plný týden uzavřené zařízení)</t>
  </si>
  <si>
    <t>Rozsah /den</t>
  </si>
  <si>
    <t>sběr konvic od čaje od pacientů (max. 163 pacientů)</t>
  </si>
  <si>
    <t>roznos plných konvic s čajem pacientům (max. 163 pacientů)</t>
  </si>
  <si>
    <t xml:space="preserve">Jednotka výpomoci </t>
  </si>
  <si>
    <t>výpomoc - 6 pracovníků *15 min</t>
  </si>
  <si>
    <t xml:space="preserve">výpomoc - 6 pracovníků *20 min </t>
  </si>
  <si>
    <t>výpomoc - 2 pracovníci *45 min</t>
  </si>
  <si>
    <t>výpomoc - 6 pracovníků *10 min</t>
  </si>
  <si>
    <t>výpomoc - 6 pracovníků *20 min</t>
  </si>
  <si>
    <t>výpomoc - 2 pracovníci *30 min</t>
  </si>
  <si>
    <t xml:space="preserve">dolévání čaje do konvic pacientům (max. 163 pacientů) </t>
  </si>
  <si>
    <t xml:space="preserve">sběr špinavého nádobí od pacientů - snídaně </t>
  </si>
  <si>
    <t>sběr špinavého nádobí od pacientů - oběd</t>
  </si>
  <si>
    <t>Malý sanitární den (2 pracovníci na 2,5 hodiny)/ 8 x ročně</t>
  </si>
  <si>
    <t>Velký sanitářní den (3 pracovníci na 4 hodiny)/ 4x ročně</t>
  </si>
  <si>
    <t>Nabídková cena v Kč bez DPH za jednotku za 1 hodinu/1 pracovník</t>
  </si>
  <si>
    <t xml:space="preserve">čištění sítí proti hmyzu </t>
  </si>
  <si>
    <t>čištění sítí proti hmyzu (55 sítí * 2x ročně)</t>
  </si>
  <si>
    <t>Nabídková cena v Kč bez DPH za jednotku/ za 1 m2 nebo za 1 ks</t>
  </si>
  <si>
    <t>Mytí oken (včetně rámu), žaluzií a omyvatelných ploch v zařízení, sítí, vysávání výustek</t>
  </si>
  <si>
    <t>vysávání výustek vzduchotechniky v koupelnách a WC</t>
  </si>
  <si>
    <t xml:space="preserve">mytí omyvatelných zdí v celém objektu </t>
  </si>
  <si>
    <t xml:space="preserve">mytí oken atria - jednostranně </t>
  </si>
  <si>
    <t>mytí okenních horizontálních plechových žaluzií oboustranně</t>
  </si>
  <si>
    <t>mytí oken atria - jednostranně (plocha 136m2) (2*ročně 136m2)</t>
  </si>
  <si>
    <t>mytí okenních horizontálních plechových žaluzií oboustranně (2*ročně 108 m 2)</t>
  </si>
  <si>
    <t>vysávání výustek vzduchotechniky v koupelnách a WC - 1*měsíčně*100 ks</t>
  </si>
  <si>
    <t>Nabídková cena v Kč bez DPH za hod/ 1 pracovník</t>
  </si>
  <si>
    <t>manuální úklid/dodatečné práce</t>
  </si>
  <si>
    <r>
      <rPr>
        <sz val="10"/>
        <rFont val="Times New Roman"/>
        <family val="1"/>
        <charset val="238"/>
      </rPr>
      <t>generální úklid, po stěhování, po malování a stavebních pracích (v ceně zahrnuto mytí oken včetně rámu, mytí parapetů, mytí dveří v místnosti, ruční mytí podlah včetně ručního dočištění, mytí veškerých omyvatelných stěn, mytí povrchu vybavení daného prostoru).</t>
    </r>
    <r>
      <rPr>
        <b/>
        <sz val="10"/>
        <rFont val="Times New Roman"/>
        <family val="1"/>
        <charset val="238"/>
      </rPr>
      <t xml:space="preserve">  Úklid při haváriích, úklid nad sjednaný rámec, záskok za úklid prováděný zaměstnancem RÚ</t>
    </r>
  </si>
  <si>
    <t xml:space="preserve">ytírání podlahy s dezinfekčním prostředkem (dle platného dezinfekčního plánu, stírání na vlhko, vyhrazení určitého mopu, setření celého prostoru) (OS)
mytí dezinfekcí umyvadel (7 ks) včetně vodovodních baterií (OS)
mytí vypínačů (8ks) a dveří (6 ks) vč. desinfekce klik a zárubní (OS)
čištění zrcadel (7 ks) (OS)
vyprazdňování odpadkových košů vč. dezinfekčního mytí + výměna PE sáčků (OS) (14 ks)
otření parapetů (2 ks á 118 cm x 28 cm, 3 ks á 200 cm x 28 cm, 6 ks á 120 cm x 28 cm) (OS)
</t>
  </si>
  <si>
    <t>Parafango, elektroléčba, magnetoterapie, laser  - místnosti léčby, denní místnost zaměstnanců (po-pá)/246 prac. dní</t>
  </si>
  <si>
    <t xml:space="preserve">CELKEM </t>
  </si>
  <si>
    <t>Cvičebny / rehabilitace 1NP 8 cvičeben/ambulancí</t>
  </si>
  <si>
    <t>Vyšetřovny (6x místnost)</t>
  </si>
  <si>
    <t>Sesterny (6x místnost)</t>
  </si>
  <si>
    <t>Kanceláře: stravovací provoz, logoped, sociální pracovnice, příjem a recepce</t>
  </si>
  <si>
    <t xml:space="preserve">cena za kterou je provedena 1 četnost =1 úklid uvedených činností daného řádku ve sloupci C </t>
  </si>
  <si>
    <t>Společné WC - chodba vodoléčby, spojovací krček -1 /(po-pá)  246 pracovních dní</t>
  </si>
  <si>
    <t>nabídková cena za 1 rok - sloupec F</t>
  </si>
  <si>
    <t>2x týdně= *2*51</t>
  </si>
  <si>
    <t>2x denně = *2*353</t>
  </si>
  <si>
    <t>2x měsíčně = *2*12</t>
  </si>
  <si>
    <t>3x týdně = *3*51</t>
  </si>
  <si>
    <t>1x týdně = *29 (pro období  1.4.-15.10 = 29 týdnů)</t>
  </si>
  <si>
    <t>B) Kalkulace úklidu pro hodnocení (nepravidelný úklid) *</t>
  </si>
  <si>
    <t>Dodavatel vyplní zvýrazněné buňky</t>
  </si>
  <si>
    <t>mytí padem mezi vanami a vaničkami, mytí dveří, klik a košů s dezinfekcí, dveří u sprch a  baterií, zrcadel, mytí sprchových koutů padem - podlaha a kachličky, mytí celé podlahy mycím strojem</t>
  </si>
  <si>
    <t xml:space="preserve">mytí padem mezi vanami a vaničkami, mytí dveří, klik a košů s dezinfekcí, dveří u sprch a baterií, zrcadel, mytí sprchových koutů padem - podlaha a kachličky, mytí celé podlahy mycím strojem, mytí všech stěn a radiátorů, stěrkování po umytí kartáčem). </t>
  </si>
  <si>
    <r>
      <rPr>
        <b/>
        <sz val="10"/>
        <color theme="1"/>
        <rFont val="Arial"/>
        <family val="2"/>
        <charset val="238"/>
      </rPr>
      <t>OS</t>
    </r>
    <r>
      <rPr>
        <sz val="10"/>
        <color theme="1"/>
        <rFont val="Arial"/>
        <family val="2"/>
        <charset val="238"/>
      </rPr>
      <t xml:space="preserve"> - odpolední směna (11:30-20:00) - v pracovní dny 2 pracovníci</t>
    </r>
  </si>
  <si>
    <t>1x denně = *354 (365 mínus 11 dní při uzavření celého zařízení v době vánočních svátků)</t>
  </si>
  <si>
    <t>mytí oken atria - jednostranně / venkovní část</t>
  </si>
  <si>
    <r>
      <t xml:space="preserve">mytí oken oboustranně </t>
    </r>
    <r>
      <rPr>
        <sz val="10"/>
        <rFont val="Times New Roman"/>
        <family val="1"/>
        <charset val="238"/>
      </rPr>
      <t>(plocha skla včetně rámu a parapetu)</t>
    </r>
    <r>
      <rPr>
        <b/>
        <sz val="10"/>
        <rFont val="Times New Roman"/>
        <family val="1"/>
        <charset val="238"/>
      </rPr>
      <t xml:space="preserve"> </t>
    </r>
  </si>
  <si>
    <t>mytí světlíků/plastové anglické dvorky v přízemí - budova A - 2x ročně - 16 ks</t>
  </si>
  <si>
    <t>mytí oken u světlíků mytí oken oboustranně (plocha skla  - mytí včetně rámu a parapetu) budova A - 2x ročně (14,88m2)</t>
  </si>
  <si>
    <t>mytí oken u světlíků mytí oken oboustranně (plocha skla  - mytí včetně rámu a parapetu) budova C - 2x ročně (4,4m2)</t>
  </si>
  <si>
    <t>mytí dvorku - úzký prostor</t>
  </si>
  <si>
    <t>mytí světlíků/plastové anglické dvorky v přízemí - budova C - 2x ročně - 12 ks</t>
  </si>
  <si>
    <t>mytí prosklených dveří a  otevíracích oken nad dveřmi - schodiště A (2*5,86 m2) A1, A2, A3</t>
  </si>
  <si>
    <t>mytí oken ve výškách - hlavní schodiště, schhodiště C (pevné usazení oken) (2*14,12m2) - práce ve výškách/ přístup plošiny lze</t>
  </si>
  <si>
    <t>sběr špinavého nádobí od pacientů - večeře  (mimo so, ne, svátek)</t>
  </si>
  <si>
    <t>venkovní mytí oken atria - jednostranně (plocha 136m2/ 1*ročně - práce teleskopickou tyčí nebo ve výškách/ přístup plošiny lze</t>
  </si>
  <si>
    <r>
      <t xml:space="preserve">mytí oken oboustranně </t>
    </r>
    <r>
      <rPr>
        <sz val="10"/>
        <rFont val="Times New Roman"/>
        <family val="1"/>
        <charset val="238"/>
      </rPr>
      <t>(plocha skla  - mytí včetně rámu a parapetu)</t>
    </r>
    <r>
      <rPr>
        <b/>
        <sz val="10"/>
        <rFont val="Times New Roman"/>
        <family val="1"/>
        <charset val="238"/>
      </rPr>
      <t xml:space="preserve"> 2x ročně 2500 m2 ((2*2500)</t>
    </r>
  </si>
  <si>
    <r>
      <t xml:space="preserve">Nabídková cena v Kč bez DPH za celkovou práci </t>
    </r>
    <r>
      <rPr>
        <b/>
        <i/>
        <sz val="8"/>
        <rFont val="Times New Roman"/>
        <family val="1"/>
        <charset val="238"/>
      </rPr>
      <t>(násobek sloupce D x sloupce E x 354) za 1 rok / 354 dní</t>
    </r>
    <r>
      <rPr>
        <b/>
        <i/>
        <sz val="11"/>
        <rFont val="Times New Roman"/>
        <family val="1"/>
        <charset val="238"/>
      </rPr>
      <t>/246 dní</t>
    </r>
  </si>
  <si>
    <t xml:space="preserve">vytírání podlahy s dezinfekčním prostředkem (stírání na vlhko, vyhrazení určitého mopu, setření celého prostoru od zadní stěny ke dveřím) s ohledem na nerezové materiály (RS) 
desinfekce nerez povrchu a madel, čištění tlačítek (RS) 
vysávání koberců před výtahy (RS)
</t>
  </si>
  <si>
    <t xml:space="preserve">Výtah (2ks) </t>
  </si>
  <si>
    <t>mytí skel - vstupní dveře Atrium, C0 vstup - pohyblivé dveře</t>
  </si>
  <si>
    <t>otření povrchu nábytku ve výškách více než 1,7 m (RS), otření okenních žaluziíí prachovkou</t>
  </si>
  <si>
    <t xml:space="preserve">Úklid společenských místností  a cvičeben A0, A1, A2 </t>
  </si>
  <si>
    <t xml:space="preserve">Společenské místnosti a cvičebny A0, A1, A2 </t>
  </si>
  <si>
    <t>otření okenních žaluziíí prachovkou</t>
  </si>
  <si>
    <t>Denní místnosti zaměstnanců (sanitáři A0, C0)</t>
  </si>
  <si>
    <t>Desinfekční místnost 6x místnost</t>
  </si>
  <si>
    <t>Prostor márnice, modlitebny, inhalace, lékárna</t>
  </si>
  <si>
    <t>vytírání podlahy s dezinfekčním prostředkem (stírání na vlhko, vyhrazení určitého mopu, setření celého prostoru od zadní stěny ke dveřím) (RS)
otírání povrchu dveří (5x dveře), desinfekce klik a otírání okenních parapetů (4 ks á 240 cm x 28 cm) (RS)
vyprazdňování odpadkových košů vč. mytí (8 košů) + výměna PE sáčků (RS)1x denně vyprazdňování odpadkových košů vč. mytí (8 košů) + výměna PE sáčků (RS)</t>
  </si>
  <si>
    <t>Místnosti úklidu</t>
  </si>
  <si>
    <t>Jídelna pacientů</t>
  </si>
  <si>
    <t>Rozsah hod/rok</t>
  </si>
  <si>
    <t>Sklady s prádlem, sklady</t>
  </si>
  <si>
    <t>přitomnost vedoucího pracovníka 2*4 hod/týdně v pracovní dny v pondělí a čtvrtek (v čase v rozmezí 8:00-14:00)</t>
  </si>
  <si>
    <t xml:space="preserve">Požadavky/Použité zkratky: </t>
  </si>
  <si>
    <t xml:space="preserve">Nabídková cena v Kč bez DPH / 1 rok </t>
  </si>
  <si>
    <t>Celková cena pro účely hodnocení sekce A  za 
1 rok bez DPH v Kč</t>
  </si>
  <si>
    <t>Cena úklidových služeb "pravidelný úklid" za 1 měsíc</t>
  </si>
  <si>
    <t>CENA SLUŽBY 2024/ MĚSÍC</t>
  </si>
  <si>
    <t>CENA SLUŽBY 2025/ MĚSÍC</t>
  </si>
  <si>
    <t>Nabídková cena v Kč bez DPH / 1 rok 2025</t>
  </si>
  <si>
    <t>Procentní navýšení</t>
  </si>
  <si>
    <t>minimální mzda 2025</t>
  </si>
  <si>
    <t>minimální mzda 2024</t>
  </si>
  <si>
    <t>rozměr, počet jednotek/m2, ks, hod.</t>
  </si>
  <si>
    <t>specifikace úklidu</t>
  </si>
  <si>
    <t>Uznané navýšení mzd.nákladů/2025</t>
  </si>
  <si>
    <t>minimální mzda 2026</t>
  </si>
  <si>
    <t>Procentní navýšení minimální mzdy 2025/2026</t>
  </si>
  <si>
    <r>
      <t>Uznané navýšení mzd.nákladů/2026 - 80</t>
    </r>
    <r>
      <rPr>
        <sz val="11"/>
        <color theme="1"/>
        <rFont val="Aptos Narrow"/>
        <family val="2"/>
      </rPr>
      <t>%</t>
    </r>
    <r>
      <rPr>
        <sz val="11"/>
        <color theme="1"/>
        <rFont val="Calibri"/>
        <family val="2"/>
        <charset val="238"/>
      </rPr>
      <t xml:space="preserve"> nákladů</t>
    </r>
  </si>
  <si>
    <t xml:space="preserve">Navýšení ceny/mzdových nákladů o </t>
  </si>
  <si>
    <t>Nabídková cena v Kč bez DPH za jednotku úklidu 2025</t>
  </si>
  <si>
    <t>Nabídková cena v Kč bez DPH za jednotku úklidu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</si>
</sst>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č&quot;_-;\-* #,##0.00\ &quot;Kč&quot;_-;_-* &quot;-&quot;??\ &quot;Kč&quot;_-;_-@_-"/>
    <numFmt numFmtId="43" formatCode="_-* #,##0.00_-;\-* #,##0.00_-;_-* &quot;-&quot;??_-;_-@_-"/>
    <numFmt numFmtId="164" formatCode="#,##0.00_ ;\-#,##0.00\ "/>
  </numFmts>
  <fonts count="31" x14ac:knownFonts="1">
    <font>
      <sz val="11"/>
      <color theme="1"/>
      <name val="Calibri"/>
      <family val="2"/>
      <scheme val="minor"/>
    </font>
    <font>
      <sz val="11"/>
      <color theme="1"/>
      <name val="Calibri"/>
      <family val="2"/>
      <charset val="238"/>
      <scheme val="minor"/>
    </font>
    <font>
      <sz val="11"/>
      <color theme="1"/>
      <name val="Calibri"/>
      <family val="2"/>
      <scheme val="minor"/>
    </font>
    <font>
      <i/>
      <sz val="11"/>
      <color rgb="FF7F7F7F"/>
      <name val="Calibri"/>
      <family val="2"/>
      <charset val="238"/>
      <scheme val="minor"/>
    </font>
    <font>
      <sz val="10"/>
      <name val="Arial"/>
      <family val="2"/>
      <charset val="238"/>
    </font>
    <font>
      <sz val="10"/>
      <name val="Arial CE"/>
      <charset val="238"/>
    </font>
    <font>
      <sz val="10"/>
      <color theme="1"/>
      <name val="Arial"/>
      <family val="2"/>
      <charset val="238"/>
    </font>
    <font>
      <sz val="10"/>
      <color theme="1"/>
      <name val="Times New Roman"/>
      <family val="1"/>
      <charset val="238"/>
    </font>
    <font>
      <b/>
      <sz val="10"/>
      <name val="Times New Roman"/>
      <family val="1"/>
      <charset val="238"/>
    </font>
    <font>
      <sz val="11"/>
      <color theme="1"/>
      <name val="Times New Roman"/>
      <family val="1"/>
      <charset val="238"/>
    </font>
    <font>
      <b/>
      <sz val="11"/>
      <color theme="4" tint="-0.249977111117893"/>
      <name val="Times New Roman"/>
      <family val="1"/>
      <charset val="238"/>
    </font>
    <font>
      <b/>
      <sz val="11"/>
      <color rgb="FFFFFF00"/>
      <name val="Times New Roman"/>
      <family val="1"/>
      <charset val="238"/>
    </font>
    <font>
      <b/>
      <i/>
      <sz val="11"/>
      <name val="Times New Roman"/>
      <family val="1"/>
      <charset val="238"/>
    </font>
    <font>
      <b/>
      <sz val="11"/>
      <name val="Times New Roman"/>
      <family val="1"/>
      <charset val="238"/>
    </font>
    <font>
      <b/>
      <sz val="11"/>
      <color rgb="FF000000"/>
      <name val="Times New Roman"/>
      <family val="1"/>
      <charset val="238"/>
    </font>
    <font>
      <sz val="10"/>
      <name val="Times New Roman"/>
      <family val="1"/>
      <charset val="238"/>
    </font>
    <font>
      <sz val="10"/>
      <color rgb="FFFF0000"/>
      <name val="Arial"/>
      <family val="2"/>
      <charset val="238"/>
    </font>
    <font>
      <b/>
      <i/>
      <sz val="8"/>
      <name val="Times New Roman"/>
      <family val="1"/>
      <charset val="238"/>
    </font>
    <font>
      <sz val="11"/>
      <color rgb="FF000000"/>
      <name val="Times New Roman"/>
      <family val="1"/>
      <charset val="238"/>
    </font>
    <font>
      <b/>
      <sz val="10"/>
      <color theme="1"/>
      <name val="Times New Roman"/>
      <family val="1"/>
      <charset val="238"/>
    </font>
    <font>
      <b/>
      <i/>
      <sz val="10"/>
      <color theme="1"/>
      <name val="Times New Roman"/>
      <family val="1"/>
      <charset val="238"/>
    </font>
    <font>
      <u/>
      <sz val="10"/>
      <color theme="1"/>
      <name val="Arial"/>
      <family val="2"/>
      <charset val="238"/>
    </font>
    <font>
      <b/>
      <sz val="10"/>
      <color theme="1"/>
      <name val="Arial"/>
      <family val="2"/>
      <charset val="238"/>
    </font>
    <font>
      <sz val="11"/>
      <name val="Times New Roman"/>
      <family val="1"/>
      <charset val="238"/>
    </font>
    <font>
      <b/>
      <u/>
      <sz val="10"/>
      <color theme="1"/>
      <name val="Arial"/>
      <family val="2"/>
      <charset val="238"/>
    </font>
    <font>
      <sz val="10"/>
      <color rgb="FF000000"/>
      <name val="Times New Roman"/>
      <family val="1"/>
      <charset val="238"/>
    </font>
    <font>
      <b/>
      <sz val="11"/>
      <color theme="1"/>
      <name val="Times New Roman"/>
      <family val="1"/>
      <charset val="238"/>
    </font>
    <font>
      <b/>
      <i/>
      <sz val="10"/>
      <color rgb="FFFF0000"/>
      <name val="Arial"/>
      <family val="2"/>
      <charset val="238"/>
    </font>
    <font>
      <b/>
      <sz val="11"/>
      <color theme="1"/>
      <name val="Calibri"/>
      <family val="2"/>
      <charset val="238"/>
      <scheme val="minor"/>
    </font>
    <font>
      <sz val="11"/>
      <color theme="1"/>
      <name val="Calibri"/>
      <family val="2"/>
      <charset val="238"/>
    </font>
    <font>
      <sz val="11"/>
      <color theme="1"/>
      <name val="Aptos Narrow"/>
      <family val="2"/>
    </font>
  </fonts>
  <fills count="9">
    <fill>
      <patternFill patternType="none"/>
    </fill>
    <fill>
      <patternFill patternType="gray125"/>
    </fill>
    <fill>
      <patternFill patternType="solid">
        <fgColor theme="1"/>
        <bgColor indexed="64"/>
      </patternFill>
    </fill>
    <fill>
      <patternFill patternType="solid">
        <fgColor rgb="FF70AD47"/>
        <bgColor rgb="FF339966"/>
      </patternFill>
    </fill>
    <fill>
      <patternFill patternType="solid">
        <fgColor theme="9"/>
        <bgColor indexed="64"/>
      </patternFill>
    </fill>
    <fill>
      <patternFill patternType="solid">
        <fgColor theme="9"/>
        <bgColor rgb="FF339966"/>
      </patternFill>
    </fill>
    <fill>
      <patternFill patternType="solid">
        <fgColor rgb="FFFFFF00"/>
        <bgColor indexed="64"/>
      </patternFill>
    </fill>
    <fill>
      <patternFill patternType="solid">
        <fgColor theme="0"/>
        <bgColor indexed="64"/>
      </patternFill>
    </fill>
    <fill>
      <patternFill patternType="solid">
        <fgColor rgb="FFCCECFF"/>
        <bgColor indexed="64"/>
      </patternFill>
    </fill>
  </fills>
  <borders count="4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style="thin">
        <color auto="1"/>
      </right>
      <top/>
      <bottom/>
      <diagonal/>
    </border>
    <border>
      <left style="thin">
        <color auto="1"/>
      </left>
      <right style="medium">
        <color indexed="64"/>
      </right>
      <top/>
      <bottom/>
      <diagonal/>
    </border>
    <border>
      <left/>
      <right style="thin">
        <color auto="1"/>
      </right>
      <top style="thin">
        <color auto="1"/>
      </top>
      <bottom/>
      <diagonal/>
    </border>
    <border>
      <left/>
      <right style="thin">
        <color auto="1"/>
      </right>
      <top style="medium">
        <color indexed="64"/>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top style="thin">
        <color auto="1"/>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auto="1"/>
      </bottom>
      <diagonal/>
    </border>
    <border>
      <left style="thin">
        <color auto="1"/>
      </left>
      <right/>
      <top/>
      <bottom style="thin">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medium">
        <color indexed="64"/>
      </left>
      <right/>
      <top/>
      <bottom style="medium">
        <color indexed="64"/>
      </bottom>
      <diagonal/>
    </border>
  </borders>
  <cellStyleXfs count="6">
    <xf numFmtId="0" fontId="0" fillId="0" borderId="0"/>
    <xf numFmtId="43" fontId="2" fillId="0" borderId="0" applyFont="0" applyFill="0" applyBorder="0" applyAlignment="0" applyProtection="0"/>
    <xf numFmtId="44" fontId="2" fillId="0" borderId="0" applyFont="0" applyFill="0" applyBorder="0" applyAlignment="0" applyProtection="0"/>
    <xf numFmtId="0" fontId="3" fillId="0" borderId="0" applyNumberFormat="0" applyFill="0" applyBorder="0" applyAlignment="0" applyProtection="0"/>
    <xf numFmtId="0" fontId="5" fillId="0" borderId="0"/>
    <xf numFmtId="0" fontId="4" fillId="0" borderId="0"/>
  </cellStyleXfs>
  <cellXfs count="243">
    <xf numFmtId="0" fontId="0" fillId="0" borderId="0" xfId="0"/>
    <xf numFmtId="0" fontId="6" fillId="0" borderId="0" xfId="0" applyFont="1"/>
    <xf numFmtId="0" fontId="9" fillId="0" borderId="0" xfId="0" applyFont="1"/>
    <xf numFmtId="4" fontId="12" fillId="3" borderId="6" xfId="3" applyNumberFormat="1" applyFont="1" applyFill="1" applyBorder="1" applyAlignment="1">
      <alignment horizontal="center" vertical="center" wrapText="1"/>
    </xf>
    <xf numFmtId="0" fontId="13" fillId="0" borderId="1" xfId="4" applyFont="1" applyBorder="1" applyAlignment="1">
      <alignment horizontal="center" vertical="center"/>
    </xf>
    <xf numFmtId="0" fontId="7" fillId="0" borderId="5" xfId="0" applyFont="1" applyBorder="1" applyAlignment="1">
      <alignment horizontal="left" vertical="center"/>
    </xf>
    <xf numFmtId="0" fontId="7" fillId="0" borderId="5" xfId="0" applyFont="1" applyBorder="1" applyAlignment="1">
      <alignment vertical="center" wrapText="1"/>
    </xf>
    <xf numFmtId="0" fontId="7" fillId="0" borderId="5" xfId="0" applyFont="1" applyBorder="1" applyAlignment="1">
      <alignment horizontal="left" vertical="center" wrapText="1"/>
    </xf>
    <xf numFmtId="0" fontId="7" fillId="0" borderId="1" xfId="0" applyFont="1" applyBorder="1" applyAlignment="1">
      <alignment vertical="top" wrapText="1"/>
    </xf>
    <xf numFmtId="0" fontId="6" fillId="0" borderId="0" xfId="0" applyFont="1" applyAlignment="1">
      <alignment vertical="top"/>
    </xf>
    <xf numFmtId="0" fontId="9" fillId="0" borderId="0" xfId="0" applyFont="1" applyAlignment="1">
      <alignment vertical="top"/>
    </xf>
    <xf numFmtId="0" fontId="7" fillId="0" borderId="1" xfId="0" applyFont="1" applyBorder="1" applyAlignment="1">
      <alignment horizontal="left" vertical="top" wrapText="1"/>
    </xf>
    <xf numFmtId="0" fontId="0" fillId="0" borderId="0" xfId="0" applyAlignment="1">
      <alignment vertical="top"/>
    </xf>
    <xf numFmtId="0" fontId="19" fillId="0" borderId="0" xfId="0" applyFont="1"/>
    <xf numFmtId="0" fontId="21" fillId="0" borderId="0" xfId="0" applyFont="1" applyAlignment="1">
      <alignment horizontal="center"/>
    </xf>
    <xf numFmtId="0" fontId="19" fillId="0" borderId="8" xfId="0" applyFont="1" applyBorder="1"/>
    <xf numFmtId="0" fontId="9" fillId="0" borderId="2" xfId="0" applyFont="1" applyBorder="1" applyAlignment="1">
      <alignment vertical="top"/>
    </xf>
    <xf numFmtId="0" fontId="19" fillId="7" borderId="11" xfId="0" applyFont="1" applyFill="1" applyBorder="1"/>
    <xf numFmtId="0" fontId="9" fillId="7" borderId="11" xfId="0" applyFont="1" applyFill="1" applyBorder="1" applyAlignment="1">
      <alignment vertical="top"/>
    </xf>
    <xf numFmtId="0" fontId="9" fillId="7" borderId="11" xfId="0" applyFont="1" applyFill="1" applyBorder="1"/>
    <xf numFmtId="0" fontId="11" fillId="7" borderId="0" xfId="0" applyFont="1" applyFill="1" applyAlignment="1">
      <alignment horizontal="center" wrapText="1"/>
    </xf>
    <xf numFmtId="0" fontId="0" fillId="7" borderId="0" xfId="0" applyFill="1"/>
    <xf numFmtId="43" fontId="12" fillId="5" borderId="12" xfId="1" applyFont="1" applyFill="1" applyBorder="1" applyAlignment="1" applyProtection="1">
      <alignment horizontal="center" vertical="center" wrapText="1"/>
    </xf>
    <xf numFmtId="43" fontId="12" fillId="3" borderId="13" xfId="1" applyFont="1" applyFill="1" applyBorder="1" applyAlignment="1" applyProtection="1">
      <alignment horizontal="center" vertical="center" wrapText="1"/>
    </xf>
    <xf numFmtId="4" fontId="12" fillId="3" borderId="13" xfId="3" applyNumberFormat="1" applyFont="1" applyFill="1" applyBorder="1" applyAlignment="1">
      <alignment horizontal="center" vertical="center" wrapText="1"/>
    </xf>
    <xf numFmtId="4" fontId="12" fillId="3" borderId="14" xfId="3" applyNumberFormat="1" applyFont="1" applyFill="1" applyBorder="1" applyAlignment="1">
      <alignment horizontal="center" vertical="center" wrapText="1"/>
    </xf>
    <xf numFmtId="0" fontId="7" fillId="0" borderId="18" xfId="0" applyFont="1" applyBorder="1" applyAlignment="1">
      <alignment vertical="center" wrapText="1"/>
    </xf>
    <xf numFmtId="0" fontId="7" fillId="0" borderId="19" xfId="0" applyFont="1" applyBorder="1" applyAlignment="1">
      <alignment vertical="top" wrapText="1"/>
    </xf>
    <xf numFmtId="0" fontId="7" fillId="0" borderId="21" xfId="0" applyFont="1" applyBorder="1" applyAlignment="1">
      <alignment vertical="center" wrapText="1"/>
    </xf>
    <xf numFmtId="0" fontId="7" fillId="0" borderId="22" xfId="0" applyFont="1" applyBorder="1" applyAlignment="1">
      <alignment vertical="top" wrapText="1"/>
    </xf>
    <xf numFmtId="0" fontId="14" fillId="0" borderId="22" xfId="0" applyFont="1" applyBorder="1" applyAlignment="1">
      <alignment horizontal="center" vertical="center"/>
    </xf>
    <xf numFmtId="0" fontId="7" fillId="0" borderId="1" xfId="0" applyFont="1" applyBorder="1" applyAlignment="1">
      <alignment vertical="center" wrapText="1"/>
    </xf>
    <xf numFmtId="0" fontId="7" fillId="0" borderId="18" xfId="0" applyFont="1" applyBorder="1" applyAlignment="1">
      <alignment horizontal="left" vertical="center"/>
    </xf>
    <xf numFmtId="0" fontId="7" fillId="0" borderId="21" xfId="0" applyFont="1" applyBorder="1" applyAlignment="1">
      <alignment horizontal="left" vertical="center"/>
    </xf>
    <xf numFmtId="0" fontId="7" fillId="0" borderId="22" xfId="0" applyFont="1" applyBorder="1" applyAlignment="1">
      <alignment vertical="center" wrapText="1"/>
    </xf>
    <xf numFmtId="0" fontId="7" fillId="0" borderId="15" xfId="0" applyFont="1" applyBorder="1" applyAlignment="1">
      <alignment horizontal="left" vertical="center"/>
    </xf>
    <xf numFmtId="0" fontId="7" fillId="0" borderId="16" xfId="0" applyFont="1" applyBorder="1" applyAlignment="1">
      <alignment horizontal="left" vertical="top" wrapText="1"/>
    </xf>
    <xf numFmtId="0" fontId="7" fillId="0" borderId="24" xfId="0" applyFont="1" applyBorder="1" applyAlignment="1">
      <alignment vertical="center" wrapText="1"/>
    </xf>
    <xf numFmtId="0" fontId="7" fillId="0" borderId="25" xfId="0" applyFont="1" applyBorder="1" applyAlignment="1">
      <alignment horizontal="left" vertical="center" wrapText="1"/>
    </xf>
    <xf numFmtId="0" fontId="14" fillId="0" borderId="25" xfId="0" applyFont="1" applyBorder="1" applyAlignment="1">
      <alignment horizontal="center" vertical="center"/>
    </xf>
    <xf numFmtId="14" fontId="0" fillId="0" borderId="0" xfId="0" applyNumberFormat="1"/>
    <xf numFmtId="0" fontId="7" fillId="0" borderId="15" xfId="0" applyFont="1" applyBorder="1" applyAlignment="1">
      <alignment horizontal="left" vertical="center" wrapText="1"/>
    </xf>
    <xf numFmtId="0" fontId="7" fillId="0" borderId="16" xfId="0" applyFont="1" applyBorder="1" applyAlignment="1">
      <alignment vertical="top" wrapText="1"/>
    </xf>
    <xf numFmtId="0" fontId="7" fillId="0" borderId="19" xfId="0" applyFont="1" applyBorder="1" applyAlignment="1">
      <alignment horizontal="left" vertical="top" wrapText="1"/>
    </xf>
    <xf numFmtId="0" fontId="7" fillId="0" borderId="27" xfId="0" applyFont="1" applyBorder="1" applyAlignment="1">
      <alignment horizontal="left" vertical="center"/>
    </xf>
    <xf numFmtId="0" fontId="7" fillId="0" borderId="28" xfId="0" applyFont="1" applyBorder="1" applyAlignment="1">
      <alignment horizontal="left" vertical="top" wrapText="1"/>
    </xf>
    <xf numFmtId="0" fontId="7" fillId="0" borderId="18" xfId="0" applyFont="1" applyBorder="1" applyAlignment="1">
      <alignment horizontal="left" vertical="center" wrapText="1"/>
    </xf>
    <xf numFmtId="0" fontId="7" fillId="0" borderId="30" xfId="0" applyFont="1" applyBorder="1" applyAlignment="1">
      <alignment wrapText="1"/>
    </xf>
    <xf numFmtId="0" fontId="7" fillId="0" borderId="9" xfId="0" applyFont="1" applyBorder="1" applyAlignment="1">
      <alignment horizontal="left" vertical="center" wrapText="1"/>
    </xf>
    <xf numFmtId="0" fontId="7" fillId="0" borderId="22" xfId="0" applyFont="1" applyBorder="1" applyAlignment="1">
      <alignment horizontal="left" vertical="top" wrapText="1"/>
    </xf>
    <xf numFmtId="0" fontId="7" fillId="0" borderId="22" xfId="0" applyFont="1" applyBorder="1" applyAlignment="1">
      <alignment horizontal="left" vertical="center" wrapText="1"/>
    </xf>
    <xf numFmtId="0" fontId="15" fillId="0" borderId="16" xfId="0" applyFont="1" applyBorder="1" applyAlignment="1">
      <alignment vertical="top" wrapText="1"/>
    </xf>
    <xf numFmtId="0" fontId="15" fillId="0" borderId="16" xfId="0" applyFont="1" applyBorder="1" applyAlignment="1">
      <alignment vertical="center" wrapText="1"/>
    </xf>
    <xf numFmtId="0" fontId="7" fillId="0" borderId="30" xfId="0" applyFont="1" applyBorder="1" applyAlignment="1">
      <alignment horizontal="left" vertical="center" wrapText="1"/>
    </xf>
    <xf numFmtId="0" fontId="7" fillId="0" borderId="9" xfId="0" applyFont="1" applyBorder="1" applyAlignment="1">
      <alignment vertical="top" wrapText="1"/>
    </xf>
    <xf numFmtId="0" fontId="7" fillId="0" borderId="27" xfId="0" applyFont="1" applyBorder="1" applyAlignment="1">
      <alignment horizontal="left" vertical="center" wrapText="1"/>
    </xf>
    <xf numFmtId="0" fontId="7" fillId="0" borderId="28" xfId="0" applyFont="1" applyBorder="1" applyAlignment="1">
      <alignment vertical="center" wrapText="1"/>
    </xf>
    <xf numFmtId="0" fontId="7" fillId="0" borderId="12" xfId="0" applyFont="1" applyBorder="1" applyAlignment="1">
      <alignment vertical="center" wrapText="1"/>
    </xf>
    <xf numFmtId="0" fontId="7" fillId="0" borderId="15" xfId="0" applyFont="1" applyBorder="1" applyAlignment="1">
      <alignment vertical="center"/>
    </xf>
    <xf numFmtId="0" fontId="7" fillId="0" borderId="28" xfId="0" applyFont="1" applyBorder="1" applyAlignment="1">
      <alignment vertical="top" wrapText="1"/>
    </xf>
    <xf numFmtId="0" fontId="7" fillId="0" borderId="18" xfId="0" applyFont="1" applyBorder="1" applyAlignment="1">
      <alignment vertical="center"/>
    </xf>
    <xf numFmtId="0" fontId="7" fillId="0" borderId="27" xfId="0" applyFont="1" applyBorder="1" applyAlignment="1">
      <alignment vertical="center"/>
    </xf>
    <xf numFmtId="0" fontId="7" fillId="0" borderId="27" xfId="0" applyFont="1" applyBorder="1" applyAlignment="1">
      <alignment vertical="center" wrapText="1"/>
    </xf>
    <xf numFmtId="0" fontId="7" fillId="0" borderId="15" xfId="0" applyFont="1" applyBorder="1" applyAlignment="1">
      <alignment vertical="center" wrapText="1"/>
    </xf>
    <xf numFmtId="0" fontId="7" fillId="0" borderId="25" xfId="0" applyFont="1" applyBorder="1" applyAlignment="1">
      <alignment vertical="top" wrapText="1"/>
    </xf>
    <xf numFmtId="0" fontId="7" fillId="0" borderId="21" xfId="0" applyFont="1" applyBorder="1" applyAlignment="1">
      <alignment vertical="center"/>
    </xf>
    <xf numFmtId="43" fontId="12" fillId="5" borderId="32" xfId="1" applyFont="1" applyFill="1" applyBorder="1" applyAlignment="1" applyProtection="1">
      <alignment horizontal="center" vertical="center" wrapText="1"/>
    </xf>
    <xf numFmtId="0" fontId="9" fillId="0" borderId="19" xfId="0" applyFont="1" applyBorder="1" applyAlignment="1">
      <alignment horizontal="center" vertical="center"/>
    </xf>
    <xf numFmtId="0" fontId="9" fillId="0" borderId="1" xfId="0" applyFont="1" applyBorder="1" applyAlignment="1">
      <alignment horizontal="center" vertical="center"/>
    </xf>
    <xf numFmtId="0" fontId="9" fillId="0" borderId="22" xfId="0" applyFont="1" applyBorder="1" applyAlignment="1">
      <alignment horizontal="center" vertical="center"/>
    </xf>
    <xf numFmtId="0" fontId="9" fillId="0" borderId="25" xfId="0" applyFont="1" applyBorder="1" applyAlignment="1">
      <alignment horizontal="center" vertical="center"/>
    </xf>
    <xf numFmtId="0" fontId="9" fillId="0" borderId="16" xfId="0" applyFont="1" applyBorder="1" applyAlignment="1">
      <alignment horizontal="center" vertical="center"/>
    </xf>
    <xf numFmtId="0" fontId="9" fillId="0" borderId="28" xfId="0" applyFont="1" applyBorder="1" applyAlignment="1">
      <alignment horizontal="center" vertical="center"/>
    </xf>
    <xf numFmtId="0" fontId="9" fillId="0" borderId="9" xfId="0" applyFont="1" applyBorder="1" applyAlignment="1">
      <alignment horizontal="center" vertical="center"/>
    </xf>
    <xf numFmtId="0" fontId="9" fillId="0" borderId="1" xfId="0" applyFont="1" applyBorder="1" applyAlignment="1">
      <alignment horizontal="center"/>
    </xf>
    <xf numFmtId="0" fontId="9" fillId="0" borderId="22" xfId="0" applyFont="1" applyBorder="1" applyAlignment="1">
      <alignment horizontal="center"/>
    </xf>
    <xf numFmtId="0" fontId="9" fillId="0" borderId="9" xfId="0" applyFont="1" applyBorder="1" applyAlignment="1">
      <alignment horizontal="center"/>
    </xf>
    <xf numFmtId="0" fontId="9" fillId="0" borderId="25" xfId="0" applyFont="1" applyBorder="1" applyAlignment="1">
      <alignment horizontal="center" vertical="center" wrapText="1"/>
    </xf>
    <xf numFmtId="0" fontId="7" fillId="0" borderId="24" xfId="0" applyFont="1" applyBorder="1" applyAlignment="1">
      <alignment wrapText="1"/>
    </xf>
    <xf numFmtId="0" fontId="9" fillId="0" borderId="25" xfId="0" applyFont="1" applyBorder="1" applyAlignment="1">
      <alignment horizontal="center"/>
    </xf>
    <xf numFmtId="0" fontId="19" fillId="0" borderId="1" xfId="0" applyFont="1" applyBorder="1" applyAlignment="1">
      <alignment vertical="center"/>
    </xf>
    <xf numFmtId="0" fontId="7" fillId="0" borderId="28" xfId="0" applyFont="1" applyBorder="1" applyAlignment="1">
      <alignment horizontal="left" vertical="center" wrapText="1"/>
    </xf>
    <xf numFmtId="0" fontId="24" fillId="0" borderId="0" xfId="0" applyFont="1"/>
    <xf numFmtId="0" fontId="15" fillId="0" borderId="8" xfId="4" applyFont="1" applyBorder="1" applyAlignment="1">
      <alignment horizontal="center" vertical="center"/>
    </xf>
    <xf numFmtId="0" fontId="15" fillId="0" borderId="8" xfId="4" applyFont="1" applyBorder="1" applyAlignment="1">
      <alignment horizontal="center" vertical="center" wrapText="1"/>
    </xf>
    <xf numFmtId="0" fontId="15" fillId="0" borderId="8" xfId="4" applyFont="1" applyBorder="1" applyAlignment="1">
      <alignment vertical="center" wrapText="1"/>
    </xf>
    <xf numFmtId="0" fontId="25" fillId="0" borderId="1" xfId="0" applyFont="1" applyBorder="1" applyAlignment="1">
      <alignment vertical="center" wrapText="1"/>
    </xf>
    <xf numFmtId="0" fontId="14" fillId="4" borderId="19" xfId="0" applyFont="1" applyFill="1" applyBorder="1" applyAlignment="1">
      <alignment horizontal="center" vertical="center" wrapText="1"/>
    </xf>
    <xf numFmtId="4" fontId="12" fillId="3" borderId="19" xfId="3" applyNumberFormat="1" applyFont="1" applyFill="1" applyBorder="1" applyAlignment="1">
      <alignment horizontal="center" vertical="center" wrapText="1"/>
    </xf>
    <xf numFmtId="0" fontId="13" fillId="4" borderId="33" xfId="4" applyFont="1" applyFill="1" applyBorder="1" applyAlignment="1">
      <alignment horizontal="center" vertical="center" wrapText="1"/>
    </xf>
    <xf numFmtId="4" fontId="12" fillId="3" borderId="20" xfId="3" applyNumberFormat="1" applyFont="1" applyFill="1" applyBorder="1" applyAlignment="1">
      <alignment horizontal="center" vertical="center" wrapText="1"/>
    </xf>
    <xf numFmtId="0" fontId="8" fillId="0" borderId="5" xfId="4" applyFont="1" applyBorder="1" applyAlignment="1">
      <alignment vertical="center" wrapText="1" shrinkToFit="1"/>
    </xf>
    <xf numFmtId="0" fontId="8" fillId="0" borderId="1" xfId="4" applyFont="1" applyBorder="1" applyAlignment="1">
      <alignment vertical="center" wrapText="1" shrinkToFit="1"/>
    </xf>
    <xf numFmtId="0" fontId="13" fillId="4" borderId="18" xfId="4" applyFont="1" applyFill="1" applyBorder="1" applyAlignment="1">
      <alignment horizontal="center" vertical="center"/>
    </xf>
    <xf numFmtId="0" fontId="15" fillId="0" borderId="5" xfId="4" applyFont="1" applyBorder="1" applyAlignment="1">
      <alignment vertical="center" wrapText="1"/>
    </xf>
    <xf numFmtId="0" fontId="7" fillId="0" borderId="37" xfId="0" applyFont="1" applyBorder="1" applyAlignment="1">
      <alignment wrapText="1"/>
    </xf>
    <xf numFmtId="0" fontId="13" fillId="0" borderId="1" xfId="5" applyFont="1" applyBorder="1" applyAlignment="1" applyProtection="1">
      <alignment horizontal="center" vertical="center" wrapText="1" shrinkToFit="1"/>
      <protection hidden="1"/>
    </xf>
    <xf numFmtId="0" fontId="19" fillId="0" borderId="1" xfId="0" applyFont="1" applyBorder="1" applyAlignment="1">
      <alignment horizontal="center" vertical="center"/>
    </xf>
    <xf numFmtId="0" fontId="11" fillId="2" borderId="0" xfId="0" applyFont="1" applyFill="1" applyAlignment="1">
      <alignment horizontal="center" vertical="center" wrapText="1"/>
    </xf>
    <xf numFmtId="0" fontId="13" fillId="4" borderId="18" xfId="4" applyFont="1" applyFill="1" applyBorder="1" applyAlignment="1">
      <alignment vertical="center" wrapText="1"/>
    </xf>
    <xf numFmtId="0" fontId="19" fillId="0" borderId="5" xfId="0" applyFont="1" applyBorder="1" applyAlignment="1">
      <alignment horizontal="left" vertical="center" wrapText="1"/>
    </xf>
    <xf numFmtId="0" fontId="19" fillId="0" borderId="5" xfId="0" applyFont="1" applyBorder="1" applyAlignment="1">
      <alignment horizontal="left" vertical="center"/>
    </xf>
    <xf numFmtId="0" fontId="11" fillId="7" borderId="0" xfId="0" applyFont="1" applyFill="1" applyAlignment="1">
      <alignment horizontal="center" vertical="center" wrapText="1"/>
    </xf>
    <xf numFmtId="0" fontId="11" fillId="2" borderId="36" xfId="0" applyFont="1" applyFill="1" applyBorder="1" applyAlignment="1">
      <alignment horizontal="center" vertical="center" wrapText="1"/>
    </xf>
    <xf numFmtId="0" fontId="6" fillId="0" borderId="0" xfId="0" applyFont="1" applyAlignment="1">
      <alignment horizontal="center" vertical="center"/>
    </xf>
    <xf numFmtId="0" fontId="9" fillId="0" borderId="0" xfId="0" applyFont="1" applyAlignment="1">
      <alignment horizontal="center" vertical="center"/>
    </xf>
    <xf numFmtId="0" fontId="0" fillId="0" borderId="0" xfId="0" applyAlignment="1">
      <alignment horizontal="center" vertical="center"/>
    </xf>
    <xf numFmtId="0" fontId="13" fillId="4" borderId="3" xfId="4" applyFont="1" applyFill="1" applyBorder="1" applyAlignment="1">
      <alignment horizontal="center" vertical="center" wrapText="1"/>
    </xf>
    <xf numFmtId="4" fontId="12" fillId="3" borderId="33" xfId="3" applyNumberFormat="1" applyFont="1" applyFill="1" applyBorder="1" applyAlignment="1">
      <alignment horizontal="center" vertical="center" wrapText="1"/>
    </xf>
    <xf numFmtId="0" fontId="15" fillId="0" borderId="5" xfId="4" applyFont="1" applyBorder="1" applyAlignment="1">
      <alignment horizontal="center" vertical="center"/>
    </xf>
    <xf numFmtId="0" fontId="15" fillId="0" borderId="21" xfId="4" applyFont="1" applyBorder="1" applyAlignment="1">
      <alignment horizontal="center" vertical="center"/>
    </xf>
    <xf numFmtId="0" fontId="25" fillId="0" borderId="22" xfId="0" applyFont="1" applyBorder="1" applyAlignment="1">
      <alignment vertical="center" wrapText="1"/>
    </xf>
    <xf numFmtId="0" fontId="19" fillId="0" borderId="38" xfId="0" applyFont="1" applyBorder="1" applyAlignment="1">
      <alignment vertical="center" wrapText="1"/>
    </xf>
    <xf numFmtId="0" fontId="26" fillId="0" borderId="25" xfId="0" applyFont="1" applyBorder="1" applyAlignment="1">
      <alignment horizontal="center" vertical="center"/>
    </xf>
    <xf numFmtId="0" fontId="26" fillId="0" borderId="25" xfId="0" applyFont="1" applyBorder="1" applyAlignment="1">
      <alignment vertical="center"/>
    </xf>
    <xf numFmtId="0" fontId="7" fillId="0" borderId="30" xfId="0" applyFont="1" applyBorder="1" applyAlignment="1">
      <alignment vertical="center"/>
    </xf>
    <xf numFmtId="0" fontId="6" fillId="0" borderId="0" xfId="0" applyFont="1" applyAlignment="1">
      <alignment horizontal="center"/>
    </xf>
    <xf numFmtId="0" fontId="9" fillId="0" borderId="0" xfId="0" applyFont="1" applyAlignment="1">
      <alignment horizontal="center"/>
    </xf>
    <xf numFmtId="0" fontId="13" fillId="4" borderId="4" xfId="4" applyFont="1" applyFill="1" applyBorder="1" applyAlignment="1">
      <alignment horizontal="center" vertical="center"/>
    </xf>
    <xf numFmtId="0" fontId="15" fillId="0" borderId="37" xfId="4" applyFont="1" applyBorder="1" applyAlignment="1">
      <alignment horizontal="center" vertical="center" wrapText="1"/>
    </xf>
    <xf numFmtId="0" fontId="15" fillId="0" borderId="1" xfId="4" applyFont="1" applyBorder="1" applyAlignment="1">
      <alignment horizontal="center" vertical="center" wrapText="1"/>
    </xf>
    <xf numFmtId="0" fontId="7" fillId="0" borderId="22" xfId="0" applyFont="1" applyBorder="1" applyAlignment="1">
      <alignment horizontal="center" vertical="center" wrapText="1"/>
    </xf>
    <xf numFmtId="0" fontId="13" fillId="4" borderId="4" xfId="4" applyFont="1" applyFill="1" applyBorder="1" applyAlignment="1">
      <alignment horizontal="center" vertical="center" wrapText="1"/>
    </xf>
    <xf numFmtId="0" fontId="8" fillId="0" borderId="1" xfId="4" applyFont="1" applyBorder="1" applyAlignment="1">
      <alignment horizontal="center" vertical="center" wrapText="1" shrinkToFit="1"/>
    </xf>
    <xf numFmtId="0" fontId="19" fillId="0" borderId="8" xfId="0" applyFont="1" applyBorder="1" applyAlignment="1">
      <alignment horizontal="center"/>
    </xf>
    <xf numFmtId="0" fontId="19" fillId="7" borderId="11" xfId="0" applyFont="1" applyFill="1" applyBorder="1" applyAlignment="1">
      <alignment horizontal="center"/>
    </xf>
    <xf numFmtId="0" fontId="19" fillId="0" borderId="0" xfId="0" applyFont="1" applyAlignment="1">
      <alignment horizontal="center"/>
    </xf>
    <xf numFmtId="0" fontId="0" fillId="0" borderId="0" xfId="0" applyAlignment="1">
      <alignment horizontal="center"/>
    </xf>
    <xf numFmtId="0" fontId="6" fillId="0" borderId="0" xfId="0" applyFont="1" applyAlignment="1">
      <alignment horizontal="right" vertical="top"/>
    </xf>
    <xf numFmtId="4" fontId="13" fillId="0" borderId="1" xfId="3" applyNumberFormat="1" applyFont="1" applyFill="1" applyBorder="1" applyAlignment="1">
      <alignment horizontal="center" vertical="center" wrapText="1"/>
    </xf>
    <xf numFmtId="4" fontId="13" fillId="0" borderId="22" xfId="3" applyNumberFormat="1" applyFont="1" applyFill="1" applyBorder="1" applyAlignment="1">
      <alignment horizontal="center" vertical="center" wrapText="1"/>
    </xf>
    <xf numFmtId="164" fontId="9" fillId="0" borderId="20" xfId="2" applyNumberFormat="1" applyFont="1" applyFill="1" applyBorder="1" applyAlignment="1">
      <alignment vertical="center"/>
    </xf>
    <xf numFmtId="164" fontId="9" fillId="0" borderId="6" xfId="2" applyNumberFormat="1" applyFont="1" applyFill="1" applyBorder="1" applyAlignment="1">
      <alignment vertical="center"/>
    </xf>
    <xf numFmtId="164" fontId="9" fillId="0" borderId="23" xfId="2" applyNumberFormat="1" applyFont="1" applyFill="1" applyBorder="1" applyAlignment="1">
      <alignment vertical="center"/>
    </xf>
    <xf numFmtId="164" fontId="9" fillId="0" borderId="26" xfId="2" applyNumberFormat="1" applyFont="1" applyFill="1" applyBorder="1" applyAlignment="1">
      <alignment vertical="center"/>
    </xf>
    <xf numFmtId="164" fontId="9" fillId="0" borderId="17" xfId="2" applyNumberFormat="1" applyFont="1" applyFill="1" applyBorder="1" applyAlignment="1">
      <alignment vertical="center"/>
    </xf>
    <xf numFmtId="164" fontId="9" fillId="0" borderId="29" xfId="2" applyNumberFormat="1" applyFont="1" applyFill="1" applyBorder="1" applyAlignment="1">
      <alignment vertical="center"/>
    </xf>
    <xf numFmtId="164" fontId="9" fillId="0" borderId="31" xfId="2" applyNumberFormat="1" applyFont="1" applyFill="1" applyBorder="1" applyAlignment="1">
      <alignment vertical="center"/>
    </xf>
    <xf numFmtId="164" fontId="26" fillId="0" borderId="26" xfId="2" applyNumberFormat="1" applyFont="1" applyFill="1" applyBorder="1" applyAlignment="1">
      <alignment vertical="center"/>
    </xf>
    <xf numFmtId="164" fontId="13" fillId="0" borderId="1" xfId="2" applyNumberFormat="1" applyFont="1" applyFill="1" applyBorder="1" applyAlignment="1" applyProtection="1">
      <alignment horizontal="right" vertical="center" wrapText="1" shrinkToFit="1"/>
      <protection hidden="1"/>
    </xf>
    <xf numFmtId="4" fontId="18" fillId="6" borderId="1" xfId="0" applyNumberFormat="1" applyFont="1" applyFill="1" applyBorder="1" applyAlignment="1" applyProtection="1">
      <alignment vertical="center" wrapText="1"/>
      <protection locked="0"/>
    </xf>
    <xf numFmtId="4" fontId="9" fillId="6" borderId="22" xfId="0" applyNumberFormat="1" applyFont="1" applyFill="1" applyBorder="1" applyAlignment="1" applyProtection="1">
      <alignment vertical="center"/>
      <protection locked="0"/>
    </xf>
    <xf numFmtId="4" fontId="23" fillId="6" borderId="1" xfId="0" applyNumberFormat="1" applyFont="1" applyFill="1" applyBorder="1" applyAlignment="1" applyProtection="1">
      <alignment horizontal="right" vertical="center"/>
      <protection locked="0"/>
    </xf>
    <xf numFmtId="4" fontId="26" fillId="0" borderId="25" xfId="2" applyNumberFormat="1" applyFont="1" applyFill="1" applyBorder="1" applyProtection="1"/>
    <xf numFmtId="164" fontId="13" fillId="0" borderId="6" xfId="2" applyNumberFormat="1" applyFont="1" applyFill="1" applyBorder="1" applyAlignment="1">
      <alignment horizontal="right" vertical="center" wrapText="1"/>
    </xf>
    <xf numFmtId="164" fontId="13" fillId="0" borderId="23" xfId="2" applyNumberFormat="1" applyFont="1" applyFill="1" applyBorder="1" applyAlignment="1">
      <alignment horizontal="right" vertical="center" wrapText="1"/>
    </xf>
    <xf numFmtId="164" fontId="9" fillId="0" borderId="6" xfId="2" applyNumberFormat="1" applyFont="1" applyFill="1" applyBorder="1" applyAlignment="1" applyProtection="1">
      <alignment vertical="center"/>
    </xf>
    <xf numFmtId="0" fontId="20" fillId="0" borderId="0" xfId="0" applyFont="1" applyAlignment="1">
      <alignment horizontal="center" vertical="center"/>
    </xf>
    <xf numFmtId="0" fontId="19" fillId="0" borderId="39" xfId="0" applyFont="1" applyBorder="1"/>
    <xf numFmtId="0" fontId="11" fillId="2" borderId="11" xfId="0" applyFont="1" applyFill="1" applyBorder="1" applyAlignment="1">
      <alignment horizontal="center" vertical="center" wrapText="1"/>
    </xf>
    <xf numFmtId="0" fontId="7" fillId="7" borderId="1" xfId="0" applyFont="1" applyFill="1" applyBorder="1" applyAlignment="1">
      <alignment vertical="top" wrapText="1"/>
    </xf>
    <xf numFmtId="0" fontId="7" fillId="0" borderId="5" xfId="0" applyFont="1" applyBorder="1" applyAlignment="1">
      <alignment vertical="center"/>
    </xf>
    <xf numFmtId="0" fontId="7" fillId="0" borderId="30" xfId="0" applyFont="1" applyBorder="1" applyAlignment="1">
      <alignment vertical="center" wrapText="1"/>
    </xf>
    <xf numFmtId="0" fontId="7" fillId="7" borderId="28" xfId="0" applyFont="1" applyFill="1" applyBorder="1" applyAlignment="1">
      <alignment vertical="top" wrapText="1"/>
    </xf>
    <xf numFmtId="0" fontId="7" fillId="7" borderId="9" xfId="0" applyFont="1" applyFill="1" applyBorder="1" applyAlignment="1">
      <alignment vertical="top" wrapText="1"/>
    </xf>
    <xf numFmtId="0" fontId="7" fillId="0" borderId="41" xfId="0" applyFont="1" applyBorder="1" applyAlignment="1">
      <alignment vertical="center" wrapText="1"/>
    </xf>
    <xf numFmtId="0" fontId="8" fillId="0" borderId="8" xfId="4" applyFont="1" applyBorder="1" applyAlignment="1">
      <alignment horizontal="center" vertical="center" wrapText="1" shrinkToFit="1"/>
    </xf>
    <xf numFmtId="0" fontId="9" fillId="7" borderId="42" xfId="0" applyFont="1" applyFill="1" applyBorder="1" applyAlignment="1">
      <alignment horizontal="center" vertical="center"/>
    </xf>
    <xf numFmtId="0" fontId="9" fillId="7" borderId="25" xfId="0" applyFont="1" applyFill="1" applyBorder="1" applyAlignment="1">
      <alignment horizontal="center" vertical="center"/>
    </xf>
    <xf numFmtId="0" fontId="23" fillId="7" borderId="19" xfId="0" applyFont="1" applyFill="1" applyBorder="1" applyAlignment="1">
      <alignment horizontal="center" vertical="center"/>
    </xf>
    <xf numFmtId="0" fontId="9" fillId="7" borderId="19" xfId="0" applyFont="1" applyFill="1" applyBorder="1" applyAlignment="1">
      <alignment horizontal="center" vertical="center"/>
    </xf>
    <xf numFmtId="0" fontId="11" fillId="0" borderId="0" xfId="0" applyFont="1" applyAlignment="1">
      <alignment horizontal="center" vertical="center" wrapText="1"/>
    </xf>
    <xf numFmtId="164" fontId="11" fillId="0" borderId="0" xfId="2" applyNumberFormat="1" applyFont="1" applyFill="1" applyAlignment="1">
      <alignment horizontal="right" vertical="center"/>
    </xf>
    <xf numFmtId="0" fontId="19" fillId="0" borderId="12" xfId="0" applyFont="1" applyBorder="1" applyAlignment="1">
      <alignment horizontal="left" vertical="center" wrapText="1"/>
    </xf>
    <xf numFmtId="0" fontId="19" fillId="0" borderId="13" xfId="0" applyFont="1" applyBorder="1" applyAlignment="1">
      <alignment horizontal="center" vertical="center"/>
    </xf>
    <xf numFmtId="0" fontId="19" fillId="0" borderId="13" xfId="0" applyFont="1" applyBorder="1" applyAlignment="1">
      <alignment horizontal="left" vertical="center" wrapText="1"/>
    </xf>
    <xf numFmtId="164" fontId="9" fillId="0" borderId="14" xfId="2" applyNumberFormat="1" applyFont="1" applyFill="1" applyBorder="1" applyAlignment="1" applyProtection="1">
      <alignment vertical="center"/>
    </xf>
    <xf numFmtId="0" fontId="19" fillId="0" borderId="1" xfId="0" applyFont="1" applyBorder="1"/>
    <xf numFmtId="0" fontId="19" fillId="0" borderId="1" xfId="0" applyFont="1" applyBorder="1" applyAlignment="1">
      <alignment horizontal="center"/>
    </xf>
    <xf numFmtId="0" fontId="9" fillId="0" borderId="1" xfId="0" applyFont="1" applyBorder="1" applyAlignment="1">
      <alignment vertical="top"/>
    </xf>
    <xf numFmtId="0" fontId="11" fillId="2" borderId="1" xfId="0" applyFont="1" applyFill="1" applyBorder="1" applyAlignment="1">
      <alignment horizontal="center" vertical="center" wrapText="1"/>
    </xf>
    <xf numFmtId="164" fontId="13" fillId="8" borderId="1" xfId="2" applyNumberFormat="1" applyFont="1" applyFill="1" applyBorder="1" applyAlignment="1">
      <alignment horizontal="right" vertical="center"/>
    </xf>
    <xf numFmtId="0" fontId="7" fillId="7" borderId="22" xfId="0" applyFont="1" applyFill="1" applyBorder="1" applyAlignment="1">
      <alignment vertical="top" wrapText="1"/>
    </xf>
    <xf numFmtId="0" fontId="13" fillId="7" borderId="1" xfId="5" applyFont="1" applyFill="1" applyBorder="1" applyAlignment="1" applyProtection="1">
      <alignment horizontal="center" vertical="center" wrapText="1" shrinkToFit="1"/>
      <protection hidden="1"/>
    </xf>
    <xf numFmtId="4" fontId="23" fillId="6" borderId="1" xfId="4" applyNumberFormat="1" applyFont="1" applyFill="1" applyBorder="1" applyAlignment="1" applyProtection="1">
      <alignment horizontal="right" vertical="center"/>
      <protection locked="0"/>
    </xf>
    <xf numFmtId="4" fontId="23" fillId="6" borderId="22" xfId="4" applyNumberFormat="1" applyFont="1" applyFill="1" applyBorder="1" applyAlignment="1" applyProtection="1">
      <alignment horizontal="right" vertical="center"/>
      <protection locked="0"/>
    </xf>
    <xf numFmtId="0" fontId="0" fillId="0" borderId="18" xfId="0" applyBorder="1"/>
    <xf numFmtId="44" fontId="0" fillId="0" borderId="20" xfId="2" applyFont="1" applyBorder="1"/>
    <xf numFmtId="0" fontId="0" fillId="0" borderId="21" xfId="0" applyBorder="1"/>
    <xf numFmtId="44" fontId="0" fillId="0" borderId="23" xfId="2" applyFont="1" applyBorder="1"/>
    <xf numFmtId="44" fontId="28" fillId="0" borderId="23" xfId="2" applyFont="1" applyBorder="1"/>
    <xf numFmtId="4" fontId="9" fillId="6" borderId="19" xfId="2" applyNumberFormat="1" applyFont="1" applyFill="1" applyBorder="1" applyAlignment="1" applyProtection="1">
      <alignment vertical="center"/>
      <protection locked="0"/>
    </xf>
    <xf numFmtId="4" fontId="9" fillId="6" borderId="1" xfId="2" applyNumberFormat="1" applyFont="1" applyFill="1" applyBorder="1" applyAlignment="1" applyProtection="1">
      <alignment vertical="center"/>
      <protection locked="0"/>
    </xf>
    <xf numFmtId="4" fontId="9" fillId="6" borderId="22" xfId="2" applyNumberFormat="1" applyFont="1" applyFill="1" applyBorder="1" applyAlignment="1" applyProtection="1">
      <alignment vertical="center"/>
      <protection locked="0"/>
    </xf>
    <xf numFmtId="4" fontId="9" fillId="6" borderId="25" xfId="2" applyNumberFormat="1" applyFont="1" applyFill="1" applyBorder="1" applyAlignment="1" applyProtection="1">
      <alignment vertical="center"/>
      <protection locked="0"/>
    </xf>
    <xf numFmtId="4" fontId="9" fillId="6" borderId="16" xfId="2" applyNumberFormat="1" applyFont="1" applyFill="1" applyBorder="1" applyAlignment="1" applyProtection="1">
      <alignment vertical="center"/>
      <protection locked="0"/>
    </xf>
    <xf numFmtId="4" fontId="9" fillId="6" borderId="28" xfId="2" applyNumberFormat="1" applyFont="1" applyFill="1" applyBorder="1" applyAlignment="1" applyProtection="1">
      <alignment vertical="center"/>
      <protection locked="0"/>
    </xf>
    <xf numFmtId="4" fontId="9" fillId="6" borderId="9" xfId="2" applyNumberFormat="1" applyFont="1" applyFill="1" applyBorder="1" applyAlignment="1" applyProtection="1">
      <alignment vertical="center"/>
      <protection locked="0"/>
    </xf>
    <xf numFmtId="4" fontId="9" fillId="6" borderId="42" xfId="2" applyNumberFormat="1" applyFont="1" applyFill="1" applyBorder="1" applyAlignment="1" applyProtection="1">
      <alignment vertical="center"/>
      <protection locked="0"/>
    </xf>
    <xf numFmtId="4" fontId="9" fillId="6" borderId="1" xfId="0" applyNumberFormat="1" applyFont="1" applyFill="1" applyBorder="1" applyAlignment="1" applyProtection="1">
      <alignment horizontal="right" vertical="center"/>
      <protection locked="0"/>
    </xf>
    <xf numFmtId="4" fontId="9" fillId="6" borderId="1" xfId="0" applyNumberFormat="1" applyFont="1" applyFill="1" applyBorder="1" applyAlignment="1" applyProtection="1">
      <alignment vertical="center"/>
      <protection locked="0"/>
    </xf>
    <xf numFmtId="4" fontId="9" fillId="6" borderId="13" xfId="0" applyNumberFormat="1" applyFont="1" applyFill="1" applyBorder="1" applyAlignment="1" applyProtection="1">
      <alignment vertical="center"/>
      <protection locked="0"/>
    </xf>
    <xf numFmtId="44" fontId="0" fillId="0" borderId="0" xfId="2" applyFont="1" applyBorder="1"/>
    <xf numFmtId="44" fontId="28" fillId="0" borderId="0" xfId="2" applyFont="1" applyBorder="1"/>
    <xf numFmtId="0" fontId="0" fillId="0" borderId="0" xfId="0" applyAlignment="1">
      <alignment wrapText="1"/>
    </xf>
    <xf numFmtId="0" fontId="0" fillId="0" borderId="20" xfId="0" applyBorder="1"/>
    <xf numFmtId="0" fontId="28" fillId="6" borderId="21" xfId="0" applyFont="1" applyFill="1" applyBorder="1" applyAlignment="1">
      <alignment wrapText="1"/>
    </xf>
    <xf numFmtId="0" fontId="28" fillId="6" borderId="23" xfId="0" applyFont="1" applyFill="1" applyBorder="1"/>
    <xf numFmtId="0" fontId="1" fillId="6" borderId="1" xfId="0" applyFont="1" applyFill="1" applyBorder="1"/>
    <xf numFmtId="0" fontId="1" fillId="7" borderId="1" xfId="0" applyFont="1" applyFill="1" applyBorder="1" applyAlignment="1">
      <alignment wrapText="1"/>
    </xf>
    <xf numFmtId="0" fontId="1" fillId="7" borderId="1" xfId="0" applyFont="1" applyFill="1" applyBorder="1"/>
    <xf numFmtId="0" fontId="7" fillId="7" borderId="13" xfId="0" applyFont="1" applyFill="1" applyBorder="1" applyAlignment="1">
      <alignment vertical="top" wrapText="1"/>
    </xf>
    <xf numFmtId="44" fontId="0" fillId="0" borderId="0" xfId="0" applyNumberFormat="1"/>
    <xf numFmtId="4" fontId="26" fillId="0" borderId="28" xfId="2" applyNumberFormat="1" applyFont="1" applyFill="1" applyBorder="1" applyProtection="1"/>
    <xf numFmtId="0" fontId="7" fillId="0" borderId="24" xfId="0" applyFont="1" applyBorder="1" applyAlignment="1">
      <alignment horizontal="left" vertical="center" wrapText="1"/>
    </xf>
    <xf numFmtId="0" fontId="9" fillId="0" borderId="13" xfId="0" applyFont="1" applyBorder="1" applyAlignment="1">
      <alignment horizontal="center" vertical="center"/>
    </xf>
    <xf numFmtId="0" fontId="7" fillId="0" borderId="13" xfId="0" applyFont="1" applyBorder="1" applyAlignment="1">
      <alignment vertical="top" wrapText="1"/>
    </xf>
    <xf numFmtId="4" fontId="9" fillId="6" borderId="13" xfId="2" applyNumberFormat="1" applyFont="1" applyFill="1" applyBorder="1" applyAlignment="1" applyProtection="1">
      <alignment vertical="center"/>
      <protection locked="0"/>
    </xf>
    <xf numFmtId="164" fontId="9" fillId="0" borderId="14" xfId="2" applyNumberFormat="1" applyFont="1" applyFill="1" applyBorder="1" applyAlignment="1">
      <alignment vertical="center"/>
    </xf>
    <xf numFmtId="0" fontId="7" fillId="7" borderId="25" xfId="0" applyFont="1" applyFill="1" applyBorder="1" applyAlignment="1">
      <alignment vertical="top" wrapText="1"/>
    </xf>
    <xf numFmtId="0" fontId="7" fillId="0" borderId="12" xfId="0" applyFont="1" applyBorder="1" applyAlignment="1">
      <alignment horizontal="left" vertical="center"/>
    </xf>
    <xf numFmtId="0" fontId="9" fillId="0" borderId="13" xfId="0" applyFont="1" applyBorder="1" applyAlignment="1">
      <alignment horizontal="center"/>
    </xf>
    <xf numFmtId="0" fontId="7" fillId="0" borderId="13" xfId="0" applyFont="1" applyBorder="1" applyAlignment="1">
      <alignment vertical="center" wrapText="1"/>
    </xf>
    <xf numFmtId="0" fontId="7" fillId="0" borderId="30" xfId="0" applyFont="1" applyBorder="1" applyAlignment="1">
      <alignment horizontal="left" vertical="center"/>
    </xf>
    <xf numFmtId="0" fontId="7" fillId="0" borderId="13" xfId="0" applyFont="1" applyBorder="1" applyAlignment="1">
      <alignment horizontal="left" vertical="center" wrapText="1"/>
    </xf>
    <xf numFmtId="0" fontId="7" fillId="0" borderId="24" xfId="0" applyFont="1" applyBorder="1" applyAlignment="1">
      <alignment vertical="center"/>
    </xf>
    <xf numFmtId="0" fontId="7" fillId="0" borderId="25" xfId="0" applyFont="1" applyBorder="1" applyAlignment="1">
      <alignment horizontal="left" vertical="top" wrapText="1"/>
    </xf>
    <xf numFmtId="0" fontId="19" fillId="0" borderId="43" xfId="0" applyFont="1" applyBorder="1" applyAlignment="1">
      <alignment vertical="center" wrapText="1"/>
    </xf>
    <xf numFmtId="0" fontId="26" fillId="0" borderId="28" xfId="0" applyFont="1" applyBorder="1" applyAlignment="1">
      <alignment horizontal="center" vertical="center"/>
    </xf>
    <xf numFmtId="0" fontId="26" fillId="0" borderId="28" xfId="0" applyFont="1" applyBorder="1" applyAlignment="1">
      <alignment vertical="center"/>
    </xf>
    <xf numFmtId="0" fontId="14" fillId="0" borderId="28" xfId="0" applyFont="1" applyBorder="1" applyAlignment="1">
      <alignment horizontal="center" vertical="center"/>
    </xf>
    <xf numFmtId="164" fontId="26" fillId="0" borderId="29" xfId="2" applyNumberFormat="1" applyFont="1" applyFill="1" applyBorder="1" applyAlignment="1">
      <alignment vertical="center"/>
    </xf>
    <xf numFmtId="0" fontId="11" fillId="2" borderId="35" xfId="0" applyFont="1" applyFill="1" applyBorder="1" applyAlignment="1">
      <alignment horizontal="center" vertical="top" wrapText="1"/>
    </xf>
    <xf numFmtId="0" fontId="11" fillId="2" borderId="40" xfId="0" applyFont="1" applyFill="1" applyBorder="1" applyAlignment="1">
      <alignment horizontal="center" vertical="top" wrapText="1"/>
    </xf>
    <xf numFmtId="4" fontId="11" fillId="2" borderId="32" xfId="0" applyNumberFormat="1" applyFont="1" applyFill="1" applyBorder="1" applyAlignment="1">
      <alignment horizontal="right" vertical="center"/>
    </xf>
    <xf numFmtId="4" fontId="11" fillId="2" borderId="34" xfId="0" applyNumberFormat="1" applyFont="1" applyFill="1" applyBorder="1" applyAlignment="1">
      <alignment horizontal="right" vertical="center"/>
    </xf>
    <xf numFmtId="0" fontId="16" fillId="0" borderId="0" xfId="0" applyFont="1" applyAlignment="1">
      <alignment horizontal="left" wrapText="1"/>
    </xf>
    <xf numFmtId="0" fontId="11" fillId="2" borderId="1" xfId="0" applyFont="1" applyFill="1" applyBorder="1" applyAlignment="1">
      <alignment horizontal="center" vertical="center" wrapText="1"/>
    </xf>
    <xf numFmtId="0" fontId="11" fillId="2" borderId="35" xfId="0" applyFont="1" applyFill="1" applyBorder="1" applyAlignment="1">
      <alignment horizontal="left" vertical="top" wrapText="1"/>
    </xf>
    <xf numFmtId="0" fontId="11" fillId="2" borderId="10" xfId="0" applyFont="1" applyFill="1" applyBorder="1" applyAlignment="1">
      <alignment horizontal="left" vertical="top" wrapText="1"/>
    </xf>
    <xf numFmtId="0" fontId="26" fillId="8" borderId="39" xfId="0" applyFont="1" applyFill="1" applyBorder="1" applyAlignment="1">
      <alignment vertical="center"/>
    </xf>
    <xf numFmtId="0" fontId="26" fillId="8" borderId="8" xfId="0" applyFont="1" applyFill="1" applyBorder="1" applyAlignment="1">
      <alignment vertical="center"/>
    </xf>
    <xf numFmtId="0" fontId="26" fillId="8" borderId="2" xfId="0" applyFont="1" applyFill="1" applyBorder="1" applyAlignment="1">
      <alignment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3" fillId="4" borderId="7" xfId="4" applyFont="1" applyFill="1" applyBorder="1" applyAlignment="1">
      <alignment horizontal="center" vertical="center" wrapText="1"/>
    </xf>
    <xf numFmtId="0" fontId="13" fillId="4" borderId="8" xfId="4" applyFont="1" applyFill="1" applyBorder="1" applyAlignment="1">
      <alignment horizontal="center" vertical="center" wrapText="1"/>
    </xf>
    <xf numFmtId="0" fontId="13" fillId="4" borderId="2" xfId="4" applyFont="1" applyFill="1" applyBorder="1" applyAlignment="1">
      <alignment horizontal="center" vertical="center" wrapText="1"/>
    </xf>
    <xf numFmtId="164" fontId="11" fillId="2" borderId="36" xfId="2" applyNumberFormat="1" applyFont="1" applyFill="1" applyBorder="1" applyAlignment="1">
      <alignment horizontal="right" vertical="center"/>
    </xf>
    <xf numFmtId="164" fontId="11" fillId="2" borderId="0" xfId="2" applyNumberFormat="1" applyFont="1" applyFill="1" applyAlignment="1">
      <alignment horizontal="right" vertical="center"/>
    </xf>
    <xf numFmtId="0" fontId="27" fillId="6" borderId="0" xfId="0" applyFont="1" applyFill="1" applyAlignment="1">
      <alignment horizontal="left" vertical="center"/>
    </xf>
    <xf numFmtId="0" fontId="10" fillId="0" borderId="0" xfId="0" applyFont="1" applyAlignment="1">
      <alignment horizontal="center"/>
    </xf>
    <xf numFmtId="164" fontId="11" fillId="2" borderId="1" xfId="2" applyNumberFormat="1" applyFont="1" applyFill="1" applyBorder="1" applyAlignment="1">
      <alignment horizontal="right" vertical="center"/>
    </xf>
  </cellXfs>
  <cellStyles count="6">
    <cellStyle name="Čárka" xfId="1" builtinId="3"/>
    <cellStyle name="Měna" xfId="2" builtinId="4"/>
    <cellStyle name="Normální" xfId="0" builtinId="0"/>
    <cellStyle name="normální_Ceník jedn. cen. mimosml. úkl. prací" xfId="4" xr:uid="{00000000-0005-0000-0000-000003000000}"/>
    <cellStyle name="normální_Verze1+ruč_Kalkulace úklidu" xfId="5" xr:uid="{00000000-0005-0000-0000-000004000000}"/>
    <cellStyle name="Vysvětlující text" xfId="3" builtinId="53"/>
  </cellStyles>
  <dxfs count="0"/>
  <tableStyles count="0" defaultTableStyle="TableStyleMedium2" defaultPivotStyle="PivotStyleLight16"/>
  <colors>
    <mruColors>
      <color rgb="FFCCECFF"/>
      <color rgb="FF66CC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D74B1-61B3-48C5-8CA3-829987E77F2C}">
  <dimension ref="A1:L237"/>
  <sheetViews>
    <sheetView tabSelected="1" topLeftCell="A36" workbookViewId="0">
      <selection activeCell="I17" sqref="I17"/>
    </sheetView>
  </sheetViews>
  <sheetFormatPr defaultRowHeight="15" x14ac:dyDescent="0.25"/>
  <cols>
    <col min="1" max="1" width="36.5703125" customWidth="1"/>
    <col min="2" max="2" width="9" style="127" customWidth="1"/>
    <col min="3" max="3" width="37.140625" style="12" customWidth="1"/>
    <col min="4" max="5" width="24.7109375" customWidth="1"/>
    <col min="6" max="6" width="11.28515625" style="106" customWidth="1"/>
    <col min="7" max="7" width="23.140625" customWidth="1"/>
    <col min="8" max="8" width="10.85546875" bestFit="1" customWidth="1"/>
    <col min="9" max="9" width="22.5703125" customWidth="1"/>
    <col min="10" max="10" width="21.7109375" customWidth="1"/>
    <col min="11" max="11" width="24.140625" bestFit="1" customWidth="1"/>
    <col min="12" max="12" width="15.42578125" bestFit="1" customWidth="1"/>
  </cols>
  <sheetData>
    <row r="1" spans="1:12" x14ac:dyDescent="0.25">
      <c r="A1" s="1"/>
      <c r="B1" s="116"/>
      <c r="C1" s="9"/>
      <c r="D1" s="1"/>
      <c r="E1" s="1"/>
      <c r="F1" s="104"/>
      <c r="G1" s="1"/>
      <c r="I1" s="176" t="s">
        <v>288</v>
      </c>
      <c r="J1" s="177">
        <v>20800</v>
      </c>
      <c r="L1" s="192"/>
    </row>
    <row r="2" spans="1:12" ht="15.75" thickBot="1" x14ac:dyDescent="0.3">
      <c r="A2" s="14" t="s">
        <v>280</v>
      </c>
      <c r="B2" s="14"/>
      <c r="C2" s="9" t="s">
        <v>18</v>
      </c>
      <c r="D2" s="1"/>
      <c r="E2" s="1"/>
      <c r="F2" s="104"/>
      <c r="G2" s="1"/>
      <c r="I2" s="178"/>
      <c r="J2" s="179"/>
      <c r="L2" s="192"/>
    </row>
    <row r="3" spans="1:12" x14ac:dyDescent="0.25">
      <c r="A3" s="1"/>
      <c r="B3" s="116"/>
      <c r="C3" s="9" t="s">
        <v>249</v>
      </c>
      <c r="D3" s="1"/>
      <c r="E3" s="1"/>
      <c r="F3" s="104"/>
      <c r="G3" s="1"/>
      <c r="I3" s="176" t="s">
        <v>293</v>
      </c>
      <c r="J3" s="177">
        <v>22400</v>
      </c>
      <c r="L3" s="192"/>
    </row>
    <row r="4" spans="1:12" ht="15.75" thickBot="1" x14ac:dyDescent="0.3">
      <c r="A4" s="1"/>
      <c r="B4" s="116"/>
      <c r="C4" s="9" t="s">
        <v>279</v>
      </c>
      <c r="D4" s="1"/>
      <c r="E4" s="1"/>
      <c r="F4" s="104"/>
      <c r="G4" s="1"/>
      <c r="I4" s="178"/>
      <c r="J4" s="180"/>
      <c r="L4" s="193"/>
    </row>
    <row r="5" spans="1:12" ht="15.75" thickBot="1" x14ac:dyDescent="0.3">
      <c r="A5" s="82" t="s">
        <v>45</v>
      </c>
      <c r="B5" s="116"/>
      <c r="C5" s="9"/>
      <c r="D5" s="1"/>
      <c r="E5" s="1"/>
      <c r="F5" s="104"/>
      <c r="G5" s="1"/>
    </row>
    <row r="6" spans="1:12" x14ac:dyDescent="0.25">
      <c r="A6" s="1" t="s">
        <v>192</v>
      </c>
      <c r="B6" s="116"/>
      <c r="C6" s="9" t="s">
        <v>190</v>
      </c>
      <c r="D6" s="1"/>
      <c r="E6" s="1"/>
      <c r="F6" s="104"/>
      <c r="G6" s="1"/>
      <c r="I6" s="176" t="s">
        <v>287</v>
      </c>
      <c r="J6" s="195">
        <f>(J3*100/J1)-100</f>
        <v>7.6923076923076934</v>
      </c>
    </row>
    <row r="7" spans="1:12" ht="45" x14ac:dyDescent="0.25">
      <c r="A7" s="1" t="s">
        <v>193</v>
      </c>
      <c r="B7" s="116"/>
      <c r="C7" s="9" t="s">
        <v>49</v>
      </c>
      <c r="D7" s="1"/>
      <c r="E7" s="1"/>
      <c r="F7" s="104"/>
      <c r="G7" s="1"/>
      <c r="I7" s="199" t="s">
        <v>294</v>
      </c>
      <c r="J7" s="200">
        <v>1.077</v>
      </c>
    </row>
    <row r="8" spans="1:12" ht="45" x14ac:dyDescent="0.25">
      <c r="A8" s="1" t="s">
        <v>194</v>
      </c>
      <c r="B8" s="116"/>
      <c r="C8" s="9" t="s">
        <v>191</v>
      </c>
      <c r="D8" s="1"/>
      <c r="E8" s="1"/>
      <c r="F8" s="104"/>
      <c r="G8" s="1"/>
      <c r="I8" s="199" t="s">
        <v>295</v>
      </c>
      <c r="J8" s="200">
        <f>J6*0.8</f>
        <v>6.1538461538461551</v>
      </c>
    </row>
    <row r="9" spans="1:12" x14ac:dyDescent="0.25">
      <c r="A9" s="1" t="s">
        <v>196</v>
      </c>
      <c r="B9" s="116"/>
      <c r="C9" s="9" t="s">
        <v>237</v>
      </c>
      <c r="D9" s="1"/>
      <c r="E9" s="1"/>
      <c r="F9" s="104"/>
      <c r="G9" s="1"/>
      <c r="I9" s="198" t="s">
        <v>296</v>
      </c>
      <c r="J9" s="198">
        <v>1.06</v>
      </c>
    </row>
    <row r="10" spans="1:12" x14ac:dyDescent="0.25">
      <c r="A10" s="1" t="s">
        <v>195</v>
      </c>
      <c r="B10" s="116"/>
      <c r="C10" s="9" t="s">
        <v>197</v>
      </c>
      <c r="D10" s="1"/>
      <c r="E10" s="1"/>
      <c r="F10" s="104"/>
      <c r="G10" s="1"/>
    </row>
    <row r="11" spans="1:12" x14ac:dyDescent="0.25">
      <c r="A11" s="1" t="s">
        <v>239</v>
      </c>
      <c r="B11" s="116"/>
      <c r="C11" s="9" t="s">
        <v>198</v>
      </c>
      <c r="D11" s="1"/>
      <c r="E11" s="1"/>
      <c r="F11" s="104"/>
      <c r="G11" s="1"/>
    </row>
    <row r="12" spans="1:12" x14ac:dyDescent="0.25">
      <c r="A12" s="1"/>
      <c r="B12" s="116"/>
      <c r="C12" s="9"/>
      <c r="D12" s="1"/>
      <c r="E12" s="1"/>
      <c r="F12" s="104"/>
      <c r="G12" s="1"/>
    </row>
    <row r="13" spans="1:12" ht="17.25" customHeight="1" x14ac:dyDescent="0.25">
      <c r="A13" s="1" t="s">
        <v>50</v>
      </c>
      <c r="B13" s="116"/>
      <c r="C13" s="9" t="s">
        <v>250</v>
      </c>
      <c r="D13" s="1"/>
      <c r="E13" s="1"/>
      <c r="F13" s="104"/>
      <c r="G13" s="1"/>
    </row>
    <row r="14" spans="1:12" ht="17.25" customHeight="1" x14ac:dyDescent="0.25">
      <c r="A14" s="1"/>
      <c r="B14" s="116"/>
      <c r="C14" s="9" t="s">
        <v>199</v>
      </c>
      <c r="D14" s="1"/>
      <c r="E14" s="1"/>
      <c r="F14" s="104"/>
      <c r="G14" s="1"/>
      <c r="J14" s="202"/>
    </row>
    <row r="15" spans="1:12" ht="17.25" customHeight="1" x14ac:dyDescent="0.25">
      <c r="A15" s="1"/>
      <c r="B15" s="116"/>
      <c r="C15" s="9" t="s">
        <v>52</v>
      </c>
      <c r="D15" s="1"/>
      <c r="E15" s="1"/>
      <c r="F15" s="104"/>
      <c r="G15" s="1"/>
    </row>
    <row r="16" spans="1:12" ht="17.25" customHeight="1" x14ac:dyDescent="0.25">
      <c r="A16" s="1"/>
      <c r="B16" s="116"/>
      <c r="C16" s="9" t="s">
        <v>51</v>
      </c>
      <c r="D16" s="1"/>
      <c r="E16" s="1"/>
      <c r="F16" s="104"/>
      <c r="G16" s="1"/>
      <c r="J16" s="202"/>
    </row>
    <row r="17" spans="1:10" ht="17.25" customHeight="1" x14ac:dyDescent="0.25">
      <c r="A17" s="1"/>
      <c r="B17" s="116"/>
      <c r="C17" s="9" t="s">
        <v>241</v>
      </c>
      <c r="D17" s="1"/>
      <c r="E17" s="1"/>
      <c r="F17" s="104"/>
      <c r="G17" s="1"/>
    </row>
    <row r="18" spans="1:10" ht="17.25" customHeight="1" x14ac:dyDescent="0.25">
      <c r="A18" s="1"/>
      <c r="B18" s="116"/>
      <c r="C18" s="9" t="s">
        <v>240</v>
      </c>
      <c r="D18" s="1"/>
      <c r="E18" s="1"/>
      <c r="F18" s="104"/>
      <c r="G18" s="1"/>
    </row>
    <row r="19" spans="1:10" ht="17.25" customHeight="1" x14ac:dyDescent="0.25">
      <c r="A19" s="1"/>
      <c r="B19" s="116"/>
      <c r="C19" s="9" t="s">
        <v>242</v>
      </c>
      <c r="D19" s="1"/>
      <c r="E19" s="1"/>
      <c r="F19" s="104"/>
      <c r="G19" s="1"/>
      <c r="J19" s="202"/>
    </row>
    <row r="20" spans="1:10" ht="17.25" customHeight="1" x14ac:dyDescent="0.25">
      <c r="A20" s="1"/>
      <c r="B20" s="116"/>
      <c r="C20" s="9" t="s">
        <v>243</v>
      </c>
      <c r="D20" s="1"/>
      <c r="E20" s="1"/>
      <c r="F20" s="104"/>
      <c r="G20" s="1"/>
      <c r="J20" s="202"/>
    </row>
    <row r="21" spans="1:10" ht="17.25" customHeight="1" x14ac:dyDescent="0.25">
      <c r="A21" s="128"/>
      <c r="B21" s="116"/>
      <c r="C21" s="9" t="s">
        <v>244</v>
      </c>
      <c r="D21" s="1"/>
      <c r="E21" s="1"/>
      <c r="F21" s="104"/>
      <c r="G21" s="1"/>
    </row>
    <row r="22" spans="1:10" ht="17.25" customHeight="1" x14ac:dyDescent="0.25">
      <c r="A22" s="128"/>
      <c r="B22" s="116"/>
      <c r="C22" s="9"/>
      <c r="D22" s="1"/>
      <c r="E22" s="1"/>
      <c r="F22" s="104"/>
      <c r="G22" s="1"/>
    </row>
    <row r="23" spans="1:10" ht="17.25" customHeight="1" x14ac:dyDescent="0.25">
      <c r="A23" s="1"/>
      <c r="B23" s="116"/>
      <c r="C23" s="9"/>
      <c r="D23" s="9"/>
      <c r="E23" s="240" t="s">
        <v>246</v>
      </c>
      <c r="F23" s="240"/>
      <c r="G23" s="240"/>
    </row>
    <row r="24" spans="1:10" ht="21.6" customHeight="1" x14ac:dyDescent="0.25">
      <c r="A24" s="241" t="s">
        <v>5</v>
      </c>
      <c r="B24" s="241"/>
      <c r="C24" s="241"/>
      <c r="D24" s="241"/>
      <c r="E24" s="241"/>
      <c r="F24" s="241"/>
      <c r="G24" s="241"/>
    </row>
    <row r="25" spans="1:10" ht="18" customHeight="1" thickBot="1" x14ac:dyDescent="0.3">
      <c r="A25" s="2"/>
      <c r="B25" s="117"/>
      <c r="C25" s="10"/>
      <c r="D25" s="2"/>
      <c r="E25" s="2"/>
      <c r="F25" s="105"/>
      <c r="G25" s="2"/>
    </row>
    <row r="26" spans="1:10" ht="20.45" customHeight="1" thickBot="1" x14ac:dyDescent="0.3">
      <c r="A26" s="233" t="s">
        <v>22</v>
      </c>
      <c r="B26" s="234"/>
      <c r="C26" s="234"/>
      <c r="D26" s="234"/>
      <c r="E26" s="234"/>
      <c r="F26" s="234"/>
      <c r="G26" s="234"/>
    </row>
    <row r="27" spans="1:10" ht="20.45" customHeight="1" x14ac:dyDescent="0.25">
      <c r="A27" s="233" t="s">
        <v>21</v>
      </c>
      <c r="B27" s="234"/>
      <c r="C27" s="234"/>
      <c r="D27" s="234"/>
      <c r="E27" s="234"/>
      <c r="F27" s="234"/>
      <c r="G27" s="234"/>
    </row>
    <row r="28" spans="1:10" ht="73.150000000000006" customHeight="1" thickBot="1" x14ac:dyDescent="0.3">
      <c r="A28" s="22" t="s">
        <v>46</v>
      </c>
      <c r="B28" s="66" t="s">
        <v>290</v>
      </c>
      <c r="C28" s="24" t="s">
        <v>291</v>
      </c>
      <c r="D28" s="24" t="s">
        <v>297</v>
      </c>
      <c r="E28" s="24" t="s">
        <v>298</v>
      </c>
      <c r="F28" s="23" t="s">
        <v>47</v>
      </c>
      <c r="G28" s="25" t="s">
        <v>286</v>
      </c>
    </row>
    <row r="29" spans="1:10" ht="182.25" customHeight="1" x14ac:dyDescent="0.25">
      <c r="A29" s="26" t="s">
        <v>105</v>
      </c>
      <c r="B29" s="67">
        <f>262.16+33.55</f>
        <v>295.71000000000004</v>
      </c>
      <c r="C29" s="27" t="s">
        <v>61</v>
      </c>
      <c r="D29" s="181">
        <v>378</v>
      </c>
      <c r="E29" s="181">
        <f>D29*$J$9</f>
        <v>400.68</v>
      </c>
      <c r="F29" s="67" t="s">
        <v>53</v>
      </c>
      <c r="G29" s="131">
        <f>E29*354</f>
        <v>141840.72</v>
      </c>
    </row>
    <row r="30" spans="1:10" ht="54" customHeight="1" x14ac:dyDescent="0.25">
      <c r="A30" s="6" t="s">
        <v>24</v>
      </c>
      <c r="B30" s="68"/>
      <c r="C30" s="8" t="s">
        <v>56</v>
      </c>
      <c r="D30" s="182">
        <v>37.799999999999997</v>
      </c>
      <c r="E30" s="182">
        <f t="shared" ref="E30:E93" si="0">D30*$J$9</f>
        <v>40.067999999999998</v>
      </c>
      <c r="F30" s="68" t="s">
        <v>54</v>
      </c>
      <c r="G30" s="132">
        <f>E30*2*51</f>
        <v>4086.9359999999997</v>
      </c>
    </row>
    <row r="31" spans="1:10" ht="47.25" customHeight="1" x14ac:dyDescent="0.25">
      <c r="A31" s="6" t="s">
        <v>24</v>
      </c>
      <c r="B31" s="68"/>
      <c r="C31" s="8" t="s">
        <v>58</v>
      </c>
      <c r="D31" s="182">
        <v>59.4</v>
      </c>
      <c r="E31" s="182">
        <f t="shared" si="0"/>
        <v>62.963999999999999</v>
      </c>
      <c r="F31" s="68" t="s">
        <v>57</v>
      </c>
      <c r="G31" s="132">
        <f>E31*51</f>
        <v>3211.1639999999998</v>
      </c>
    </row>
    <row r="32" spans="1:10" ht="48" customHeight="1" thickBot="1" x14ac:dyDescent="0.3">
      <c r="A32" s="28" t="s">
        <v>24</v>
      </c>
      <c r="B32" s="69"/>
      <c r="C32" s="172" t="s">
        <v>267</v>
      </c>
      <c r="D32" s="183">
        <v>59.4</v>
      </c>
      <c r="E32" s="183">
        <f t="shared" si="0"/>
        <v>62.963999999999999</v>
      </c>
      <c r="F32" s="69" t="s">
        <v>59</v>
      </c>
      <c r="G32" s="133">
        <f>E32*12</f>
        <v>755.56799999999998</v>
      </c>
    </row>
    <row r="33" spans="1:9" ht="180" customHeight="1" x14ac:dyDescent="0.25">
      <c r="A33" s="32" t="s">
        <v>6</v>
      </c>
      <c r="B33" s="67">
        <v>54.44</v>
      </c>
      <c r="C33" s="27" t="s">
        <v>62</v>
      </c>
      <c r="D33" s="181">
        <v>91.8</v>
      </c>
      <c r="E33" s="181">
        <f t="shared" si="0"/>
        <v>97.308000000000007</v>
      </c>
      <c r="F33" s="67" t="s">
        <v>53</v>
      </c>
      <c r="G33" s="131">
        <f>E33*354</f>
        <v>34447.031999999999</v>
      </c>
    </row>
    <row r="34" spans="1:9" ht="27.75" customHeight="1" x14ac:dyDescent="0.25">
      <c r="A34" s="5" t="s">
        <v>25</v>
      </c>
      <c r="B34" s="68"/>
      <c r="C34" s="31" t="s">
        <v>63</v>
      </c>
      <c r="D34" s="182">
        <v>59.4</v>
      </c>
      <c r="E34" s="182">
        <f t="shared" si="0"/>
        <v>62.963999999999999</v>
      </c>
      <c r="F34" s="68" t="s">
        <v>57</v>
      </c>
      <c r="G34" s="132">
        <f>E34*51</f>
        <v>3211.1639999999998</v>
      </c>
      <c r="H34" s="40"/>
      <c r="I34" s="40"/>
    </row>
    <row r="35" spans="1:9" ht="24.95" customHeight="1" thickBot="1" x14ac:dyDescent="0.3">
      <c r="A35" s="33" t="s">
        <v>25</v>
      </c>
      <c r="B35" s="69"/>
      <c r="C35" s="34" t="s">
        <v>64</v>
      </c>
      <c r="D35" s="183">
        <v>270</v>
      </c>
      <c r="E35" s="183">
        <f t="shared" si="0"/>
        <v>286.2</v>
      </c>
      <c r="F35" s="69" t="s">
        <v>59</v>
      </c>
      <c r="G35" s="133">
        <f>E35*12</f>
        <v>3434.3999999999996</v>
      </c>
    </row>
    <row r="36" spans="1:9" ht="39" customHeight="1" thickBot="1" x14ac:dyDescent="0.3">
      <c r="A36" s="37" t="s">
        <v>186</v>
      </c>
      <c r="B36" s="70">
        <v>60.71</v>
      </c>
      <c r="C36" s="38" t="s">
        <v>14</v>
      </c>
      <c r="D36" s="184">
        <v>43.2</v>
      </c>
      <c r="E36" s="184">
        <f t="shared" si="0"/>
        <v>45.792000000000009</v>
      </c>
      <c r="F36" s="77" t="s">
        <v>187</v>
      </c>
      <c r="G36" s="134">
        <f>E36*29</f>
        <v>1327.9680000000003</v>
      </c>
    </row>
    <row r="37" spans="1:9" ht="215.25" customHeight="1" x14ac:dyDescent="0.25">
      <c r="A37" s="32" t="s">
        <v>106</v>
      </c>
      <c r="B37" s="67">
        <v>145.9</v>
      </c>
      <c r="C37" s="43" t="s">
        <v>66</v>
      </c>
      <c r="D37" s="181">
        <v>156.6</v>
      </c>
      <c r="E37" s="181">
        <f t="shared" si="0"/>
        <v>165.99600000000001</v>
      </c>
      <c r="F37" s="67" t="s">
        <v>53</v>
      </c>
      <c r="G37" s="131">
        <f>E37*354</f>
        <v>58762.584000000003</v>
      </c>
    </row>
    <row r="38" spans="1:9" ht="31.5" customHeight="1" x14ac:dyDescent="0.25">
      <c r="A38" s="35" t="s">
        <v>106</v>
      </c>
      <c r="B38" s="71"/>
      <c r="C38" s="36" t="s">
        <v>68</v>
      </c>
      <c r="D38" s="185">
        <v>10.8</v>
      </c>
      <c r="E38" s="182">
        <f t="shared" si="0"/>
        <v>11.448000000000002</v>
      </c>
      <c r="F38" s="71" t="s">
        <v>67</v>
      </c>
      <c r="G38" s="135">
        <f>E38*2*354</f>
        <v>8105.1840000000011</v>
      </c>
    </row>
    <row r="39" spans="1:9" ht="191.25" customHeight="1" x14ac:dyDescent="0.25">
      <c r="A39" s="35" t="s">
        <v>106</v>
      </c>
      <c r="B39" s="71"/>
      <c r="C39" s="36" t="s">
        <v>69</v>
      </c>
      <c r="D39" s="185">
        <v>37.799999999999997</v>
      </c>
      <c r="E39" s="182">
        <f t="shared" si="0"/>
        <v>40.067999999999998</v>
      </c>
      <c r="F39" s="71" t="s">
        <v>57</v>
      </c>
      <c r="G39" s="135">
        <f>E39*51</f>
        <v>2043.4679999999998</v>
      </c>
    </row>
    <row r="40" spans="1:9" ht="16.5" customHeight="1" thickBot="1" x14ac:dyDescent="0.3">
      <c r="A40" s="44" t="s">
        <v>106</v>
      </c>
      <c r="B40" s="72"/>
      <c r="C40" s="45" t="s">
        <v>26</v>
      </c>
      <c r="D40" s="186">
        <v>162</v>
      </c>
      <c r="E40" s="183">
        <f t="shared" si="0"/>
        <v>171.72</v>
      </c>
      <c r="F40" s="72" t="s">
        <v>70</v>
      </c>
      <c r="G40" s="136">
        <f>E40*2*12</f>
        <v>4121.28</v>
      </c>
    </row>
    <row r="41" spans="1:9" ht="194.45" customHeight="1" thickBot="1" x14ac:dyDescent="0.3">
      <c r="A41" s="204" t="s">
        <v>107</v>
      </c>
      <c r="B41" s="70">
        <v>295.70999999999998</v>
      </c>
      <c r="C41" s="64" t="s">
        <v>71</v>
      </c>
      <c r="D41" s="184">
        <v>378</v>
      </c>
      <c r="E41" s="184">
        <f t="shared" si="0"/>
        <v>400.68</v>
      </c>
      <c r="F41" s="70" t="s">
        <v>53</v>
      </c>
      <c r="G41" s="134">
        <f>E41*354</f>
        <v>141840.72</v>
      </c>
    </row>
    <row r="42" spans="1:9" ht="77.25" customHeight="1" x14ac:dyDescent="0.25">
      <c r="A42" s="63" t="s">
        <v>27</v>
      </c>
      <c r="B42" s="71"/>
      <c r="C42" s="42" t="s">
        <v>73</v>
      </c>
      <c r="D42" s="185">
        <v>37.799999999999997</v>
      </c>
      <c r="E42" s="185">
        <f t="shared" si="0"/>
        <v>40.067999999999998</v>
      </c>
      <c r="F42" s="71" t="s">
        <v>72</v>
      </c>
      <c r="G42" s="135">
        <f>E42*2*51</f>
        <v>4086.9359999999997</v>
      </c>
    </row>
    <row r="43" spans="1:9" ht="41.25" customHeight="1" thickBot="1" x14ac:dyDescent="0.3">
      <c r="A43" s="57" t="s">
        <v>27</v>
      </c>
      <c r="B43" s="205"/>
      <c r="C43" s="206" t="s">
        <v>58</v>
      </c>
      <c r="D43" s="207">
        <v>59.4</v>
      </c>
      <c r="E43" s="207">
        <f t="shared" si="0"/>
        <v>62.963999999999999</v>
      </c>
      <c r="F43" s="205" t="s">
        <v>57</v>
      </c>
      <c r="G43" s="208">
        <f>E43*51</f>
        <v>3211.1639999999998</v>
      </c>
    </row>
    <row r="44" spans="1:9" ht="26.25" thickBot="1" x14ac:dyDescent="0.3">
      <c r="A44" s="37" t="s">
        <v>27</v>
      </c>
      <c r="B44" s="70"/>
      <c r="C44" s="209" t="s">
        <v>267</v>
      </c>
      <c r="D44" s="184">
        <v>59.4</v>
      </c>
      <c r="E44" s="184">
        <f t="shared" si="0"/>
        <v>62.963999999999999</v>
      </c>
      <c r="F44" s="70" t="s">
        <v>59</v>
      </c>
      <c r="G44" s="134">
        <f>E44*12</f>
        <v>755.56799999999998</v>
      </c>
    </row>
    <row r="45" spans="1:9" ht="170.25" customHeight="1" x14ac:dyDescent="0.25">
      <c r="A45" s="35" t="s">
        <v>28</v>
      </c>
      <c r="B45" s="71">
        <v>54.92</v>
      </c>
      <c r="C45" s="42" t="s">
        <v>62</v>
      </c>
      <c r="D45" s="185">
        <v>91.8</v>
      </c>
      <c r="E45" s="185">
        <f t="shared" si="0"/>
        <v>97.308000000000007</v>
      </c>
      <c r="F45" s="71" t="s">
        <v>53</v>
      </c>
      <c r="G45" s="135">
        <f>E45*354</f>
        <v>34447.031999999999</v>
      </c>
    </row>
    <row r="46" spans="1:9" ht="31.5" customHeight="1" x14ac:dyDescent="0.25">
      <c r="A46" s="5" t="s">
        <v>29</v>
      </c>
      <c r="B46" s="74"/>
      <c r="C46" s="31" t="s">
        <v>63</v>
      </c>
      <c r="D46" s="182">
        <v>59.4</v>
      </c>
      <c r="E46" s="182">
        <f t="shared" si="0"/>
        <v>62.963999999999999</v>
      </c>
      <c r="F46" s="68" t="s">
        <v>57</v>
      </c>
      <c r="G46" s="132">
        <f>E46*51</f>
        <v>3211.1639999999998</v>
      </c>
    </row>
    <row r="47" spans="1:9" ht="24.95" customHeight="1" thickBot="1" x14ac:dyDescent="0.3">
      <c r="A47" s="33" t="s">
        <v>29</v>
      </c>
      <c r="B47" s="75"/>
      <c r="C47" s="34" t="s">
        <v>64</v>
      </c>
      <c r="D47" s="183">
        <v>270</v>
      </c>
      <c r="E47" s="183">
        <f t="shared" si="0"/>
        <v>286.2</v>
      </c>
      <c r="F47" s="69" t="s">
        <v>59</v>
      </c>
      <c r="G47" s="133">
        <f>E47*12</f>
        <v>3434.3999999999996</v>
      </c>
    </row>
    <row r="48" spans="1:9" ht="29.25" customHeight="1" thickBot="1" x14ac:dyDescent="0.3">
      <c r="A48" s="78" t="s">
        <v>108</v>
      </c>
      <c r="B48" s="79">
        <v>68.959999999999994</v>
      </c>
      <c r="C48" s="38" t="s">
        <v>14</v>
      </c>
      <c r="D48" s="184">
        <v>54</v>
      </c>
      <c r="E48" s="184">
        <f t="shared" si="0"/>
        <v>57.24</v>
      </c>
      <c r="F48" s="77" t="s">
        <v>65</v>
      </c>
      <c r="G48" s="134">
        <f>E48*29</f>
        <v>1659.96</v>
      </c>
    </row>
    <row r="49" spans="1:7" ht="170.25" customHeight="1" x14ac:dyDescent="0.25">
      <c r="A49" s="32" t="s">
        <v>109</v>
      </c>
      <c r="B49" s="67">
        <v>139.54</v>
      </c>
      <c r="C49" s="43" t="s">
        <v>75</v>
      </c>
      <c r="D49" s="181">
        <v>151.19999999999999</v>
      </c>
      <c r="E49" s="181">
        <f t="shared" si="0"/>
        <v>160.27199999999999</v>
      </c>
      <c r="F49" s="67" t="s">
        <v>74</v>
      </c>
      <c r="G49" s="131">
        <f>E49*354</f>
        <v>56736.288</v>
      </c>
    </row>
    <row r="50" spans="1:7" ht="30.75" customHeight="1" x14ac:dyDescent="0.25">
      <c r="A50" s="35" t="s">
        <v>109</v>
      </c>
      <c r="B50" s="71"/>
      <c r="C50" s="36" t="s">
        <v>68</v>
      </c>
      <c r="D50" s="185">
        <v>37.799999999999997</v>
      </c>
      <c r="E50" s="182">
        <f t="shared" si="0"/>
        <v>40.067999999999998</v>
      </c>
      <c r="F50" s="71" t="s">
        <v>67</v>
      </c>
      <c r="G50" s="135">
        <f>E50*2*354</f>
        <v>28368.144</v>
      </c>
    </row>
    <row r="51" spans="1:7" ht="178.5" x14ac:dyDescent="0.25">
      <c r="A51" s="35" t="s">
        <v>109</v>
      </c>
      <c r="B51" s="68"/>
      <c r="C51" s="36" t="s">
        <v>77</v>
      </c>
      <c r="D51" s="182">
        <v>145.80000000000001</v>
      </c>
      <c r="E51" s="182">
        <f t="shared" si="0"/>
        <v>154.54800000000003</v>
      </c>
      <c r="F51" s="68" t="s">
        <v>57</v>
      </c>
      <c r="G51" s="132">
        <f>E51*51</f>
        <v>7881.9480000000012</v>
      </c>
    </row>
    <row r="52" spans="1:7" ht="15.75" thickBot="1" x14ac:dyDescent="0.3">
      <c r="A52" s="44" t="s">
        <v>109</v>
      </c>
      <c r="B52" s="69"/>
      <c r="C52" s="49" t="s">
        <v>76</v>
      </c>
      <c r="D52" s="183">
        <v>151.19999999999999</v>
      </c>
      <c r="E52" s="183">
        <f t="shared" si="0"/>
        <v>160.27199999999999</v>
      </c>
      <c r="F52" s="69" t="s">
        <v>70</v>
      </c>
      <c r="G52" s="133">
        <f>E52*2*12</f>
        <v>3846.5279999999998</v>
      </c>
    </row>
    <row r="53" spans="1:7" ht="184.5" customHeight="1" x14ac:dyDescent="0.25">
      <c r="A53" s="46" t="s">
        <v>110</v>
      </c>
      <c r="B53" s="67">
        <v>295.70999999999998</v>
      </c>
      <c r="C53" s="27" t="s">
        <v>188</v>
      </c>
      <c r="D53" s="181">
        <v>378</v>
      </c>
      <c r="E53" s="181">
        <f t="shared" si="0"/>
        <v>400.68</v>
      </c>
      <c r="F53" s="67" t="s">
        <v>53</v>
      </c>
      <c r="G53" s="131">
        <f>E53*354</f>
        <v>141840.72</v>
      </c>
    </row>
    <row r="54" spans="1:7" ht="63.75" x14ac:dyDescent="0.25">
      <c r="A54" s="6" t="s">
        <v>30</v>
      </c>
      <c r="B54" s="68"/>
      <c r="C54" s="8" t="s">
        <v>189</v>
      </c>
      <c r="D54" s="182">
        <v>37.799999999999997</v>
      </c>
      <c r="E54" s="182">
        <f t="shared" si="0"/>
        <v>40.067999999999998</v>
      </c>
      <c r="F54" s="68" t="s">
        <v>54</v>
      </c>
      <c r="G54" s="132">
        <f>E54*2*51</f>
        <v>4086.9359999999997</v>
      </c>
    </row>
    <row r="55" spans="1:7" ht="38.25" x14ac:dyDescent="0.25">
      <c r="A55" s="6" t="s">
        <v>30</v>
      </c>
      <c r="B55" s="68"/>
      <c r="C55" s="8" t="s">
        <v>58</v>
      </c>
      <c r="D55" s="182">
        <v>59.4</v>
      </c>
      <c r="E55" s="182">
        <f t="shared" si="0"/>
        <v>62.963999999999999</v>
      </c>
      <c r="F55" s="68" t="s">
        <v>57</v>
      </c>
      <c r="G55" s="132">
        <f>E55*51</f>
        <v>3211.1639999999998</v>
      </c>
    </row>
    <row r="56" spans="1:7" ht="26.25" thickBot="1" x14ac:dyDescent="0.3">
      <c r="A56" s="28" t="s">
        <v>30</v>
      </c>
      <c r="B56" s="69"/>
      <c r="C56" s="172" t="s">
        <v>267</v>
      </c>
      <c r="D56" s="183">
        <v>59.4</v>
      </c>
      <c r="E56" s="183">
        <f t="shared" si="0"/>
        <v>62.963999999999999</v>
      </c>
      <c r="F56" s="69" t="s">
        <v>59</v>
      </c>
      <c r="G56" s="133">
        <f>E56*12</f>
        <v>755.56799999999998</v>
      </c>
    </row>
    <row r="57" spans="1:7" ht="204" x14ac:dyDescent="0.25">
      <c r="A57" s="41" t="s">
        <v>111</v>
      </c>
      <c r="B57" s="71">
        <v>54.4</v>
      </c>
      <c r="C57" s="42" t="s">
        <v>78</v>
      </c>
      <c r="D57" s="185">
        <v>91.8</v>
      </c>
      <c r="E57" s="185">
        <f t="shared" si="0"/>
        <v>97.308000000000007</v>
      </c>
      <c r="F57" s="71" t="s">
        <v>53</v>
      </c>
      <c r="G57" s="135">
        <f>E57*354</f>
        <v>34447.031999999999</v>
      </c>
    </row>
    <row r="58" spans="1:7" ht="24.95" customHeight="1" x14ac:dyDescent="0.25">
      <c r="A58" s="5" t="s">
        <v>31</v>
      </c>
      <c r="B58" s="74"/>
      <c r="C58" s="31" t="s">
        <v>63</v>
      </c>
      <c r="D58" s="182">
        <v>59.4</v>
      </c>
      <c r="E58" s="182">
        <f t="shared" si="0"/>
        <v>62.963999999999999</v>
      </c>
      <c r="F58" s="68" t="s">
        <v>57</v>
      </c>
      <c r="G58" s="132">
        <f>E58*51</f>
        <v>3211.1639999999998</v>
      </c>
    </row>
    <row r="59" spans="1:7" ht="24.95" customHeight="1" thickBot="1" x14ac:dyDescent="0.3">
      <c r="A59" s="210" t="s">
        <v>31</v>
      </c>
      <c r="B59" s="211"/>
      <c r="C59" s="212" t="s">
        <v>64</v>
      </c>
      <c r="D59" s="207">
        <v>270</v>
      </c>
      <c r="E59" s="207">
        <f t="shared" si="0"/>
        <v>286.2</v>
      </c>
      <c r="F59" s="205" t="s">
        <v>59</v>
      </c>
      <c r="G59" s="208">
        <f>E59*12</f>
        <v>3434.3999999999996</v>
      </c>
    </row>
    <row r="60" spans="1:7" ht="47.25" customHeight="1" thickBot="1" x14ac:dyDescent="0.3">
      <c r="A60" s="78" t="s">
        <v>112</v>
      </c>
      <c r="B60" s="79">
        <v>68.959999999999994</v>
      </c>
      <c r="C60" s="38" t="s">
        <v>14</v>
      </c>
      <c r="D60" s="184">
        <v>54</v>
      </c>
      <c r="E60" s="184">
        <f t="shared" si="0"/>
        <v>57.24</v>
      </c>
      <c r="F60" s="77" t="s">
        <v>65</v>
      </c>
      <c r="G60" s="134">
        <f>E60*29</f>
        <v>1659.96</v>
      </c>
    </row>
    <row r="61" spans="1:7" ht="194.25" customHeight="1" x14ac:dyDescent="0.25">
      <c r="A61" s="35" t="s">
        <v>113</v>
      </c>
      <c r="B61" s="71">
        <v>138.38</v>
      </c>
      <c r="C61" s="36" t="s">
        <v>80</v>
      </c>
      <c r="D61" s="185">
        <v>151.19999999999999</v>
      </c>
      <c r="E61" s="185">
        <f t="shared" si="0"/>
        <v>160.27199999999999</v>
      </c>
      <c r="F61" s="71" t="s">
        <v>53</v>
      </c>
      <c r="G61" s="135">
        <f>E61*354</f>
        <v>56736.288</v>
      </c>
    </row>
    <row r="62" spans="1:7" ht="32.25" customHeight="1" x14ac:dyDescent="0.25">
      <c r="A62" s="35" t="s">
        <v>113</v>
      </c>
      <c r="B62" s="71"/>
      <c r="C62" s="36" t="s">
        <v>79</v>
      </c>
      <c r="D62" s="185">
        <v>37.799999999999997</v>
      </c>
      <c r="E62" s="182">
        <f t="shared" si="0"/>
        <v>40.067999999999998</v>
      </c>
      <c r="F62" s="71" t="s">
        <v>67</v>
      </c>
      <c r="G62" s="135">
        <f>E62*2*354</f>
        <v>28368.144</v>
      </c>
    </row>
    <row r="63" spans="1:7" ht="181.5" customHeight="1" x14ac:dyDescent="0.25">
      <c r="A63" s="35" t="s">
        <v>113</v>
      </c>
      <c r="B63" s="71"/>
      <c r="C63" s="36" t="s">
        <v>77</v>
      </c>
      <c r="D63" s="185">
        <v>145.80000000000001</v>
      </c>
      <c r="E63" s="182">
        <f t="shared" si="0"/>
        <v>154.54800000000003</v>
      </c>
      <c r="F63" s="71" t="s">
        <v>57</v>
      </c>
      <c r="G63" s="135">
        <f>E63*51</f>
        <v>7881.9480000000012</v>
      </c>
    </row>
    <row r="64" spans="1:7" ht="24.95" customHeight="1" thickBot="1" x14ac:dyDescent="0.3">
      <c r="A64" s="213" t="s">
        <v>113</v>
      </c>
      <c r="B64" s="205"/>
      <c r="C64" s="214" t="s">
        <v>76</v>
      </c>
      <c r="D64" s="207">
        <v>151.19999999999999</v>
      </c>
      <c r="E64" s="207">
        <f t="shared" si="0"/>
        <v>160.27199999999999</v>
      </c>
      <c r="F64" s="205" t="s">
        <v>70</v>
      </c>
      <c r="G64" s="208">
        <f>E64*2*12</f>
        <v>3846.5279999999998</v>
      </c>
    </row>
    <row r="65" spans="1:7" ht="116.25" customHeight="1" x14ac:dyDescent="0.25">
      <c r="A65" s="46" t="s">
        <v>268</v>
      </c>
      <c r="B65" s="67">
        <f>61.61+61.61+59.07</f>
        <v>182.29</v>
      </c>
      <c r="C65" s="43" t="s">
        <v>81</v>
      </c>
      <c r="D65" s="181">
        <v>216</v>
      </c>
      <c r="E65" s="181">
        <f t="shared" si="0"/>
        <v>228.96</v>
      </c>
      <c r="F65" s="67" t="s">
        <v>53</v>
      </c>
      <c r="G65" s="131">
        <f>E65*354</f>
        <v>81051.839999999997</v>
      </c>
    </row>
    <row r="66" spans="1:7" ht="36.75" customHeight="1" thickBot="1" x14ac:dyDescent="0.3">
      <c r="A66" s="55" t="s">
        <v>269</v>
      </c>
      <c r="B66" s="72"/>
      <c r="C66" s="56" t="s">
        <v>82</v>
      </c>
      <c r="D66" s="186">
        <v>37.799999999999997</v>
      </c>
      <c r="E66" s="183">
        <f t="shared" si="0"/>
        <v>40.067999999999998</v>
      </c>
      <c r="F66" s="72" t="s">
        <v>57</v>
      </c>
      <c r="G66" s="136">
        <f>E66*51</f>
        <v>2043.4679999999998</v>
      </c>
    </row>
    <row r="67" spans="1:7" ht="186.75" customHeight="1" x14ac:dyDescent="0.25">
      <c r="A67" s="35" t="s">
        <v>114</v>
      </c>
      <c r="B67" s="71">
        <v>85.66</v>
      </c>
      <c r="C67" s="51" t="s">
        <v>83</v>
      </c>
      <c r="D67" s="185">
        <v>108</v>
      </c>
      <c r="E67" s="185">
        <f t="shared" si="0"/>
        <v>114.48</v>
      </c>
      <c r="F67" s="71" t="s">
        <v>53</v>
      </c>
      <c r="G67" s="135">
        <f>E67*354</f>
        <v>40525.919999999998</v>
      </c>
    </row>
    <row r="68" spans="1:7" ht="71.25" customHeight="1" x14ac:dyDescent="0.25">
      <c r="A68" s="6" t="s">
        <v>32</v>
      </c>
      <c r="B68" s="71"/>
      <c r="C68" s="52" t="s">
        <v>84</v>
      </c>
      <c r="D68" s="185">
        <v>37.799999999999997</v>
      </c>
      <c r="E68" s="182">
        <f t="shared" si="0"/>
        <v>40.067999999999998</v>
      </c>
      <c r="F68" s="71" t="s">
        <v>54</v>
      </c>
      <c r="G68" s="135">
        <f>E68*2*51</f>
        <v>4086.9359999999997</v>
      </c>
    </row>
    <row r="69" spans="1:7" ht="38.25" customHeight="1" x14ac:dyDescent="0.25">
      <c r="A69" s="6" t="s">
        <v>32</v>
      </c>
      <c r="B69" s="71"/>
      <c r="C69" s="52" t="s">
        <v>85</v>
      </c>
      <c r="D69" s="185">
        <v>59.4</v>
      </c>
      <c r="E69" s="182">
        <f t="shared" si="0"/>
        <v>62.963999999999999</v>
      </c>
      <c r="F69" s="71" t="s">
        <v>57</v>
      </c>
      <c r="G69" s="135">
        <f>E69*51</f>
        <v>3211.1639999999998</v>
      </c>
    </row>
    <row r="70" spans="1:7" ht="27" customHeight="1" thickBot="1" x14ac:dyDescent="0.3">
      <c r="A70" s="57" t="s">
        <v>32</v>
      </c>
      <c r="B70" s="73"/>
      <c r="C70" s="201" t="s">
        <v>267</v>
      </c>
      <c r="D70" s="187">
        <v>59.4</v>
      </c>
      <c r="E70" s="207">
        <f t="shared" si="0"/>
        <v>62.963999999999999</v>
      </c>
      <c r="F70" s="73" t="s">
        <v>59</v>
      </c>
      <c r="G70" s="137">
        <f>E70*12</f>
        <v>755.56799999999998</v>
      </c>
    </row>
    <row r="71" spans="1:7" ht="157.5" customHeight="1" x14ac:dyDescent="0.25">
      <c r="A71" s="46" t="s">
        <v>115</v>
      </c>
      <c r="B71" s="67">
        <v>13.64</v>
      </c>
      <c r="C71" s="27" t="s">
        <v>86</v>
      </c>
      <c r="D71" s="181">
        <v>23.76</v>
      </c>
      <c r="E71" s="181">
        <f t="shared" si="0"/>
        <v>25.185600000000004</v>
      </c>
      <c r="F71" s="67" t="s">
        <v>53</v>
      </c>
      <c r="G71" s="131">
        <f>E71*354</f>
        <v>8915.7024000000019</v>
      </c>
    </row>
    <row r="72" spans="1:7" ht="31.5" customHeight="1" x14ac:dyDescent="0.25">
      <c r="A72" s="5" t="s">
        <v>33</v>
      </c>
      <c r="B72" s="68"/>
      <c r="C72" s="8" t="s">
        <v>63</v>
      </c>
      <c r="D72" s="182">
        <v>59.4</v>
      </c>
      <c r="E72" s="182">
        <f t="shared" si="0"/>
        <v>62.963999999999999</v>
      </c>
      <c r="F72" s="68" t="s">
        <v>57</v>
      </c>
      <c r="G72" s="132">
        <f>E72*51</f>
        <v>3211.1639999999998</v>
      </c>
    </row>
    <row r="73" spans="1:7" ht="27" customHeight="1" thickBot="1" x14ac:dyDescent="0.3">
      <c r="A73" s="33" t="s">
        <v>33</v>
      </c>
      <c r="B73" s="69"/>
      <c r="C73" s="29" t="s">
        <v>64</v>
      </c>
      <c r="D73" s="183">
        <v>270</v>
      </c>
      <c r="E73" s="183">
        <f t="shared" si="0"/>
        <v>286.2</v>
      </c>
      <c r="F73" s="69" t="s">
        <v>59</v>
      </c>
      <c r="G73" s="133">
        <f>E73*12</f>
        <v>3434.3999999999996</v>
      </c>
    </row>
    <row r="74" spans="1:7" ht="168" customHeight="1" x14ac:dyDescent="0.25">
      <c r="A74" s="41" t="s">
        <v>129</v>
      </c>
      <c r="B74" s="71">
        <v>286.48</v>
      </c>
      <c r="C74" s="42" t="s">
        <v>133</v>
      </c>
      <c r="D74" s="185">
        <v>367.2</v>
      </c>
      <c r="E74" s="185">
        <f t="shared" si="0"/>
        <v>389.23200000000003</v>
      </c>
      <c r="F74" s="71" t="s">
        <v>53</v>
      </c>
      <c r="G74" s="135">
        <f>E74*354</f>
        <v>137788.128</v>
      </c>
    </row>
    <row r="75" spans="1:7" ht="63.75" x14ac:dyDescent="0.25">
      <c r="A75" s="6" t="s">
        <v>130</v>
      </c>
      <c r="B75" s="68"/>
      <c r="C75" s="8" t="s">
        <v>87</v>
      </c>
      <c r="D75" s="182">
        <v>37.799999999999997</v>
      </c>
      <c r="E75" s="182">
        <f t="shared" si="0"/>
        <v>40.067999999999998</v>
      </c>
      <c r="F75" s="68" t="s">
        <v>54</v>
      </c>
      <c r="G75" s="132">
        <f>E75*2*51</f>
        <v>4086.9359999999997</v>
      </c>
    </row>
    <row r="76" spans="1:7" ht="51" x14ac:dyDescent="0.25">
      <c r="A76" s="6" t="s">
        <v>130</v>
      </c>
      <c r="B76" s="68"/>
      <c r="C76" s="8" t="s">
        <v>88</v>
      </c>
      <c r="D76" s="182">
        <v>59.4</v>
      </c>
      <c r="E76" s="182">
        <f t="shared" si="0"/>
        <v>62.963999999999999</v>
      </c>
      <c r="F76" s="68" t="s">
        <v>57</v>
      </c>
      <c r="G76" s="132">
        <f>E76*51</f>
        <v>3211.1639999999998</v>
      </c>
    </row>
    <row r="77" spans="1:7" ht="26.25" thickBot="1" x14ac:dyDescent="0.3">
      <c r="A77" s="57" t="s">
        <v>130</v>
      </c>
      <c r="B77" s="205"/>
      <c r="C77" s="201" t="s">
        <v>267</v>
      </c>
      <c r="D77" s="207">
        <v>59.4</v>
      </c>
      <c r="E77" s="207">
        <f t="shared" si="0"/>
        <v>62.963999999999999</v>
      </c>
      <c r="F77" s="205" t="s">
        <v>59</v>
      </c>
      <c r="G77" s="208">
        <f>E77*12</f>
        <v>755.56799999999998</v>
      </c>
    </row>
    <row r="78" spans="1:7" ht="179.25" customHeight="1" x14ac:dyDescent="0.25">
      <c r="A78" s="26" t="s">
        <v>132</v>
      </c>
      <c r="B78" s="67">
        <v>39.29</v>
      </c>
      <c r="C78" s="27" t="s">
        <v>134</v>
      </c>
      <c r="D78" s="181">
        <v>64.8</v>
      </c>
      <c r="E78" s="181">
        <f t="shared" si="0"/>
        <v>68.688000000000002</v>
      </c>
      <c r="F78" s="67" t="s">
        <v>53</v>
      </c>
      <c r="G78" s="131">
        <f>E78*354</f>
        <v>24315.552</v>
      </c>
    </row>
    <row r="79" spans="1:7" ht="25.5" x14ac:dyDescent="0.25">
      <c r="A79" s="5" t="s">
        <v>131</v>
      </c>
      <c r="B79" s="71"/>
      <c r="C79" s="42" t="s">
        <v>63</v>
      </c>
      <c r="D79" s="185">
        <v>59.4</v>
      </c>
      <c r="E79" s="182">
        <f t="shared" si="0"/>
        <v>62.963999999999999</v>
      </c>
      <c r="F79" s="71" t="s">
        <v>57</v>
      </c>
      <c r="G79" s="135">
        <f>E79*51</f>
        <v>3211.1639999999998</v>
      </c>
    </row>
    <row r="80" spans="1:7" ht="15.75" thickBot="1" x14ac:dyDescent="0.3">
      <c r="A80" s="33" t="s">
        <v>131</v>
      </c>
      <c r="B80" s="72"/>
      <c r="C80" s="59" t="s">
        <v>64</v>
      </c>
      <c r="D80" s="186">
        <v>270</v>
      </c>
      <c r="E80" s="183">
        <f t="shared" si="0"/>
        <v>286.2</v>
      </c>
      <c r="F80" s="72" t="s">
        <v>59</v>
      </c>
      <c r="G80" s="136">
        <f>E80*12</f>
        <v>3434.3999999999996</v>
      </c>
    </row>
    <row r="81" spans="1:7" ht="126" customHeight="1" x14ac:dyDescent="0.25">
      <c r="A81" s="58" t="s">
        <v>34</v>
      </c>
      <c r="B81" s="71">
        <v>117.34</v>
      </c>
      <c r="C81" s="36" t="s">
        <v>89</v>
      </c>
      <c r="D81" s="185">
        <v>151.19999999999999</v>
      </c>
      <c r="E81" s="185">
        <f t="shared" si="0"/>
        <v>160.27199999999999</v>
      </c>
      <c r="F81" s="71" t="s">
        <v>53</v>
      </c>
      <c r="G81" s="135">
        <f>E81*354</f>
        <v>56736.288</v>
      </c>
    </row>
    <row r="82" spans="1:7" ht="28.5" customHeight="1" x14ac:dyDescent="0.25">
      <c r="A82" s="151" t="s">
        <v>34</v>
      </c>
      <c r="B82" s="68"/>
      <c r="C82" s="150" t="s">
        <v>60</v>
      </c>
      <c r="D82" s="182">
        <v>37.799999999999997</v>
      </c>
      <c r="E82" s="182">
        <f t="shared" si="0"/>
        <v>40.067999999999998</v>
      </c>
      <c r="F82" s="68" t="s">
        <v>67</v>
      </c>
      <c r="G82" s="132">
        <f>E82*2*354</f>
        <v>28368.144</v>
      </c>
    </row>
    <row r="83" spans="1:7" ht="172.9" customHeight="1" x14ac:dyDescent="0.25">
      <c r="A83" s="58" t="s">
        <v>34</v>
      </c>
      <c r="B83" s="71"/>
      <c r="C83" s="36" t="s">
        <v>90</v>
      </c>
      <c r="D83" s="185">
        <v>145.80000000000001</v>
      </c>
      <c r="E83" s="182">
        <f t="shared" si="0"/>
        <v>154.54800000000003</v>
      </c>
      <c r="F83" s="71" t="s">
        <v>57</v>
      </c>
      <c r="G83" s="135">
        <f>E83*51</f>
        <v>7881.9480000000012</v>
      </c>
    </row>
    <row r="84" spans="1:7" ht="15.75" thickBot="1" x14ac:dyDescent="0.3">
      <c r="A84" s="44" t="s">
        <v>34</v>
      </c>
      <c r="B84" s="69"/>
      <c r="C84" s="50" t="s">
        <v>76</v>
      </c>
      <c r="D84" s="183">
        <v>162</v>
      </c>
      <c r="E84" s="183">
        <f t="shared" si="0"/>
        <v>171.72</v>
      </c>
      <c r="F84" s="69" t="s">
        <v>70</v>
      </c>
      <c r="G84" s="133">
        <f>E84*2*12</f>
        <v>4121.28</v>
      </c>
    </row>
    <row r="85" spans="1:7" ht="182.25" customHeight="1" x14ac:dyDescent="0.25">
      <c r="A85" s="46" t="s">
        <v>13</v>
      </c>
      <c r="B85" s="67">
        <v>304.22000000000003</v>
      </c>
      <c r="C85" s="27" t="s">
        <v>91</v>
      </c>
      <c r="D85" s="181">
        <v>388.8</v>
      </c>
      <c r="E85" s="181">
        <f t="shared" si="0"/>
        <v>412.12800000000004</v>
      </c>
      <c r="F85" s="67" t="s">
        <v>53</v>
      </c>
      <c r="G85" s="131">
        <f>E85*354</f>
        <v>145893.31200000001</v>
      </c>
    </row>
    <row r="86" spans="1:7" ht="63.75" x14ac:dyDescent="0.25">
      <c r="A86" s="6" t="s">
        <v>35</v>
      </c>
      <c r="B86" s="71"/>
      <c r="C86" s="42" t="s">
        <v>92</v>
      </c>
      <c r="D86" s="185">
        <v>37.799999999999997</v>
      </c>
      <c r="E86" s="182">
        <f t="shared" si="0"/>
        <v>40.067999999999998</v>
      </c>
      <c r="F86" s="71" t="s">
        <v>54</v>
      </c>
      <c r="G86" s="135">
        <f>E86*2*51</f>
        <v>4086.9359999999997</v>
      </c>
    </row>
    <row r="87" spans="1:7" ht="51" x14ac:dyDescent="0.25">
      <c r="A87" s="6" t="s">
        <v>35</v>
      </c>
      <c r="B87" s="71"/>
      <c r="C87" s="42" t="s">
        <v>93</v>
      </c>
      <c r="D87" s="185">
        <v>59.4</v>
      </c>
      <c r="E87" s="182">
        <f t="shared" si="0"/>
        <v>62.963999999999999</v>
      </c>
      <c r="F87" s="71" t="s">
        <v>57</v>
      </c>
      <c r="G87" s="135">
        <f>E87*51</f>
        <v>3211.1639999999998</v>
      </c>
    </row>
    <row r="88" spans="1:7" ht="26.25" thickBot="1" x14ac:dyDescent="0.3">
      <c r="A88" s="28" t="s">
        <v>35</v>
      </c>
      <c r="B88" s="72"/>
      <c r="C88" s="172" t="s">
        <v>267</v>
      </c>
      <c r="D88" s="186">
        <v>59.4</v>
      </c>
      <c r="E88" s="183">
        <f t="shared" si="0"/>
        <v>62.963999999999999</v>
      </c>
      <c r="F88" s="72" t="s">
        <v>59</v>
      </c>
      <c r="G88" s="136">
        <f>E88*12</f>
        <v>755.56799999999998</v>
      </c>
    </row>
    <row r="89" spans="1:7" ht="168" customHeight="1" x14ac:dyDescent="0.25">
      <c r="A89" s="46" t="s">
        <v>116</v>
      </c>
      <c r="B89" s="67">
        <v>39.24</v>
      </c>
      <c r="C89" s="27" t="s">
        <v>94</v>
      </c>
      <c r="D89" s="181">
        <v>64.8</v>
      </c>
      <c r="E89" s="181">
        <f t="shared" si="0"/>
        <v>68.688000000000002</v>
      </c>
      <c r="F89" s="67" t="s">
        <v>53</v>
      </c>
      <c r="G89" s="131">
        <f>E89*354</f>
        <v>24315.552</v>
      </c>
    </row>
    <row r="90" spans="1:7" ht="24.95" customHeight="1" x14ac:dyDescent="0.25">
      <c r="A90" s="5" t="s">
        <v>36</v>
      </c>
      <c r="B90" s="71"/>
      <c r="C90" s="42" t="s">
        <v>63</v>
      </c>
      <c r="D90" s="185">
        <v>59.4</v>
      </c>
      <c r="E90" s="182">
        <f t="shared" si="0"/>
        <v>62.963999999999999</v>
      </c>
      <c r="F90" s="71" t="s">
        <v>57</v>
      </c>
      <c r="G90" s="135">
        <f>E90*51</f>
        <v>3211.1639999999998</v>
      </c>
    </row>
    <row r="91" spans="1:7" ht="24.95" customHeight="1" thickBot="1" x14ac:dyDescent="0.3">
      <c r="A91" s="33" t="s">
        <v>36</v>
      </c>
      <c r="B91" s="72"/>
      <c r="C91" s="56" t="s">
        <v>64</v>
      </c>
      <c r="D91" s="186">
        <v>270</v>
      </c>
      <c r="E91" s="183">
        <f t="shared" si="0"/>
        <v>286.2</v>
      </c>
      <c r="F91" s="72" t="s">
        <v>59</v>
      </c>
      <c r="G91" s="136">
        <f>E91*12</f>
        <v>3434.3999999999996</v>
      </c>
    </row>
    <row r="92" spans="1:7" ht="130.5" customHeight="1" x14ac:dyDescent="0.25">
      <c r="A92" s="60" t="s">
        <v>37</v>
      </c>
      <c r="B92" s="67">
        <v>139.54</v>
      </c>
      <c r="C92" s="43" t="s">
        <v>96</v>
      </c>
      <c r="D92" s="181">
        <v>162</v>
      </c>
      <c r="E92" s="181">
        <f t="shared" si="0"/>
        <v>171.72</v>
      </c>
      <c r="F92" s="67" t="s">
        <v>53</v>
      </c>
      <c r="G92" s="131">
        <f>E92*354</f>
        <v>60788.88</v>
      </c>
    </row>
    <row r="93" spans="1:7" ht="34.5" customHeight="1" x14ac:dyDescent="0.25">
      <c r="A93" s="58" t="s">
        <v>37</v>
      </c>
      <c r="B93" s="71"/>
      <c r="C93" s="36" t="s">
        <v>95</v>
      </c>
      <c r="D93" s="185">
        <v>37.799999999999997</v>
      </c>
      <c r="E93" s="182">
        <f t="shared" si="0"/>
        <v>40.067999999999998</v>
      </c>
      <c r="F93" s="71" t="s">
        <v>67</v>
      </c>
      <c r="G93" s="135">
        <f>E93*2*354</f>
        <v>28368.144</v>
      </c>
    </row>
    <row r="94" spans="1:7" ht="139.9" customHeight="1" x14ac:dyDescent="0.25">
      <c r="A94" s="58" t="s">
        <v>37</v>
      </c>
      <c r="B94" s="71"/>
      <c r="C94" s="36" t="s">
        <v>97</v>
      </c>
      <c r="D94" s="185">
        <v>162</v>
      </c>
      <c r="E94" s="182">
        <f t="shared" ref="E94:E157" si="1">D94*$J$9</f>
        <v>171.72</v>
      </c>
      <c r="F94" s="71" t="s">
        <v>57</v>
      </c>
      <c r="G94" s="135">
        <f>E94*51</f>
        <v>8757.7199999999993</v>
      </c>
    </row>
    <row r="95" spans="1:7" ht="15.75" thickBot="1" x14ac:dyDescent="0.3">
      <c r="A95" s="44" t="s">
        <v>37</v>
      </c>
      <c r="B95" s="69"/>
      <c r="C95" s="50" t="s">
        <v>76</v>
      </c>
      <c r="D95" s="183">
        <v>172.8</v>
      </c>
      <c r="E95" s="183">
        <f t="shared" si="1"/>
        <v>183.16800000000003</v>
      </c>
      <c r="F95" s="69" t="s">
        <v>70</v>
      </c>
      <c r="G95" s="133">
        <f>E95*2*12</f>
        <v>4396.0320000000011</v>
      </c>
    </row>
    <row r="96" spans="1:7" ht="180" customHeight="1" x14ac:dyDescent="0.25">
      <c r="A96" s="32" t="s">
        <v>117</v>
      </c>
      <c r="B96" s="67">
        <v>309.99</v>
      </c>
      <c r="C96" s="27" t="s">
        <v>98</v>
      </c>
      <c r="D96" s="181">
        <v>388.8</v>
      </c>
      <c r="E96" s="181">
        <f t="shared" si="1"/>
        <v>412.12800000000004</v>
      </c>
      <c r="F96" s="67" t="s">
        <v>53</v>
      </c>
      <c r="G96" s="131">
        <f>E96*354</f>
        <v>145893.31200000001</v>
      </c>
    </row>
    <row r="97" spans="1:7" ht="82.15" customHeight="1" x14ac:dyDescent="0.25">
      <c r="A97" s="6" t="s">
        <v>38</v>
      </c>
      <c r="B97" s="71"/>
      <c r="C97" s="42" t="s">
        <v>99</v>
      </c>
      <c r="D97" s="185">
        <v>37.799999999999997</v>
      </c>
      <c r="E97" s="182">
        <f t="shared" si="1"/>
        <v>40.067999999999998</v>
      </c>
      <c r="F97" s="71" t="s">
        <v>54</v>
      </c>
      <c r="G97" s="135">
        <f>E97*2*51</f>
        <v>4086.9359999999997</v>
      </c>
    </row>
    <row r="98" spans="1:7" ht="50.25" customHeight="1" x14ac:dyDescent="0.25">
      <c r="A98" s="6" t="s">
        <v>38</v>
      </c>
      <c r="B98" s="71"/>
      <c r="C98" s="42" t="s">
        <v>100</v>
      </c>
      <c r="D98" s="185">
        <v>54</v>
      </c>
      <c r="E98" s="182">
        <f t="shared" si="1"/>
        <v>57.24</v>
      </c>
      <c r="F98" s="71" t="s">
        <v>57</v>
      </c>
      <c r="G98" s="135">
        <f>E98*51</f>
        <v>2919.2400000000002</v>
      </c>
    </row>
    <row r="99" spans="1:7" ht="27.75" customHeight="1" thickBot="1" x14ac:dyDescent="0.3">
      <c r="A99" s="28" t="s">
        <v>38</v>
      </c>
      <c r="B99" s="72"/>
      <c r="C99" s="172" t="s">
        <v>267</v>
      </c>
      <c r="D99" s="186">
        <v>54</v>
      </c>
      <c r="E99" s="183">
        <f t="shared" si="1"/>
        <v>57.24</v>
      </c>
      <c r="F99" s="72" t="s">
        <v>59</v>
      </c>
      <c r="G99" s="136">
        <f>E99*12</f>
        <v>686.88</v>
      </c>
    </row>
    <row r="100" spans="1:7" ht="157.5" customHeight="1" x14ac:dyDescent="0.25">
      <c r="A100" s="26" t="s">
        <v>118</v>
      </c>
      <c r="B100" s="67">
        <v>35.68</v>
      </c>
      <c r="C100" s="27" t="s">
        <v>101</v>
      </c>
      <c r="D100" s="181">
        <v>59.4</v>
      </c>
      <c r="E100" s="181">
        <f t="shared" si="1"/>
        <v>62.963999999999999</v>
      </c>
      <c r="F100" s="67" t="s">
        <v>53</v>
      </c>
      <c r="G100" s="131">
        <f>E100*354</f>
        <v>22289.256000000001</v>
      </c>
    </row>
    <row r="101" spans="1:7" ht="27" customHeight="1" x14ac:dyDescent="0.25">
      <c r="A101" s="5" t="s">
        <v>39</v>
      </c>
      <c r="B101" s="71"/>
      <c r="C101" s="42" t="s">
        <v>63</v>
      </c>
      <c r="D101" s="185">
        <v>54</v>
      </c>
      <c r="E101" s="182">
        <f t="shared" si="1"/>
        <v>57.24</v>
      </c>
      <c r="F101" s="71" t="s">
        <v>57</v>
      </c>
      <c r="G101" s="135">
        <f>E101*51</f>
        <v>2919.2400000000002</v>
      </c>
    </row>
    <row r="102" spans="1:7" ht="15.75" thickBot="1" x14ac:dyDescent="0.3">
      <c r="A102" s="33" t="s">
        <v>39</v>
      </c>
      <c r="B102" s="72"/>
      <c r="C102" s="59" t="s">
        <v>64</v>
      </c>
      <c r="D102" s="186">
        <v>270</v>
      </c>
      <c r="E102" s="183">
        <f t="shared" si="1"/>
        <v>286.2</v>
      </c>
      <c r="F102" s="72" t="s">
        <v>59</v>
      </c>
      <c r="G102" s="136">
        <f>E102*12</f>
        <v>3434.3999999999996</v>
      </c>
    </row>
    <row r="103" spans="1:7" ht="132.75" customHeight="1" x14ac:dyDescent="0.25">
      <c r="A103" s="32" t="s">
        <v>40</v>
      </c>
      <c r="B103" s="67">
        <v>126.77</v>
      </c>
      <c r="C103" s="43" t="s">
        <v>104</v>
      </c>
      <c r="D103" s="181">
        <v>162</v>
      </c>
      <c r="E103" s="181">
        <f t="shared" si="1"/>
        <v>171.72</v>
      </c>
      <c r="F103" s="67" t="s">
        <v>53</v>
      </c>
      <c r="G103" s="131">
        <f>E103*354</f>
        <v>60788.88</v>
      </c>
    </row>
    <row r="104" spans="1:7" ht="28.5" customHeight="1" x14ac:dyDescent="0.25">
      <c r="A104" s="5" t="s">
        <v>40</v>
      </c>
      <c r="B104" s="71"/>
      <c r="C104" s="36" t="s">
        <v>103</v>
      </c>
      <c r="D104" s="185">
        <v>37.799999999999997</v>
      </c>
      <c r="E104" s="182">
        <f t="shared" si="1"/>
        <v>40.067999999999998</v>
      </c>
      <c r="F104" s="71" t="s">
        <v>67</v>
      </c>
      <c r="G104" s="135">
        <f>E104*2*354</f>
        <v>28368.144</v>
      </c>
    </row>
    <row r="105" spans="1:7" ht="108.75" customHeight="1" x14ac:dyDescent="0.25">
      <c r="A105" s="5" t="s">
        <v>40</v>
      </c>
      <c r="B105" s="68"/>
      <c r="C105" s="11" t="s">
        <v>102</v>
      </c>
      <c r="D105" s="182">
        <v>145.80000000000001</v>
      </c>
      <c r="E105" s="182">
        <f t="shared" si="1"/>
        <v>154.54800000000003</v>
      </c>
      <c r="F105" s="68" t="s">
        <v>57</v>
      </c>
      <c r="G105" s="132">
        <f>E105*51</f>
        <v>7881.9480000000012</v>
      </c>
    </row>
    <row r="106" spans="1:7" ht="15.75" thickBot="1" x14ac:dyDescent="0.3">
      <c r="A106" s="44" t="s">
        <v>40</v>
      </c>
      <c r="B106" s="69"/>
      <c r="C106" s="50" t="s">
        <v>76</v>
      </c>
      <c r="D106" s="183">
        <v>162</v>
      </c>
      <c r="E106" s="183">
        <f t="shared" si="1"/>
        <v>171.72</v>
      </c>
      <c r="F106" s="69" t="s">
        <v>70</v>
      </c>
      <c r="G106" s="133">
        <f>E106*2*12</f>
        <v>4121.28</v>
      </c>
    </row>
    <row r="107" spans="1:7" ht="136.9" customHeight="1" x14ac:dyDescent="0.25">
      <c r="A107" s="32" t="s">
        <v>119</v>
      </c>
      <c r="B107" s="67">
        <f>38.17+38+37.53</f>
        <v>113.7</v>
      </c>
      <c r="C107" s="27" t="s">
        <v>122</v>
      </c>
      <c r="D107" s="181">
        <v>75.599999999999994</v>
      </c>
      <c r="E107" s="181">
        <f t="shared" si="1"/>
        <v>80.135999999999996</v>
      </c>
      <c r="F107" s="67" t="s">
        <v>53</v>
      </c>
      <c r="G107" s="131">
        <f>E107*354</f>
        <v>28368.144</v>
      </c>
    </row>
    <row r="108" spans="1:7" ht="28.5" customHeight="1" x14ac:dyDescent="0.25">
      <c r="A108" s="5" t="s">
        <v>41</v>
      </c>
      <c r="B108" s="68"/>
      <c r="C108" s="8" t="s">
        <v>120</v>
      </c>
      <c r="D108" s="182">
        <v>64.8</v>
      </c>
      <c r="E108" s="182">
        <f t="shared" si="1"/>
        <v>68.688000000000002</v>
      </c>
      <c r="F108" s="68" t="s">
        <v>54</v>
      </c>
      <c r="G108" s="132">
        <f>E108*2*51</f>
        <v>7006.1760000000004</v>
      </c>
    </row>
    <row r="109" spans="1:7" ht="24.95" customHeight="1" thickBot="1" x14ac:dyDescent="0.3">
      <c r="A109" s="33" t="s">
        <v>41</v>
      </c>
      <c r="B109" s="69"/>
      <c r="C109" s="29" t="s">
        <v>121</v>
      </c>
      <c r="D109" s="183">
        <v>21.6</v>
      </c>
      <c r="E109" s="183">
        <f t="shared" si="1"/>
        <v>22.896000000000004</v>
      </c>
      <c r="F109" s="69" t="s">
        <v>57</v>
      </c>
      <c r="G109" s="133">
        <f>E109*51</f>
        <v>1167.6960000000001</v>
      </c>
    </row>
    <row r="110" spans="1:7" ht="172.5" customHeight="1" x14ac:dyDescent="0.25">
      <c r="A110" s="46" t="s">
        <v>233</v>
      </c>
      <c r="B110" s="67">
        <v>227.48</v>
      </c>
      <c r="C110" s="27" t="s">
        <v>123</v>
      </c>
      <c r="D110" s="181">
        <v>253.8</v>
      </c>
      <c r="E110" s="181">
        <f t="shared" si="1"/>
        <v>269.02800000000002</v>
      </c>
      <c r="F110" s="67" t="s">
        <v>53</v>
      </c>
      <c r="G110" s="131">
        <f>E110*354</f>
        <v>95235.912000000011</v>
      </c>
    </row>
    <row r="111" spans="1:7" ht="37.5" customHeight="1" thickBot="1" x14ac:dyDescent="0.3">
      <c r="A111" s="55" t="s">
        <v>42</v>
      </c>
      <c r="B111" s="72"/>
      <c r="C111" s="59" t="s">
        <v>124</v>
      </c>
      <c r="D111" s="186">
        <v>27</v>
      </c>
      <c r="E111" s="183">
        <f t="shared" si="1"/>
        <v>28.62</v>
      </c>
      <c r="F111" s="72" t="s">
        <v>57</v>
      </c>
      <c r="G111" s="136">
        <f>E111*51</f>
        <v>1459.6200000000001</v>
      </c>
    </row>
    <row r="112" spans="1:7" ht="39" customHeight="1" thickBot="1" x14ac:dyDescent="0.3">
      <c r="A112" s="204" t="s">
        <v>42</v>
      </c>
      <c r="B112" s="70"/>
      <c r="C112" s="209" t="s">
        <v>267</v>
      </c>
      <c r="D112" s="184">
        <v>216</v>
      </c>
      <c r="E112" s="184">
        <f t="shared" si="1"/>
        <v>228.96</v>
      </c>
      <c r="F112" s="70" t="s">
        <v>59</v>
      </c>
      <c r="G112" s="134">
        <f>E112*12</f>
        <v>2747.52</v>
      </c>
    </row>
    <row r="113" spans="1:7" ht="118.5" customHeight="1" x14ac:dyDescent="0.25">
      <c r="A113" s="60" t="s">
        <v>10</v>
      </c>
      <c r="B113" s="67">
        <f>21.59+29.14+22.18+29.14+22.34+29.14</f>
        <v>153.53</v>
      </c>
      <c r="C113" s="27" t="s">
        <v>125</v>
      </c>
      <c r="D113" s="181">
        <v>172.8</v>
      </c>
      <c r="E113" s="181">
        <f t="shared" si="1"/>
        <v>183.16800000000003</v>
      </c>
      <c r="F113" s="67" t="s">
        <v>53</v>
      </c>
      <c r="G113" s="131">
        <f>E113*354</f>
        <v>64841.472000000009</v>
      </c>
    </row>
    <row r="114" spans="1:7" ht="33" customHeight="1" thickBot="1" x14ac:dyDescent="0.3">
      <c r="A114" s="61" t="s">
        <v>235</v>
      </c>
      <c r="B114" s="72"/>
      <c r="C114" s="59" t="s">
        <v>126</v>
      </c>
      <c r="D114" s="186">
        <v>54</v>
      </c>
      <c r="E114" s="183">
        <f t="shared" si="1"/>
        <v>57.24</v>
      </c>
      <c r="F114" s="72" t="s">
        <v>57</v>
      </c>
      <c r="G114" s="136">
        <f>E114*51</f>
        <v>2919.2400000000002</v>
      </c>
    </row>
    <row r="115" spans="1:7" ht="119.25" customHeight="1" x14ac:dyDescent="0.25">
      <c r="A115" s="60" t="s">
        <v>234</v>
      </c>
      <c r="B115" s="67">
        <v>94.08</v>
      </c>
      <c r="C115" s="27" t="s">
        <v>127</v>
      </c>
      <c r="D115" s="181">
        <v>108</v>
      </c>
      <c r="E115" s="181">
        <f t="shared" si="1"/>
        <v>114.48</v>
      </c>
      <c r="F115" s="67" t="s">
        <v>53</v>
      </c>
      <c r="G115" s="131">
        <f>E115*354</f>
        <v>40525.919999999998</v>
      </c>
    </row>
    <row r="116" spans="1:7" ht="39.6" customHeight="1" thickBot="1" x14ac:dyDescent="0.3">
      <c r="A116" s="61" t="s">
        <v>234</v>
      </c>
      <c r="B116" s="72"/>
      <c r="C116" s="59" t="s">
        <v>126</v>
      </c>
      <c r="D116" s="186">
        <v>54</v>
      </c>
      <c r="E116" s="183">
        <f t="shared" si="1"/>
        <v>57.24</v>
      </c>
      <c r="F116" s="72" t="s">
        <v>57</v>
      </c>
      <c r="G116" s="136">
        <f>E116*51</f>
        <v>2919.2400000000002</v>
      </c>
    </row>
    <row r="117" spans="1:7" ht="188.45" customHeight="1" thickBot="1" x14ac:dyDescent="0.3">
      <c r="A117" s="37" t="s">
        <v>236</v>
      </c>
      <c r="B117" s="70">
        <v>55.1</v>
      </c>
      <c r="C117" s="64" t="s">
        <v>128</v>
      </c>
      <c r="D117" s="184">
        <v>54</v>
      </c>
      <c r="E117" s="184">
        <f t="shared" si="1"/>
        <v>57.24</v>
      </c>
      <c r="F117" s="70" t="s">
        <v>53</v>
      </c>
      <c r="G117" s="134">
        <f>E117*354</f>
        <v>20262.96</v>
      </c>
    </row>
    <row r="118" spans="1:7" ht="28.5" customHeight="1" x14ac:dyDescent="0.25">
      <c r="A118" s="26" t="s">
        <v>236</v>
      </c>
      <c r="B118" s="67"/>
      <c r="C118" s="27" t="s">
        <v>135</v>
      </c>
      <c r="D118" s="181">
        <v>21.6</v>
      </c>
      <c r="E118" s="181">
        <f t="shared" si="1"/>
        <v>22.896000000000004</v>
      </c>
      <c r="F118" s="67" t="s">
        <v>57</v>
      </c>
      <c r="G118" s="131">
        <f>E118*51</f>
        <v>1167.6960000000001</v>
      </c>
    </row>
    <row r="119" spans="1:7" ht="31.15" customHeight="1" thickBot="1" x14ac:dyDescent="0.3">
      <c r="A119" s="28" t="s">
        <v>236</v>
      </c>
      <c r="B119" s="69"/>
      <c r="C119" s="172" t="s">
        <v>267</v>
      </c>
      <c r="D119" s="183">
        <v>16.2</v>
      </c>
      <c r="E119" s="183">
        <f t="shared" si="1"/>
        <v>17.172000000000001</v>
      </c>
      <c r="F119" s="69" t="s">
        <v>59</v>
      </c>
      <c r="G119" s="133">
        <f>E119*12</f>
        <v>206.06400000000002</v>
      </c>
    </row>
    <row r="120" spans="1:7" ht="63.75" customHeight="1" x14ac:dyDescent="0.25">
      <c r="A120" s="26" t="s">
        <v>271</v>
      </c>
      <c r="B120" s="159">
        <f>9.15+9.05+21.59</f>
        <v>39.790000000000006</v>
      </c>
      <c r="C120" s="27" t="s">
        <v>128</v>
      </c>
      <c r="D120" s="181">
        <v>108</v>
      </c>
      <c r="E120" s="181">
        <f t="shared" si="1"/>
        <v>114.48</v>
      </c>
      <c r="F120" s="67" t="s">
        <v>53</v>
      </c>
      <c r="G120" s="131">
        <f>E120*354</f>
        <v>40525.919999999998</v>
      </c>
    </row>
    <row r="121" spans="1:7" ht="31.15" customHeight="1" x14ac:dyDescent="0.25">
      <c r="A121" s="63" t="s">
        <v>271</v>
      </c>
      <c r="B121" s="68"/>
      <c r="C121" s="8" t="s">
        <v>135</v>
      </c>
      <c r="D121" s="182">
        <v>27</v>
      </c>
      <c r="E121" s="182">
        <f t="shared" si="1"/>
        <v>28.62</v>
      </c>
      <c r="F121" s="68" t="s">
        <v>57</v>
      </c>
      <c r="G121" s="132">
        <f>E121*51</f>
        <v>1459.6200000000001</v>
      </c>
    </row>
    <row r="122" spans="1:7" ht="31.15" customHeight="1" thickBot="1" x14ac:dyDescent="0.3">
      <c r="A122" s="62" t="s">
        <v>271</v>
      </c>
      <c r="B122" s="69"/>
      <c r="C122" s="153" t="s">
        <v>60</v>
      </c>
      <c r="D122" s="183">
        <v>216</v>
      </c>
      <c r="E122" s="183">
        <f t="shared" si="1"/>
        <v>228.96</v>
      </c>
      <c r="F122" s="69" t="s">
        <v>59</v>
      </c>
      <c r="G122" s="133">
        <f>E122*12</f>
        <v>2747.52</v>
      </c>
    </row>
    <row r="123" spans="1:7" ht="183.75" customHeight="1" x14ac:dyDescent="0.25">
      <c r="A123" s="26" t="s">
        <v>272</v>
      </c>
      <c r="B123" s="160">
        <f>16.84+11.19+18.19+11.19+17.96+11.19</f>
        <v>86.56</v>
      </c>
      <c r="C123" s="27" t="s">
        <v>128</v>
      </c>
      <c r="D123" s="181">
        <v>108</v>
      </c>
      <c r="E123" s="181">
        <f t="shared" si="1"/>
        <v>114.48</v>
      </c>
      <c r="F123" s="67" t="s">
        <v>53</v>
      </c>
      <c r="G123" s="131">
        <f>E123*354</f>
        <v>40525.919999999998</v>
      </c>
    </row>
    <row r="124" spans="1:7" ht="31.15" customHeight="1" x14ac:dyDescent="0.25">
      <c r="A124" s="6" t="s">
        <v>272</v>
      </c>
      <c r="B124" s="68"/>
      <c r="C124" s="8" t="s">
        <v>135</v>
      </c>
      <c r="D124" s="182">
        <v>27</v>
      </c>
      <c r="E124" s="182">
        <f t="shared" si="1"/>
        <v>28.62</v>
      </c>
      <c r="F124" s="68" t="s">
        <v>57</v>
      </c>
      <c r="G124" s="132">
        <f>E124*51</f>
        <v>1459.6200000000001</v>
      </c>
    </row>
    <row r="125" spans="1:7" ht="31.15" customHeight="1" thickBot="1" x14ac:dyDescent="0.3">
      <c r="A125" s="62" t="s">
        <v>272</v>
      </c>
      <c r="B125" s="72"/>
      <c r="C125" s="153" t="s">
        <v>60</v>
      </c>
      <c r="D125" s="186">
        <v>216</v>
      </c>
      <c r="E125" s="183">
        <f t="shared" si="1"/>
        <v>228.96</v>
      </c>
      <c r="F125" s="72" t="s">
        <v>59</v>
      </c>
      <c r="G125" s="133">
        <f>E125*12</f>
        <v>2747.52</v>
      </c>
    </row>
    <row r="126" spans="1:7" ht="151.5" customHeight="1" thickBot="1" x14ac:dyDescent="0.3">
      <c r="A126" s="37" t="s">
        <v>278</v>
      </c>
      <c r="B126" s="158">
        <f>6.65+3.06+3.71+3.86+3.71+3.81+3.71</f>
        <v>28.51</v>
      </c>
      <c r="C126" s="64" t="s">
        <v>274</v>
      </c>
      <c r="D126" s="184">
        <v>32.4</v>
      </c>
      <c r="E126" s="184">
        <f t="shared" si="1"/>
        <v>34.344000000000001</v>
      </c>
      <c r="F126" s="70" t="s">
        <v>57</v>
      </c>
      <c r="G126" s="134">
        <f>E126*51</f>
        <v>1751.5440000000001</v>
      </c>
    </row>
    <row r="127" spans="1:7" ht="151.5" customHeight="1" thickBot="1" x14ac:dyDescent="0.3">
      <c r="A127" s="37" t="s">
        <v>275</v>
      </c>
      <c r="B127" s="158">
        <f>6.65+4.33+6.71+4.33+6.7+4.33</f>
        <v>33.050000000000004</v>
      </c>
      <c r="C127" s="64" t="s">
        <v>274</v>
      </c>
      <c r="D127" s="184">
        <v>37.799999999999997</v>
      </c>
      <c r="E127" s="184">
        <f t="shared" si="1"/>
        <v>40.067999999999998</v>
      </c>
      <c r="F127" s="70" t="s">
        <v>57</v>
      </c>
      <c r="G127" s="134">
        <f>E127*51</f>
        <v>2043.4679999999998</v>
      </c>
    </row>
    <row r="128" spans="1:7" ht="141" customHeight="1" x14ac:dyDescent="0.25">
      <c r="A128" s="26" t="s">
        <v>138</v>
      </c>
      <c r="B128" s="67">
        <v>379.98</v>
      </c>
      <c r="C128" s="43" t="s">
        <v>137</v>
      </c>
      <c r="D128" s="181">
        <v>378</v>
      </c>
      <c r="E128" s="181">
        <f t="shared" si="1"/>
        <v>400.68</v>
      </c>
      <c r="F128" s="67" t="s">
        <v>53</v>
      </c>
      <c r="G128" s="131">
        <f>E128*354</f>
        <v>141840.72</v>
      </c>
    </row>
    <row r="129" spans="1:7" ht="42" customHeight="1" x14ac:dyDescent="0.25">
      <c r="A129" s="6" t="s">
        <v>138</v>
      </c>
      <c r="B129" s="68"/>
      <c r="C129" s="11" t="s">
        <v>136</v>
      </c>
      <c r="D129" s="182">
        <v>27</v>
      </c>
      <c r="E129" s="182">
        <f t="shared" si="1"/>
        <v>28.62</v>
      </c>
      <c r="F129" s="68" t="s">
        <v>67</v>
      </c>
      <c r="G129" s="132">
        <f>E129*2*354</f>
        <v>20262.96</v>
      </c>
    </row>
    <row r="130" spans="1:7" ht="144" customHeight="1" thickBot="1" x14ac:dyDescent="0.3">
      <c r="A130" s="62" t="s">
        <v>138</v>
      </c>
      <c r="B130" s="72"/>
      <c r="C130" s="45" t="s">
        <v>139</v>
      </c>
      <c r="D130" s="186">
        <v>108</v>
      </c>
      <c r="E130" s="183">
        <f t="shared" si="1"/>
        <v>114.48</v>
      </c>
      <c r="F130" s="72" t="s">
        <v>57</v>
      </c>
      <c r="G130" s="136">
        <f>E130*51</f>
        <v>5838.4800000000005</v>
      </c>
    </row>
    <row r="131" spans="1:7" ht="161.25" customHeight="1" x14ac:dyDescent="0.25">
      <c r="A131" s="46" t="s">
        <v>140</v>
      </c>
      <c r="B131" s="67">
        <v>183.98</v>
      </c>
      <c r="C131" s="27" t="s">
        <v>141</v>
      </c>
      <c r="D131" s="181">
        <v>216</v>
      </c>
      <c r="E131" s="181">
        <f t="shared" si="1"/>
        <v>228.96</v>
      </c>
      <c r="F131" s="67" t="s">
        <v>53</v>
      </c>
      <c r="G131" s="131">
        <f>E131*354</f>
        <v>81051.839999999997</v>
      </c>
    </row>
    <row r="132" spans="1:7" ht="44.25" customHeight="1" x14ac:dyDescent="0.25">
      <c r="A132" s="41" t="s">
        <v>140</v>
      </c>
      <c r="B132" s="71"/>
      <c r="C132" s="42" t="s">
        <v>142</v>
      </c>
      <c r="D132" s="185">
        <v>21.6</v>
      </c>
      <c r="E132" s="182">
        <f t="shared" si="1"/>
        <v>22.896000000000004</v>
      </c>
      <c r="F132" s="71" t="s">
        <v>57</v>
      </c>
      <c r="G132" s="135">
        <f>E132*51</f>
        <v>1167.6960000000001</v>
      </c>
    </row>
    <row r="133" spans="1:7" ht="18.75" customHeight="1" thickBot="1" x14ac:dyDescent="0.3">
      <c r="A133" s="55" t="s">
        <v>140</v>
      </c>
      <c r="B133" s="72"/>
      <c r="C133" s="59" t="s">
        <v>143</v>
      </c>
      <c r="D133" s="186">
        <v>162</v>
      </c>
      <c r="E133" s="183">
        <f t="shared" si="1"/>
        <v>171.72</v>
      </c>
      <c r="F133" s="72" t="s">
        <v>59</v>
      </c>
      <c r="G133" s="136">
        <f>E133*12</f>
        <v>2060.64</v>
      </c>
    </row>
    <row r="134" spans="1:7" ht="128.25" customHeight="1" x14ac:dyDescent="0.25">
      <c r="A134" s="46" t="s">
        <v>144</v>
      </c>
      <c r="B134" s="67">
        <v>102.12</v>
      </c>
      <c r="C134" s="27" t="s">
        <v>145</v>
      </c>
      <c r="D134" s="181">
        <v>86.4</v>
      </c>
      <c r="E134" s="181">
        <f t="shared" si="1"/>
        <v>91.584000000000017</v>
      </c>
      <c r="F134" s="67" t="s">
        <v>53</v>
      </c>
      <c r="G134" s="131">
        <f>E134*354</f>
        <v>32420.736000000004</v>
      </c>
    </row>
    <row r="135" spans="1:7" ht="25.5" customHeight="1" x14ac:dyDescent="0.25">
      <c r="A135" s="7" t="s">
        <v>144</v>
      </c>
      <c r="B135" s="71"/>
      <c r="C135" s="42" t="s">
        <v>148</v>
      </c>
      <c r="D135" s="185">
        <v>21.6</v>
      </c>
      <c r="E135" s="182">
        <f t="shared" si="1"/>
        <v>22.896000000000004</v>
      </c>
      <c r="F135" s="71" t="s">
        <v>67</v>
      </c>
      <c r="G135" s="135">
        <f>E135*2*354</f>
        <v>16210.368000000002</v>
      </c>
    </row>
    <row r="136" spans="1:7" x14ac:dyDescent="0.25">
      <c r="A136" s="7" t="s">
        <v>144</v>
      </c>
      <c r="B136" s="71"/>
      <c r="C136" s="42" t="s">
        <v>146</v>
      </c>
      <c r="D136" s="185">
        <v>21.6</v>
      </c>
      <c r="E136" s="182">
        <f t="shared" si="1"/>
        <v>22.896000000000004</v>
      </c>
      <c r="F136" s="71" t="s">
        <v>57</v>
      </c>
      <c r="G136" s="135">
        <f>E136*51</f>
        <v>1167.6960000000001</v>
      </c>
    </row>
    <row r="137" spans="1:7" ht="39" thickBot="1" x14ac:dyDescent="0.3">
      <c r="A137" s="55" t="s">
        <v>144</v>
      </c>
      <c r="B137" s="72"/>
      <c r="C137" s="59" t="s">
        <v>147</v>
      </c>
      <c r="D137" s="186">
        <v>540</v>
      </c>
      <c r="E137" s="183">
        <f t="shared" si="1"/>
        <v>572.4</v>
      </c>
      <c r="F137" s="72" t="s">
        <v>70</v>
      </c>
      <c r="G137" s="136">
        <f>E137*2*12</f>
        <v>13737.599999999999</v>
      </c>
    </row>
    <row r="138" spans="1:7" ht="67.5" customHeight="1" x14ac:dyDescent="0.25">
      <c r="A138" s="46" t="s">
        <v>152</v>
      </c>
      <c r="B138" s="67">
        <v>80</v>
      </c>
      <c r="C138" s="27" t="s">
        <v>149</v>
      </c>
      <c r="D138" s="181">
        <v>86.4</v>
      </c>
      <c r="E138" s="181">
        <f t="shared" si="1"/>
        <v>91.584000000000017</v>
      </c>
      <c r="F138" s="67" t="s">
        <v>53</v>
      </c>
      <c r="G138" s="131">
        <f>E138*354</f>
        <v>32420.736000000004</v>
      </c>
    </row>
    <row r="139" spans="1:7" ht="29.25" customHeight="1" x14ac:dyDescent="0.25">
      <c r="A139" s="7" t="s">
        <v>152</v>
      </c>
      <c r="B139" s="68"/>
      <c r="C139" s="8" t="s">
        <v>150</v>
      </c>
      <c r="D139" s="182">
        <v>21.6</v>
      </c>
      <c r="E139" s="182">
        <f t="shared" si="1"/>
        <v>22.896000000000004</v>
      </c>
      <c r="F139" s="68" t="s">
        <v>67</v>
      </c>
      <c r="G139" s="132">
        <f>E139*2*354</f>
        <v>16210.368000000002</v>
      </c>
    </row>
    <row r="140" spans="1:7" ht="26.25" thickBot="1" x14ac:dyDescent="0.3">
      <c r="A140" s="55" t="s">
        <v>152</v>
      </c>
      <c r="B140" s="72"/>
      <c r="C140" s="59" t="s">
        <v>151</v>
      </c>
      <c r="D140" s="186">
        <v>756</v>
      </c>
      <c r="E140" s="183">
        <f t="shared" si="1"/>
        <v>801.36</v>
      </c>
      <c r="F140" s="72" t="s">
        <v>70</v>
      </c>
      <c r="G140" s="136">
        <f>E140*2*12</f>
        <v>19232.64</v>
      </c>
    </row>
    <row r="141" spans="1:7" ht="105.75" customHeight="1" x14ac:dyDescent="0.25">
      <c r="A141" s="46" t="s">
        <v>15</v>
      </c>
      <c r="B141" s="67">
        <f>6.36+6.44+6.3</f>
        <v>19.100000000000001</v>
      </c>
      <c r="C141" s="27" t="s">
        <v>264</v>
      </c>
      <c r="D141" s="181">
        <v>32.4</v>
      </c>
      <c r="E141" s="181">
        <f t="shared" si="1"/>
        <v>34.344000000000001</v>
      </c>
      <c r="F141" s="67" t="s">
        <v>53</v>
      </c>
      <c r="G141" s="131">
        <f>E141*354</f>
        <v>12157.776</v>
      </c>
    </row>
    <row r="142" spans="1:7" x14ac:dyDescent="0.25">
      <c r="A142" s="41" t="s">
        <v>43</v>
      </c>
      <c r="B142" s="71"/>
      <c r="C142" s="42" t="s">
        <v>171</v>
      </c>
      <c r="D142" s="185">
        <v>10.8</v>
      </c>
      <c r="E142" s="182">
        <f t="shared" si="1"/>
        <v>11.448000000000002</v>
      </c>
      <c r="F142" s="71" t="s">
        <v>153</v>
      </c>
      <c r="G142" s="135">
        <f>E142*3*51</f>
        <v>1751.5440000000003</v>
      </c>
    </row>
    <row r="143" spans="1:7" ht="15.75" thickBot="1" x14ac:dyDescent="0.3">
      <c r="A143" s="55" t="s">
        <v>43</v>
      </c>
      <c r="B143" s="72"/>
      <c r="C143" s="59" t="s">
        <v>172</v>
      </c>
      <c r="D143" s="186">
        <v>16.2</v>
      </c>
      <c r="E143" s="183">
        <f t="shared" si="1"/>
        <v>17.172000000000001</v>
      </c>
      <c r="F143" s="72" t="s">
        <v>57</v>
      </c>
      <c r="G143" s="136">
        <f>E143*51</f>
        <v>875.77200000000005</v>
      </c>
    </row>
    <row r="144" spans="1:7" ht="26.25" thickBot="1" x14ac:dyDescent="0.3">
      <c r="A144" s="204" t="s">
        <v>265</v>
      </c>
      <c r="B144" s="70"/>
      <c r="C144" s="64" t="s">
        <v>266</v>
      </c>
      <c r="D144" s="184">
        <v>54</v>
      </c>
      <c r="E144" s="184">
        <f t="shared" si="1"/>
        <v>57.24</v>
      </c>
      <c r="F144" s="70" t="s">
        <v>57</v>
      </c>
      <c r="G144" s="134">
        <f>E144*51</f>
        <v>2919.2400000000002</v>
      </c>
    </row>
    <row r="145" spans="1:7" ht="118.5" customHeight="1" x14ac:dyDescent="0.25">
      <c r="A145" s="46" t="s">
        <v>185</v>
      </c>
      <c r="B145" s="67">
        <v>52.8</v>
      </c>
      <c r="C145" s="27" t="s">
        <v>173</v>
      </c>
      <c r="D145" s="181">
        <v>43.2</v>
      </c>
      <c r="E145" s="181">
        <f t="shared" si="1"/>
        <v>45.792000000000009</v>
      </c>
      <c r="F145" s="67" t="s">
        <v>53</v>
      </c>
      <c r="G145" s="131">
        <f>E145*354</f>
        <v>16210.368000000002</v>
      </c>
    </row>
    <row r="146" spans="1:7" ht="24.95" customHeight="1" x14ac:dyDescent="0.25">
      <c r="A146" s="7" t="s">
        <v>185</v>
      </c>
      <c r="B146" s="68"/>
      <c r="C146" s="8" t="s">
        <v>174</v>
      </c>
      <c r="D146" s="182">
        <v>16.2</v>
      </c>
      <c r="E146" s="182">
        <f t="shared" si="1"/>
        <v>17.172000000000001</v>
      </c>
      <c r="F146" s="68" t="s">
        <v>67</v>
      </c>
      <c r="G146" s="132">
        <f>E146*2*354</f>
        <v>12157.776</v>
      </c>
    </row>
    <row r="147" spans="1:7" ht="15.75" thickBot="1" x14ac:dyDescent="0.3">
      <c r="A147" s="55" t="s">
        <v>185</v>
      </c>
      <c r="B147" s="72"/>
      <c r="C147" s="59" t="s">
        <v>175</v>
      </c>
      <c r="D147" s="186">
        <v>10.8</v>
      </c>
      <c r="E147" s="183">
        <f t="shared" si="1"/>
        <v>11.448000000000002</v>
      </c>
      <c r="F147" s="72" t="s">
        <v>57</v>
      </c>
      <c r="G147" s="136">
        <f>E147*51</f>
        <v>583.84800000000007</v>
      </c>
    </row>
    <row r="148" spans="1:7" ht="143.44999999999999" customHeight="1" x14ac:dyDescent="0.25">
      <c r="A148" s="60" t="s">
        <v>182</v>
      </c>
      <c r="B148" s="67">
        <v>227.51</v>
      </c>
      <c r="C148" s="43" t="s">
        <v>176</v>
      </c>
      <c r="D148" s="181">
        <v>216</v>
      </c>
      <c r="E148" s="181">
        <f t="shared" si="1"/>
        <v>228.96</v>
      </c>
      <c r="F148" s="67" t="s">
        <v>53</v>
      </c>
      <c r="G148" s="131">
        <f>E148*354</f>
        <v>81051.839999999997</v>
      </c>
    </row>
    <row r="149" spans="1:7" ht="51.75" thickBot="1" x14ac:dyDescent="0.3">
      <c r="A149" s="61" t="s">
        <v>182</v>
      </c>
      <c r="B149" s="72"/>
      <c r="C149" s="45" t="s">
        <v>177</v>
      </c>
      <c r="D149" s="186">
        <v>21.6</v>
      </c>
      <c r="E149" s="183">
        <f t="shared" si="1"/>
        <v>22.896000000000004</v>
      </c>
      <c r="F149" s="72" t="s">
        <v>57</v>
      </c>
      <c r="G149" s="136">
        <f>E149*51</f>
        <v>1167.6960000000001</v>
      </c>
    </row>
    <row r="150" spans="1:7" ht="15.75" thickBot="1" x14ac:dyDescent="0.3">
      <c r="A150" s="215" t="s">
        <v>276</v>
      </c>
      <c r="B150" s="70"/>
      <c r="C150" s="216" t="s">
        <v>270</v>
      </c>
      <c r="D150" s="184">
        <v>216</v>
      </c>
      <c r="E150" s="184">
        <f t="shared" si="1"/>
        <v>228.96</v>
      </c>
      <c r="F150" s="70" t="s">
        <v>59</v>
      </c>
      <c r="G150" s="134">
        <f>E150*12</f>
        <v>2747.52</v>
      </c>
    </row>
    <row r="151" spans="1:7" ht="111" customHeight="1" thickBot="1" x14ac:dyDescent="0.3">
      <c r="A151" s="37" t="s">
        <v>183</v>
      </c>
      <c r="B151" s="70">
        <v>91.11</v>
      </c>
      <c r="C151" s="64" t="s">
        <v>178</v>
      </c>
      <c r="D151" s="184">
        <v>108</v>
      </c>
      <c r="E151" s="184">
        <f t="shared" si="1"/>
        <v>114.48</v>
      </c>
      <c r="F151" s="70" t="s">
        <v>54</v>
      </c>
      <c r="G151" s="134">
        <f>E151*2*51</f>
        <v>11676.960000000001</v>
      </c>
    </row>
    <row r="152" spans="1:7" ht="234.75" customHeight="1" x14ac:dyDescent="0.25">
      <c r="A152" s="26" t="s">
        <v>184</v>
      </c>
      <c r="B152" s="67">
        <v>600</v>
      </c>
      <c r="C152" s="27" t="s">
        <v>179</v>
      </c>
      <c r="D152" s="181">
        <v>648</v>
      </c>
      <c r="E152" s="181">
        <f t="shared" si="1"/>
        <v>686.88</v>
      </c>
      <c r="F152" s="67" t="s">
        <v>53</v>
      </c>
      <c r="G152" s="131">
        <f>E152*246</f>
        <v>168972.48</v>
      </c>
    </row>
    <row r="153" spans="1:7" ht="104.25" customHeight="1" thickBot="1" x14ac:dyDescent="0.3">
      <c r="A153" s="62" t="s">
        <v>181</v>
      </c>
      <c r="B153" s="72"/>
      <c r="C153" s="59" t="s">
        <v>180</v>
      </c>
      <c r="D153" s="186">
        <v>81</v>
      </c>
      <c r="E153" s="183">
        <f t="shared" si="1"/>
        <v>85.86</v>
      </c>
      <c r="F153" s="72" t="s">
        <v>57</v>
      </c>
      <c r="G153" s="136">
        <f>E153*51</f>
        <v>4378.8599999999997</v>
      </c>
    </row>
    <row r="154" spans="1:7" ht="178.5" x14ac:dyDescent="0.25">
      <c r="A154" s="26" t="s">
        <v>169</v>
      </c>
      <c r="B154" s="67">
        <v>119.73</v>
      </c>
      <c r="C154" s="27" t="s">
        <v>170</v>
      </c>
      <c r="D154" s="181">
        <v>108</v>
      </c>
      <c r="E154" s="181">
        <f t="shared" si="1"/>
        <v>114.48</v>
      </c>
      <c r="F154" s="67" t="s">
        <v>53</v>
      </c>
      <c r="G154" s="131">
        <f>E154*246</f>
        <v>28162.080000000002</v>
      </c>
    </row>
    <row r="155" spans="1:7" ht="172.15" customHeight="1" thickBot="1" x14ac:dyDescent="0.3">
      <c r="A155" s="28" t="s">
        <v>167</v>
      </c>
      <c r="B155" s="69"/>
      <c r="C155" s="29" t="s">
        <v>168</v>
      </c>
      <c r="D155" s="183">
        <v>81</v>
      </c>
      <c r="E155" s="183">
        <f t="shared" si="1"/>
        <v>85.86</v>
      </c>
      <c r="F155" s="69" t="s">
        <v>57</v>
      </c>
      <c r="G155" s="133">
        <f>E155*51</f>
        <v>4378.8599999999997</v>
      </c>
    </row>
    <row r="156" spans="1:7" ht="169.5" customHeight="1" x14ac:dyDescent="0.25">
      <c r="A156" s="46" t="s">
        <v>238</v>
      </c>
      <c r="B156" s="67">
        <v>183.98</v>
      </c>
      <c r="C156" s="27" t="s">
        <v>166</v>
      </c>
      <c r="D156" s="181">
        <v>270</v>
      </c>
      <c r="E156" s="181">
        <f t="shared" si="1"/>
        <v>286.2</v>
      </c>
      <c r="F156" s="67" t="s">
        <v>53</v>
      </c>
      <c r="G156" s="131">
        <f>E156*246</f>
        <v>70405.2</v>
      </c>
    </row>
    <row r="157" spans="1:7" ht="38.25" x14ac:dyDescent="0.25">
      <c r="A157" s="41" t="s">
        <v>164</v>
      </c>
      <c r="B157" s="71"/>
      <c r="C157" s="42" t="s">
        <v>163</v>
      </c>
      <c r="D157" s="185">
        <v>59.4</v>
      </c>
      <c r="E157" s="182">
        <f t="shared" si="1"/>
        <v>62.963999999999999</v>
      </c>
      <c r="F157" s="71" t="s">
        <v>57</v>
      </c>
      <c r="G157" s="135">
        <f>E157*51</f>
        <v>3211.1639999999998</v>
      </c>
    </row>
    <row r="158" spans="1:7" ht="26.25" thickBot="1" x14ac:dyDescent="0.3">
      <c r="A158" s="55" t="s">
        <v>164</v>
      </c>
      <c r="B158" s="72"/>
      <c r="C158" s="59" t="s">
        <v>165</v>
      </c>
      <c r="D158" s="186">
        <v>291.60000000000002</v>
      </c>
      <c r="E158" s="183">
        <f t="shared" ref="E158:E166" si="2">D158*$J$9</f>
        <v>309.09600000000006</v>
      </c>
      <c r="F158" s="72" t="s">
        <v>59</v>
      </c>
      <c r="G158" s="136">
        <f>E158*12</f>
        <v>3709.152000000001</v>
      </c>
    </row>
    <row r="159" spans="1:7" ht="178.5" x14ac:dyDescent="0.25">
      <c r="A159" s="60" t="s">
        <v>161</v>
      </c>
      <c r="B159" s="67">
        <v>111.86</v>
      </c>
      <c r="C159" s="27" t="s">
        <v>162</v>
      </c>
      <c r="D159" s="181">
        <v>108</v>
      </c>
      <c r="E159" s="181">
        <f t="shared" si="2"/>
        <v>114.48</v>
      </c>
      <c r="F159" s="67" t="s">
        <v>53</v>
      </c>
      <c r="G159" s="131">
        <f>E159*246</f>
        <v>28162.080000000002</v>
      </c>
    </row>
    <row r="160" spans="1:7" ht="26.25" thickBot="1" x14ac:dyDescent="0.3">
      <c r="A160" s="65" t="s">
        <v>44</v>
      </c>
      <c r="B160" s="69"/>
      <c r="C160" s="29" t="s">
        <v>160</v>
      </c>
      <c r="D160" s="183">
        <v>86.4</v>
      </c>
      <c r="E160" s="183">
        <f t="shared" si="2"/>
        <v>91.584000000000017</v>
      </c>
      <c r="F160" s="69" t="s">
        <v>57</v>
      </c>
      <c r="G160" s="133">
        <f>E160*51</f>
        <v>4670.7840000000006</v>
      </c>
    </row>
    <row r="161" spans="1:7" ht="191.25" x14ac:dyDescent="0.25">
      <c r="A161" s="26" t="s">
        <v>231</v>
      </c>
      <c r="B161" s="67">
        <v>264.70999999999998</v>
      </c>
      <c r="C161" s="27" t="s">
        <v>230</v>
      </c>
      <c r="D161" s="181">
        <v>270</v>
      </c>
      <c r="E161" s="181">
        <f t="shared" si="2"/>
        <v>286.2</v>
      </c>
      <c r="F161" s="67" t="s">
        <v>53</v>
      </c>
      <c r="G161" s="131">
        <f>E161*246</f>
        <v>70405.2</v>
      </c>
    </row>
    <row r="162" spans="1:7" ht="76.5" x14ac:dyDescent="0.25">
      <c r="A162" s="63" t="s">
        <v>158</v>
      </c>
      <c r="B162" s="71"/>
      <c r="C162" s="42" t="s">
        <v>159</v>
      </c>
      <c r="D162" s="185">
        <v>54</v>
      </c>
      <c r="E162" s="182">
        <f t="shared" si="2"/>
        <v>57.24</v>
      </c>
      <c r="F162" s="71" t="s">
        <v>57</v>
      </c>
      <c r="G162" s="135">
        <f>E162*51</f>
        <v>2919.2400000000002</v>
      </c>
    </row>
    <row r="163" spans="1:7" ht="38.25" customHeight="1" thickBot="1" x14ac:dyDescent="0.3">
      <c r="A163" s="62" t="s">
        <v>158</v>
      </c>
      <c r="B163" s="72"/>
      <c r="C163" s="81" t="s">
        <v>157</v>
      </c>
      <c r="D163" s="186">
        <v>270</v>
      </c>
      <c r="E163" s="183">
        <f t="shared" si="2"/>
        <v>286.2</v>
      </c>
      <c r="F163" s="72" t="s">
        <v>59</v>
      </c>
      <c r="G163" s="136">
        <f>E163*12</f>
        <v>3434.3999999999996</v>
      </c>
    </row>
    <row r="164" spans="1:7" ht="147" customHeight="1" x14ac:dyDescent="0.25">
      <c r="A164" s="60" t="s">
        <v>155</v>
      </c>
      <c r="B164" s="67">
        <v>9.15</v>
      </c>
      <c r="C164" s="27" t="s">
        <v>156</v>
      </c>
      <c r="D164" s="181">
        <v>10.8</v>
      </c>
      <c r="E164" s="181">
        <f t="shared" si="2"/>
        <v>11.448000000000002</v>
      </c>
      <c r="F164" s="67" t="s">
        <v>57</v>
      </c>
      <c r="G164" s="131">
        <f>E164*51</f>
        <v>583.84800000000007</v>
      </c>
    </row>
    <row r="165" spans="1:7" ht="34.5" customHeight="1" thickBot="1" x14ac:dyDescent="0.3">
      <c r="A165" s="61" t="s">
        <v>155</v>
      </c>
      <c r="B165" s="72"/>
      <c r="C165" s="59" t="s">
        <v>60</v>
      </c>
      <c r="D165" s="186">
        <v>21.6</v>
      </c>
      <c r="E165" s="183">
        <f t="shared" si="2"/>
        <v>22.896000000000004</v>
      </c>
      <c r="F165" s="72" t="s">
        <v>59</v>
      </c>
      <c r="G165" s="136">
        <f>E165*12</f>
        <v>274.75200000000007</v>
      </c>
    </row>
    <row r="166" spans="1:7" ht="187.15" customHeight="1" thickBot="1" x14ac:dyDescent="0.3">
      <c r="A166" s="37" t="s">
        <v>273</v>
      </c>
      <c r="B166" s="70">
        <f>19.32+9.15+9.93</f>
        <v>38.4</v>
      </c>
      <c r="C166" s="64" t="s">
        <v>154</v>
      </c>
      <c r="D166" s="184">
        <v>108</v>
      </c>
      <c r="E166" s="184">
        <f t="shared" si="2"/>
        <v>114.48</v>
      </c>
      <c r="F166" s="70" t="s">
        <v>59</v>
      </c>
      <c r="G166" s="134">
        <f>E166*12</f>
        <v>1373.76</v>
      </c>
    </row>
    <row r="167" spans="1:7" ht="15.75" thickBot="1" x14ac:dyDescent="0.3">
      <c r="A167" s="217" t="s">
        <v>232</v>
      </c>
      <c r="B167" s="218">
        <f>SUM(B29:B166)</f>
        <v>6649.7099999999982</v>
      </c>
      <c r="C167" s="219"/>
      <c r="D167" s="203"/>
      <c r="E167" s="203"/>
      <c r="F167" s="220"/>
      <c r="G167" s="221">
        <f>SUM(G29:G166)</f>
        <v>3120115.7664000001</v>
      </c>
    </row>
    <row r="168" spans="1:7" ht="72" thickBot="1" x14ac:dyDescent="0.3">
      <c r="A168" s="107" t="s">
        <v>7</v>
      </c>
      <c r="B168" s="118" t="s">
        <v>0</v>
      </c>
      <c r="C168" s="87" t="s">
        <v>203</v>
      </c>
      <c r="D168" s="88" t="s">
        <v>215</v>
      </c>
      <c r="E168" s="88" t="s">
        <v>215</v>
      </c>
      <c r="F168" s="108" t="s">
        <v>200</v>
      </c>
      <c r="G168" s="90" t="s">
        <v>263</v>
      </c>
    </row>
    <row r="169" spans="1:7" ht="25.5" x14ac:dyDescent="0.25">
      <c r="A169" s="109" t="s">
        <v>205</v>
      </c>
      <c r="B169" s="83" t="s">
        <v>9</v>
      </c>
      <c r="C169" s="86" t="s">
        <v>201</v>
      </c>
      <c r="D169" s="174">
        <v>174.96</v>
      </c>
      <c r="E169" s="181">
        <f t="shared" ref="E169:E191" si="3">D169*$J$9</f>
        <v>185.45760000000001</v>
      </c>
      <c r="F169" s="129">
        <v>2</v>
      </c>
      <c r="G169" s="144">
        <f>E169*F169*354</f>
        <v>131303.98080000002</v>
      </c>
    </row>
    <row r="170" spans="1:7" ht="25.5" x14ac:dyDescent="0.25">
      <c r="A170" s="109" t="s">
        <v>204</v>
      </c>
      <c r="B170" s="83" t="s">
        <v>9</v>
      </c>
      <c r="C170" s="86" t="s">
        <v>202</v>
      </c>
      <c r="D170" s="174">
        <v>174.96</v>
      </c>
      <c r="E170" s="182">
        <f t="shared" si="3"/>
        <v>185.45760000000001</v>
      </c>
      <c r="F170" s="129">
        <v>1.5</v>
      </c>
      <c r="G170" s="144">
        <f>E170*F170*354</f>
        <v>98477.985600000015</v>
      </c>
    </row>
    <row r="171" spans="1:7" ht="25.5" x14ac:dyDescent="0.25">
      <c r="A171" s="109" t="s">
        <v>206</v>
      </c>
      <c r="B171" s="83" t="s">
        <v>9</v>
      </c>
      <c r="C171" s="86" t="s">
        <v>210</v>
      </c>
      <c r="D171" s="174">
        <v>174.96</v>
      </c>
      <c r="E171" s="182">
        <f t="shared" si="3"/>
        <v>185.45760000000001</v>
      </c>
      <c r="F171" s="129">
        <v>1.5</v>
      </c>
      <c r="G171" s="144">
        <f>E171*F171*354</f>
        <v>98477.985600000015</v>
      </c>
    </row>
    <row r="172" spans="1:7" x14ac:dyDescent="0.25">
      <c r="A172" s="109" t="s">
        <v>207</v>
      </c>
      <c r="B172" s="84" t="s">
        <v>9</v>
      </c>
      <c r="C172" s="86" t="s">
        <v>211</v>
      </c>
      <c r="D172" s="174">
        <v>174.96</v>
      </c>
      <c r="E172" s="182">
        <f t="shared" si="3"/>
        <v>185.45760000000001</v>
      </c>
      <c r="F172" s="129">
        <v>1</v>
      </c>
      <c r="G172" s="144">
        <f>E172*F172*354</f>
        <v>65651.99040000001</v>
      </c>
    </row>
    <row r="173" spans="1:7" x14ac:dyDescent="0.25">
      <c r="A173" s="109" t="s">
        <v>208</v>
      </c>
      <c r="B173" s="84" t="s">
        <v>9</v>
      </c>
      <c r="C173" s="86" t="s">
        <v>212</v>
      </c>
      <c r="D173" s="174">
        <v>174.96</v>
      </c>
      <c r="E173" s="182">
        <f t="shared" si="3"/>
        <v>185.45760000000001</v>
      </c>
      <c r="F173" s="129">
        <v>2</v>
      </c>
      <c r="G173" s="144">
        <f>E173*F173*354</f>
        <v>131303.98080000002</v>
      </c>
    </row>
    <row r="174" spans="1:7" ht="26.25" thickBot="1" x14ac:dyDescent="0.3">
      <c r="A174" s="110" t="s">
        <v>209</v>
      </c>
      <c r="B174" s="119" t="s">
        <v>9</v>
      </c>
      <c r="C174" s="111" t="s">
        <v>260</v>
      </c>
      <c r="D174" s="174">
        <v>174.96</v>
      </c>
      <c r="E174" s="185">
        <f t="shared" si="3"/>
        <v>185.45760000000001</v>
      </c>
      <c r="F174" s="130">
        <v>1</v>
      </c>
      <c r="G174" s="145">
        <f>E174*F174*246</f>
        <v>45622.569600000003</v>
      </c>
    </row>
    <row r="175" spans="1:7" ht="45" x14ac:dyDescent="0.25">
      <c r="A175" s="93" t="s">
        <v>8</v>
      </c>
      <c r="B175" s="118" t="s">
        <v>0</v>
      </c>
      <c r="C175" s="87" t="s">
        <v>203</v>
      </c>
      <c r="D175" s="88" t="s">
        <v>215</v>
      </c>
      <c r="E175" s="88" t="s">
        <v>215</v>
      </c>
      <c r="F175" s="89" t="s">
        <v>11</v>
      </c>
      <c r="G175" s="90" t="s">
        <v>12</v>
      </c>
    </row>
    <row r="176" spans="1:7" ht="93" customHeight="1" x14ac:dyDescent="0.25">
      <c r="A176" s="94" t="s">
        <v>213</v>
      </c>
      <c r="B176" s="120" t="s">
        <v>9</v>
      </c>
      <c r="C176" s="85" t="s">
        <v>247</v>
      </c>
      <c r="D176" s="140">
        <v>174.96</v>
      </c>
      <c r="E176" s="185">
        <f t="shared" si="3"/>
        <v>185.45760000000001</v>
      </c>
      <c r="F176" s="4">
        <f>2*2.5*8</f>
        <v>40</v>
      </c>
      <c r="G176" s="132">
        <f>E176*F176</f>
        <v>7418.3040000000001</v>
      </c>
    </row>
    <row r="177" spans="1:7" ht="102.75" customHeight="1" thickBot="1" x14ac:dyDescent="0.3">
      <c r="A177" s="28" t="s">
        <v>214</v>
      </c>
      <c r="B177" s="121" t="s">
        <v>9</v>
      </c>
      <c r="C177" s="95" t="s">
        <v>248</v>
      </c>
      <c r="D177" s="141">
        <v>174.96</v>
      </c>
      <c r="E177" s="185">
        <f t="shared" si="3"/>
        <v>185.45760000000001</v>
      </c>
      <c r="F177" s="30">
        <f>3*4*4</f>
        <v>48</v>
      </c>
      <c r="G177" s="133">
        <f>E177*F177</f>
        <v>8901.9648000000016</v>
      </c>
    </row>
    <row r="178" spans="1:7" ht="52.5" customHeight="1" x14ac:dyDescent="0.25">
      <c r="A178" s="99" t="s">
        <v>219</v>
      </c>
      <c r="B178" s="122" t="s">
        <v>0</v>
      </c>
      <c r="C178" s="87" t="s">
        <v>55</v>
      </c>
      <c r="D178" s="88" t="s">
        <v>218</v>
      </c>
      <c r="E178" s="88" t="s">
        <v>218</v>
      </c>
      <c r="F178" s="89" t="s">
        <v>11</v>
      </c>
      <c r="G178" s="90" t="s">
        <v>12</v>
      </c>
    </row>
    <row r="179" spans="1:7" ht="38.25" x14ac:dyDescent="0.25">
      <c r="A179" s="91" t="s">
        <v>262</v>
      </c>
      <c r="B179" s="123" t="s">
        <v>1</v>
      </c>
      <c r="C179" s="92" t="s">
        <v>252</v>
      </c>
      <c r="D179" s="189">
        <v>19.440000000000001</v>
      </c>
      <c r="E179" s="185">
        <f t="shared" si="3"/>
        <v>20.606400000000001</v>
      </c>
      <c r="F179" s="96">
        <v>5000</v>
      </c>
      <c r="G179" s="146">
        <f>E179*F179</f>
        <v>103032</v>
      </c>
    </row>
    <row r="180" spans="1:7" ht="51" x14ac:dyDescent="0.25">
      <c r="A180" s="91" t="s">
        <v>259</v>
      </c>
      <c r="B180" s="123" t="s">
        <v>1</v>
      </c>
      <c r="C180" s="92" t="s">
        <v>252</v>
      </c>
      <c r="D180" s="189">
        <v>108</v>
      </c>
      <c r="E180" s="185">
        <f t="shared" si="3"/>
        <v>114.48</v>
      </c>
      <c r="F180" s="96">
        <v>28.24</v>
      </c>
      <c r="G180" s="146">
        <f t="shared" ref="G180:G191" si="4">E180*F180</f>
        <v>3232.9151999999999</v>
      </c>
    </row>
    <row r="181" spans="1:7" ht="38.25" x14ac:dyDescent="0.25">
      <c r="A181" s="91" t="s">
        <v>258</v>
      </c>
      <c r="B181" s="123" t="s">
        <v>1</v>
      </c>
      <c r="C181" s="92" t="s">
        <v>252</v>
      </c>
      <c r="D181" s="189">
        <v>19.440000000000001</v>
      </c>
      <c r="E181" s="185">
        <f t="shared" si="3"/>
        <v>20.606400000000001</v>
      </c>
      <c r="F181" s="96">
        <v>11.72</v>
      </c>
      <c r="G181" s="146">
        <f t="shared" si="4"/>
        <v>241.50700800000001</v>
      </c>
    </row>
    <row r="182" spans="1:7" ht="25.5" x14ac:dyDescent="0.25">
      <c r="A182" s="91" t="s">
        <v>224</v>
      </c>
      <c r="B182" s="123" t="s">
        <v>1</v>
      </c>
      <c r="C182" s="92" t="s">
        <v>222</v>
      </c>
      <c r="D182" s="189">
        <v>19.440000000000001</v>
      </c>
      <c r="E182" s="185">
        <f t="shared" si="3"/>
        <v>20.606400000000001</v>
      </c>
      <c r="F182" s="96">
        <v>272</v>
      </c>
      <c r="G182" s="146">
        <f t="shared" si="4"/>
        <v>5604.9408000000003</v>
      </c>
    </row>
    <row r="183" spans="1:7" ht="51" x14ac:dyDescent="0.25">
      <c r="A183" s="91" t="s">
        <v>261</v>
      </c>
      <c r="B183" s="123" t="s">
        <v>1</v>
      </c>
      <c r="C183" s="92" t="s">
        <v>251</v>
      </c>
      <c r="D183" s="189">
        <v>54</v>
      </c>
      <c r="E183" s="185">
        <f t="shared" si="3"/>
        <v>57.24</v>
      </c>
      <c r="F183" s="96">
        <v>136</v>
      </c>
      <c r="G183" s="146">
        <f t="shared" si="4"/>
        <v>7784.64</v>
      </c>
    </row>
    <row r="184" spans="1:7" ht="25.5" x14ac:dyDescent="0.25">
      <c r="A184" s="91" t="s">
        <v>225</v>
      </c>
      <c r="B184" s="123" t="s">
        <v>1</v>
      </c>
      <c r="C184" s="92" t="s">
        <v>223</v>
      </c>
      <c r="D184" s="189">
        <v>32.4</v>
      </c>
      <c r="E184" s="185">
        <f t="shared" si="3"/>
        <v>34.344000000000001</v>
      </c>
      <c r="F184" s="96">
        <v>216</v>
      </c>
      <c r="G184" s="146">
        <f t="shared" si="4"/>
        <v>7418.3040000000001</v>
      </c>
    </row>
    <row r="185" spans="1:7" ht="25.5" x14ac:dyDescent="0.25">
      <c r="A185" s="100" t="s">
        <v>17</v>
      </c>
      <c r="B185" s="97" t="s">
        <v>1</v>
      </c>
      <c r="C185" s="80" t="s">
        <v>221</v>
      </c>
      <c r="D185" s="190">
        <v>1.67</v>
      </c>
      <c r="E185" s="185">
        <f t="shared" si="3"/>
        <v>1.7702</v>
      </c>
      <c r="F185" s="96">
        <v>30000</v>
      </c>
      <c r="G185" s="146">
        <f t="shared" si="4"/>
        <v>53106</v>
      </c>
    </row>
    <row r="186" spans="1:7" ht="25.5" x14ac:dyDescent="0.25">
      <c r="A186" s="100" t="s">
        <v>253</v>
      </c>
      <c r="B186" s="97" t="s">
        <v>16</v>
      </c>
      <c r="C186" s="80" t="s">
        <v>256</v>
      </c>
      <c r="D186" s="190">
        <v>54</v>
      </c>
      <c r="E186" s="185">
        <f t="shared" si="3"/>
        <v>57.24</v>
      </c>
      <c r="F186" s="96">
        <v>32</v>
      </c>
      <c r="G186" s="146">
        <f t="shared" si="4"/>
        <v>1831.68</v>
      </c>
    </row>
    <row r="187" spans="1:7" ht="38.25" x14ac:dyDescent="0.25">
      <c r="A187" s="100" t="s">
        <v>254</v>
      </c>
      <c r="B187" s="97" t="s">
        <v>1</v>
      </c>
      <c r="C187" s="92" t="s">
        <v>252</v>
      </c>
      <c r="D187" s="190">
        <v>19.440000000000001</v>
      </c>
      <c r="E187" s="185">
        <f t="shared" si="3"/>
        <v>20.606400000000001</v>
      </c>
      <c r="F187" s="96">
        <v>29.76</v>
      </c>
      <c r="G187" s="146">
        <f t="shared" si="4"/>
        <v>613.24646400000006</v>
      </c>
    </row>
    <row r="188" spans="1:7" ht="25.5" x14ac:dyDescent="0.25">
      <c r="A188" s="100" t="s">
        <v>257</v>
      </c>
      <c r="B188" s="97" t="s">
        <v>16</v>
      </c>
      <c r="C188" s="80" t="s">
        <v>256</v>
      </c>
      <c r="D188" s="190">
        <v>54</v>
      </c>
      <c r="E188" s="185">
        <f t="shared" si="3"/>
        <v>57.24</v>
      </c>
      <c r="F188" s="173">
        <v>24</v>
      </c>
      <c r="G188" s="146">
        <f t="shared" si="4"/>
        <v>1373.76</v>
      </c>
    </row>
    <row r="189" spans="1:7" ht="38.25" x14ac:dyDescent="0.25">
      <c r="A189" s="100" t="s">
        <v>255</v>
      </c>
      <c r="B189" s="97" t="s">
        <v>1</v>
      </c>
      <c r="C189" s="92" t="s">
        <v>252</v>
      </c>
      <c r="D189" s="190">
        <v>19.440000000000001</v>
      </c>
      <c r="E189" s="185">
        <f t="shared" si="3"/>
        <v>20.606400000000001</v>
      </c>
      <c r="F189" s="96">
        <v>8.8000000000000007</v>
      </c>
      <c r="G189" s="146">
        <f t="shared" si="4"/>
        <v>181.33632000000003</v>
      </c>
    </row>
    <row r="190" spans="1:7" ht="29.25" customHeight="1" x14ac:dyDescent="0.25">
      <c r="A190" s="101" t="s">
        <v>217</v>
      </c>
      <c r="B190" s="97" t="s">
        <v>16</v>
      </c>
      <c r="C190" s="80" t="s">
        <v>216</v>
      </c>
      <c r="D190" s="189">
        <v>16.2</v>
      </c>
      <c r="E190" s="185">
        <f t="shared" si="3"/>
        <v>17.172000000000001</v>
      </c>
      <c r="F190" s="96">
        <v>110</v>
      </c>
      <c r="G190" s="146">
        <f t="shared" si="4"/>
        <v>1888.92</v>
      </c>
    </row>
    <row r="191" spans="1:7" ht="29.25" customHeight="1" x14ac:dyDescent="0.25">
      <c r="A191" s="163" t="s">
        <v>226</v>
      </c>
      <c r="B191" s="164" t="s">
        <v>16</v>
      </c>
      <c r="C191" s="165" t="s">
        <v>220</v>
      </c>
      <c r="D191" s="191">
        <v>12.96</v>
      </c>
      <c r="E191" s="185">
        <f t="shared" si="3"/>
        <v>13.737600000000002</v>
      </c>
      <c r="F191" s="164">
        <f>12*100</f>
        <v>1200</v>
      </c>
      <c r="G191" s="166">
        <f t="shared" si="4"/>
        <v>16485.120000000003</v>
      </c>
    </row>
    <row r="192" spans="1:7" ht="29.25" customHeight="1" x14ac:dyDescent="0.25">
      <c r="A192" s="167"/>
      <c r="B192" s="168"/>
      <c r="C192" s="169"/>
      <c r="D192" s="227" t="s">
        <v>282</v>
      </c>
      <c r="E192" s="227" t="s">
        <v>282</v>
      </c>
      <c r="F192" s="170"/>
      <c r="G192" s="242">
        <f>SUM(G169:G191)+G167</f>
        <v>3910068.8977920003</v>
      </c>
    </row>
    <row r="193" spans="1:7" ht="29.25" customHeight="1" x14ac:dyDescent="0.25">
      <c r="A193" s="167"/>
      <c r="B193" s="168"/>
      <c r="C193" s="169"/>
      <c r="D193" s="227"/>
      <c r="E193" s="227"/>
      <c r="F193" s="170"/>
      <c r="G193" s="242"/>
    </row>
    <row r="194" spans="1:7" ht="29.25" customHeight="1" x14ac:dyDescent="0.25">
      <c r="A194" s="13"/>
      <c r="B194" s="126"/>
      <c r="C194" s="10"/>
      <c r="D194" s="161"/>
      <c r="E194" s="161"/>
      <c r="F194" s="161"/>
      <c r="G194" s="162"/>
    </row>
    <row r="195" spans="1:7" ht="29.25" customHeight="1" x14ac:dyDescent="0.25">
      <c r="A195" s="230" t="s">
        <v>283</v>
      </c>
      <c r="B195" s="231"/>
      <c r="C195" s="231"/>
      <c r="D195" s="231"/>
      <c r="E195" s="231"/>
      <c r="F195" s="232"/>
      <c r="G195" s="171">
        <f>G192/12</f>
        <v>325839.07481600001</v>
      </c>
    </row>
    <row r="196" spans="1:7" s="21" customFormat="1" ht="29.25" customHeight="1" thickBot="1" x14ac:dyDescent="0.3">
      <c r="A196" s="17"/>
      <c r="B196" s="125"/>
      <c r="C196" s="18"/>
      <c r="D196" s="19"/>
      <c r="E196" s="19"/>
      <c r="F196" s="102"/>
      <c r="G196" s="20"/>
    </row>
    <row r="197" spans="1:7" ht="29.25" customHeight="1" thickBot="1" x14ac:dyDescent="0.3">
      <c r="A197" s="233" t="s">
        <v>245</v>
      </c>
      <c r="B197" s="234"/>
      <c r="C197" s="234"/>
      <c r="D197" s="234"/>
      <c r="E197" s="234"/>
      <c r="F197" s="234"/>
      <c r="G197" s="234"/>
    </row>
    <row r="198" spans="1:7" ht="45" x14ac:dyDescent="0.25">
      <c r="A198" s="235" t="s">
        <v>2</v>
      </c>
      <c r="B198" s="236"/>
      <c r="C198" s="237"/>
      <c r="D198" s="88" t="s">
        <v>227</v>
      </c>
      <c r="E198" s="88" t="s">
        <v>227</v>
      </c>
      <c r="F198" s="89" t="s">
        <v>277</v>
      </c>
      <c r="G198" s="3" t="s">
        <v>12</v>
      </c>
    </row>
    <row r="199" spans="1:7" ht="114.75" x14ac:dyDescent="0.25">
      <c r="A199" s="91" t="s">
        <v>228</v>
      </c>
      <c r="B199" s="156" t="s">
        <v>9</v>
      </c>
      <c r="C199" s="92" t="s">
        <v>229</v>
      </c>
      <c r="D199" s="142">
        <v>172.8</v>
      </c>
      <c r="E199" s="185">
        <f t="shared" ref="E199" si="5">D199*$J$9</f>
        <v>183.16800000000003</v>
      </c>
      <c r="F199" s="96">
        <v>200</v>
      </c>
      <c r="G199" s="139">
        <f>E199*F199</f>
        <v>36633.600000000006</v>
      </c>
    </row>
    <row r="200" spans="1:7" ht="15" customHeight="1" x14ac:dyDescent="0.25">
      <c r="A200" s="15"/>
      <c r="B200" s="124"/>
      <c r="C200" s="16"/>
      <c r="D200" s="228" t="s">
        <v>19</v>
      </c>
      <c r="E200" s="228" t="s">
        <v>19</v>
      </c>
      <c r="F200" s="103"/>
      <c r="G200" s="238">
        <f>SUM(G199:G199)</f>
        <v>36633.600000000006</v>
      </c>
    </row>
    <row r="201" spans="1:7" ht="37.5" customHeight="1" x14ac:dyDescent="0.25">
      <c r="A201" s="15"/>
      <c r="B201" s="124"/>
      <c r="C201" s="16"/>
      <c r="D201" s="229"/>
      <c r="E201" s="229"/>
      <c r="F201" s="98"/>
      <c r="G201" s="239"/>
    </row>
    <row r="202" spans="1:7" s="21" customFormat="1" ht="15.75" thickBot="1" x14ac:dyDescent="0.3">
      <c r="A202" s="17"/>
      <c r="B202" s="125"/>
      <c r="C202" s="18"/>
      <c r="D202" s="19"/>
      <c r="E202" s="19"/>
      <c r="F202" s="102"/>
      <c r="G202" s="20"/>
    </row>
    <row r="203" spans="1:7" x14ac:dyDescent="0.25">
      <c r="A203" s="233" t="s">
        <v>23</v>
      </c>
      <c r="B203" s="234"/>
      <c r="C203" s="234"/>
      <c r="D203" s="234"/>
      <c r="E203" s="234"/>
      <c r="F203" s="234"/>
      <c r="G203" s="234"/>
    </row>
    <row r="204" spans="1:7" ht="31.5" customHeight="1" x14ac:dyDescent="0.25">
      <c r="A204" s="148"/>
      <c r="B204" s="124"/>
      <c r="C204" s="16"/>
      <c r="D204" s="222" t="s">
        <v>20</v>
      </c>
      <c r="E204" s="222" t="s">
        <v>20</v>
      </c>
      <c r="F204" s="103"/>
      <c r="G204" s="224">
        <f>G200+G192</f>
        <v>3946702.4977920004</v>
      </c>
    </row>
    <row r="205" spans="1:7" ht="26.25" customHeight="1" x14ac:dyDescent="0.25">
      <c r="A205" s="148"/>
      <c r="B205" s="124"/>
      <c r="C205" s="16"/>
      <c r="D205" s="223"/>
      <c r="E205" s="223"/>
      <c r="F205" s="149"/>
      <c r="G205" s="225"/>
    </row>
    <row r="206" spans="1:7" x14ac:dyDescent="0.25">
      <c r="A206" s="13"/>
      <c r="B206" s="126"/>
      <c r="C206" s="10"/>
      <c r="D206" s="2"/>
      <c r="E206" s="2"/>
      <c r="F206" s="147"/>
      <c r="G206" s="2"/>
    </row>
    <row r="207" spans="1:7" x14ac:dyDescent="0.25">
      <c r="A207" s="13"/>
      <c r="B207" s="126"/>
      <c r="C207" s="10"/>
      <c r="D207" s="2"/>
      <c r="E207" s="2"/>
      <c r="F207" s="105"/>
      <c r="G207" s="2"/>
    </row>
    <row r="208" spans="1:7" x14ac:dyDescent="0.25">
      <c r="A208" s="226" t="s">
        <v>4</v>
      </c>
      <c r="B208" s="226"/>
      <c r="C208" s="226"/>
      <c r="D208" s="226"/>
      <c r="E208" s="226"/>
      <c r="F208" s="226"/>
      <c r="G208" s="226"/>
    </row>
    <row r="209" spans="1:7" x14ac:dyDescent="0.25">
      <c r="A209" s="226"/>
      <c r="B209" s="226"/>
      <c r="C209" s="226"/>
      <c r="D209" s="226"/>
      <c r="E209" s="226"/>
      <c r="F209" s="226"/>
      <c r="G209" s="226"/>
    </row>
    <row r="210" spans="1:7" x14ac:dyDescent="0.25">
      <c r="A210" s="1"/>
      <c r="B210" s="116"/>
      <c r="C210" s="9"/>
      <c r="D210" s="1"/>
      <c r="E210" s="1"/>
      <c r="F210" s="104"/>
      <c r="G210" s="1"/>
    </row>
    <row r="211" spans="1:7" x14ac:dyDescent="0.25">
      <c r="A211" s="1"/>
      <c r="B211" s="116"/>
      <c r="C211" s="9"/>
      <c r="D211" s="1"/>
      <c r="E211" s="1"/>
      <c r="F211" s="104"/>
      <c r="G211" s="1"/>
    </row>
    <row r="212" spans="1:7" x14ac:dyDescent="0.25">
      <c r="A212" s="1"/>
      <c r="B212" s="116"/>
      <c r="C212" s="9"/>
      <c r="D212" s="1"/>
      <c r="E212" s="1"/>
      <c r="F212" s="104"/>
      <c r="G212" s="1"/>
    </row>
    <row r="213" spans="1:7" x14ac:dyDescent="0.25">
      <c r="A213" s="1"/>
      <c r="B213" s="116"/>
      <c r="C213" s="9"/>
      <c r="D213" s="1"/>
      <c r="E213" s="1"/>
      <c r="F213" s="104"/>
      <c r="G213" s="1"/>
    </row>
    <row r="214" spans="1:7" x14ac:dyDescent="0.25">
      <c r="A214" s="1"/>
      <c r="B214" s="116"/>
      <c r="C214" s="9"/>
      <c r="D214" s="1"/>
      <c r="E214" s="1"/>
      <c r="F214" s="104"/>
      <c r="G214" s="1"/>
    </row>
    <row r="215" spans="1:7" x14ac:dyDescent="0.25">
      <c r="A215" s="1"/>
      <c r="B215" s="116"/>
      <c r="C215" s="9"/>
      <c r="D215" s="1"/>
      <c r="E215" s="1"/>
      <c r="F215" s="104"/>
      <c r="G215" s="1"/>
    </row>
    <row r="216" spans="1:7" x14ac:dyDescent="0.25">
      <c r="A216" s="1"/>
      <c r="B216" s="116"/>
      <c r="C216" s="9"/>
      <c r="D216" s="1"/>
      <c r="E216" s="1"/>
      <c r="F216" s="104"/>
      <c r="G216" s="1"/>
    </row>
    <row r="217" spans="1:7" x14ac:dyDescent="0.25">
      <c r="A217" s="1"/>
      <c r="B217" s="116"/>
      <c r="C217" s="9"/>
      <c r="D217" s="1"/>
      <c r="E217" s="1"/>
      <c r="F217" s="104"/>
      <c r="G217" s="1"/>
    </row>
    <row r="218" spans="1:7" x14ac:dyDescent="0.25">
      <c r="A218" s="1"/>
      <c r="B218" s="116"/>
      <c r="C218" s="9"/>
      <c r="D218" s="1"/>
      <c r="E218" s="1"/>
      <c r="F218" s="104"/>
      <c r="G218" s="1"/>
    </row>
    <row r="219" spans="1:7" x14ac:dyDescent="0.25">
      <c r="A219" s="1"/>
      <c r="B219" s="116"/>
      <c r="C219" s="9"/>
      <c r="D219" s="1"/>
      <c r="E219" s="1"/>
      <c r="F219" s="104"/>
      <c r="G219" s="1"/>
    </row>
    <row r="220" spans="1:7" x14ac:dyDescent="0.25">
      <c r="A220" s="1"/>
      <c r="B220" s="116"/>
      <c r="C220" s="9"/>
      <c r="D220" s="1"/>
      <c r="E220" s="1"/>
      <c r="F220" s="104"/>
      <c r="G220" s="1"/>
    </row>
    <row r="221" spans="1:7" x14ac:dyDescent="0.25">
      <c r="A221" s="1"/>
      <c r="B221" s="116"/>
      <c r="C221" s="9"/>
      <c r="D221" s="1"/>
      <c r="E221" s="1"/>
      <c r="F221" s="104"/>
      <c r="G221" s="1"/>
    </row>
    <row r="222" spans="1:7" x14ac:dyDescent="0.25">
      <c r="A222" s="1"/>
      <c r="B222" s="116"/>
      <c r="C222" s="9"/>
      <c r="D222" s="1"/>
      <c r="E222" s="1"/>
      <c r="F222" s="104"/>
      <c r="G222" s="1"/>
    </row>
    <row r="223" spans="1:7" x14ac:dyDescent="0.25">
      <c r="A223" s="1"/>
      <c r="B223" s="116"/>
      <c r="C223" s="9"/>
      <c r="D223" s="1"/>
      <c r="E223" s="1"/>
      <c r="F223" s="104"/>
      <c r="G223" s="1"/>
    </row>
    <row r="224" spans="1:7" x14ac:dyDescent="0.25">
      <c r="A224" s="1"/>
      <c r="B224" s="116"/>
      <c r="C224" s="9"/>
      <c r="D224" s="1"/>
      <c r="E224" s="1"/>
      <c r="F224" s="104"/>
      <c r="G224" s="1"/>
    </row>
    <row r="225" spans="1:7" x14ac:dyDescent="0.25">
      <c r="A225" s="1"/>
      <c r="B225" s="116"/>
      <c r="C225" s="9"/>
      <c r="D225" s="1"/>
      <c r="E225" s="1"/>
      <c r="F225" s="104"/>
      <c r="G225" s="1"/>
    </row>
    <row r="226" spans="1:7" x14ac:dyDescent="0.25">
      <c r="A226" s="1"/>
      <c r="B226" s="116"/>
      <c r="C226" s="9"/>
      <c r="D226" s="1"/>
      <c r="E226" s="1"/>
      <c r="F226" s="104"/>
      <c r="G226" s="1"/>
    </row>
    <row r="227" spans="1:7" x14ac:dyDescent="0.25">
      <c r="A227" s="1"/>
      <c r="B227" s="116"/>
      <c r="C227" s="9"/>
      <c r="D227" s="1"/>
      <c r="E227" s="1"/>
      <c r="F227" s="104"/>
      <c r="G227" s="1"/>
    </row>
    <row r="228" spans="1:7" x14ac:dyDescent="0.25">
      <c r="A228" s="1"/>
      <c r="B228" s="116"/>
      <c r="C228" s="9"/>
      <c r="D228" s="1"/>
      <c r="E228" s="1"/>
      <c r="F228" s="104"/>
      <c r="G228" s="1"/>
    </row>
    <row r="229" spans="1:7" x14ac:dyDescent="0.25">
      <c r="A229" s="1"/>
      <c r="B229" s="116"/>
      <c r="C229" s="9"/>
      <c r="D229" s="1"/>
      <c r="E229" s="1"/>
      <c r="F229" s="104"/>
      <c r="G229" s="1"/>
    </row>
    <row r="230" spans="1:7" x14ac:dyDescent="0.25">
      <c r="A230" s="1"/>
      <c r="B230" s="116"/>
      <c r="C230" s="9"/>
      <c r="D230" s="1"/>
      <c r="E230" s="1"/>
      <c r="F230" s="104"/>
      <c r="G230" s="1"/>
    </row>
    <row r="231" spans="1:7" x14ac:dyDescent="0.25">
      <c r="A231" s="1"/>
      <c r="B231" s="116"/>
      <c r="C231" s="9"/>
      <c r="D231" s="1"/>
      <c r="E231" s="1"/>
      <c r="F231" s="104"/>
      <c r="G231" s="1"/>
    </row>
    <row r="232" spans="1:7" x14ac:dyDescent="0.25">
      <c r="A232" s="1"/>
      <c r="B232" s="116"/>
      <c r="C232" s="9"/>
      <c r="D232" s="1"/>
      <c r="E232" s="1"/>
      <c r="F232" s="104"/>
      <c r="G232" s="1"/>
    </row>
    <row r="233" spans="1:7" x14ac:dyDescent="0.25">
      <c r="A233" s="1"/>
      <c r="B233" s="116"/>
      <c r="C233" s="9"/>
      <c r="D233" s="1"/>
      <c r="E233" s="1"/>
      <c r="F233" s="104"/>
      <c r="G233" s="1"/>
    </row>
    <row r="234" spans="1:7" x14ac:dyDescent="0.25">
      <c r="A234" s="1"/>
      <c r="B234" s="116"/>
      <c r="C234" s="9"/>
      <c r="D234" s="1"/>
      <c r="E234" s="1"/>
      <c r="F234" s="104"/>
      <c r="G234" s="1"/>
    </row>
    <row r="235" spans="1:7" x14ac:dyDescent="0.25">
      <c r="A235" s="1"/>
      <c r="B235" s="116"/>
      <c r="C235" s="9"/>
      <c r="D235" s="1"/>
      <c r="E235" s="1"/>
      <c r="F235" s="104"/>
      <c r="G235" s="1"/>
    </row>
    <row r="236" spans="1:7" x14ac:dyDescent="0.25">
      <c r="A236" s="1"/>
      <c r="B236" s="116"/>
      <c r="C236" s="9"/>
      <c r="D236" s="1"/>
      <c r="E236" s="1"/>
      <c r="F236" s="104"/>
      <c r="G236" s="1"/>
    </row>
    <row r="237" spans="1:7" x14ac:dyDescent="0.25">
      <c r="A237" s="1"/>
      <c r="B237" s="116"/>
      <c r="C237" s="9"/>
      <c r="D237" s="1"/>
      <c r="E237" s="1"/>
      <c r="F237" s="104"/>
      <c r="G237" s="1"/>
    </row>
  </sheetData>
  <mergeCells count="18">
    <mergeCell ref="E23:G23"/>
    <mergeCell ref="A24:G24"/>
    <mergeCell ref="A26:G26"/>
    <mergeCell ref="A27:G27"/>
    <mergeCell ref="E192:E193"/>
    <mergeCell ref="G192:G193"/>
    <mergeCell ref="E204:E205"/>
    <mergeCell ref="G204:G205"/>
    <mergeCell ref="A208:G209"/>
    <mergeCell ref="D192:D193"/>
    <mergeCell ref="D200:D201"/>
    <mergeCell ref="D204:D205"/>
    <mergeCell ref="A195:F195"/>
    <mergeCell ref="A197:G197"/>
    <mergeCell ref="A198:C198"/>
    <mergeCell ref="E200:E201"/>
    <mergeCell ref="G200:G201"/>
    <mergeCell ref="A203:G203"/>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74429-8B08-44C4-BC5E-2752616C9E9F}">
  <sheetPr>
    <pageSetUpPr fitToPage="1"/>
  </sheetPr>
  <dimension ref="A1:K237"/>
  <sheetViews>
    <sheetView topLeftCell="A190" workbookViewId="0">
      <selection activeCell="D199" sqref="D199"/>
    </sheetView>
  </sheetViews>
  <sheetFormatPr defaultRowHeight="15" x14ac:dyDescent="0.25"/>
  <cols>
    <col min="1" max="1" width="36.5703125" customWidth="1"/>
    <col min="2" max="2" width="9" style="127" customWidth="1"/>
    <col min="3" max="3" width="37.140625" style="12" customWidth="1"/>
    <col min="4" max="4" width="24.7109375" customWidth="1"/>
    <col min="5" max="5" width="11.28515625" style="106" customWidth="1"/>
    <col min="6" max="6" width="23.140625" customWidth="1"/>
    <col min="7" max="7" width="10.85546875" bestFit="1" customWidth="1"/>
    <col min="8" max="8" width="22.5703125" customWidth="1"/>
    <col min="9" max="9" width="21.7109375" customWidth="1"/>
    <col min="10" max="10" width="24.140625" bestFit="1" customWidth="1"/>
    <col min="11" max="11" width="15.42578125" bestFit="1" customWidth="1"/>
  </cols>
  <sheetData>
    <row r="1" spans="1:11" x14ac:dyDescent="0.25">
      <c r="A1" s="1"/>
      <c r="B1" s="116"/>
      <c r="C1" s="9"/>
      <c r="D1" s="1"/>
      <c r="E1" s="104"/>
      <c r="F1" s="1"/>
      <c r="H1" s="176" t="s">
        <v>289</v>
      </c>
      <c r="I1" s="177">
        <v>18900</v>
      </c>
      <c r="K1" s="192"/>
    </row>
    <row r="2" spans="1:11" ht="15.75" thickBot="1" x14ac:dyDescent="0.3">
      <c r="A2" s="14" t="s">
        <v>280</v>
      </c>
      <c r="B2" s="14"/>
      <c r="C2" s="9" t="s">
        <v>18</v>
      </c>
      <c r="D2" s="1"/>
      <c r="E2" s="104"/>
      <c r="F2" s="1"/>
      <c r="H2" s="178" t="s">
        <v>284</v>
      </c>
      <c r="I2" s="179"/>
      <c r="K2" s="192"/>
    </row>
    <row r="3" spans="1:11" x14ac:dyDescent="0.25">
      <c r="A3" s="1"/>
      <c r="B3" s="116"/>
      <c r="C3" s="9" t="s">
        <v>249</v>
      </c>
      <c r="D3" s="1"/>
      <c r="E3" s="104"/>
      <c r="F3" s="1"/>
      <c r="H3" s="176" t="s">
        <v>288</v>
      </c>
      <c r="I3" s="177">
        <v>20800</v>
      </c>
      <c r="K3" s="192"/>
    </row>
    <row r="4" spans="1:11" ht="15.75" thickBot="1" x14ac:dyDescent="0.3">
      <c r="A4" s="1"/>
      <c r="B4" s="116"/>
      <c r="C4" s="9" t="s">
        <v>279</v>
      </c>
      <c r="D4" s="1"/>
      <c r="E4" s="104"/>
      <c r="F4" s="1"/>
      <c r="H4" s="178" t="s">
        <v>285</v>
      </c>
      <c r="I4" s="180"/>
      <c r="K4" s="193"/>
    </row>
    <row r="5" spans="1:11" ht="15.75" thickBot="1" x14ac:dyDescent="0.3">
      <c r="A5" s="82" t="s">
        <v>45</v>
      </c>
      <c r="B5" s="116"/>
      <c r="C5" s="9"/>
      <c r="D5" s="1"/>
      <c r="E5" s="104"/>
      <c r="F5" s="1"/>
    </row>
    <row r="6" spans="1:11" x14ac:dyDescent="0.25">
      <c r="A6" s="1" t="s">
        <v>192</v>
      </c>
      <c r="B6" s="116"/>
      <c r="C6" s="9" t="s">
        <v>190</v>
      </c>
      <c r="D6" s="1"/>
      <c r="E6" s="104"/>
      <c r="F6" s="1"/>
      <c r="H6" s="176" t="s">
        <v>287</v>
      </c>
      <c r="I6" s="195">
        <f>(I3*100/I1)-100</f>
        <v>10.05291005291005</v>
      </c>
    </row>
    <row r="7" spans="1:11" ht="30.75" thickBot="1" x14ac:dyDescent="0.3">
      <c r="A7" s="1" t="s">
        <v>193</v>
      </c>
      <c r="B7" s="116"/>
      <c r="C7" s="9" t="s">
        <v>49</v>
      </c>
      <c r="D7" s="1"/>
      <c r="E7" s="104"/>
      <c r="F7" s="1"/>
      <c r="H7" s="196" t="s">
        <v>292</v>
      </c>
      <c r="I7" s="197">
        <v>1.08</v>
      </c>
    </row>
    <row r="8" spans="1:11" x14ac:dyDescent="0.25">
      <c r="A8" s="1" t="s">
        <v>194</v>
      </c>
      <c r="B8" s="116"/>
      <c r="C8" s="9" t="s">
        <v>191</v>
      </c>
      <c r="D8" s="1"/>
      <c r="E8" s="104"/>
      <c r="F8" s="1"/>
      <c r="H8" s="194"/>
    </row>
    <row r="9" spans="1:11" x14ac:dyDescent="0.25">
      <c r="A9" s="1" t="s">
        <v>196</v>
      </c>
      <c r="B9" s="116"/>
      <c r="C9" s="9" t="s">
        <v>237</v>
      </c>
      <c r="D9" s="1"/>
      <c r="E9" s="104"/>
      <c r="F9" s="1"/>
    </row>
    <row r="10" spans="1:11" x14ac:dyDescent="0.25">
      <c r="A10" s="1" t="s">
        <v>195</v>
      </c>
      <c r="B10" s="116"/>
      <c r="C10" s="9" t="s">
        <v>197</v>
      </c>
      <c r="D10" s="1"/>
      <c r="E10" s="104"/>
      <c r="F10" s="1"/>
    </row>
    <row r="11" spans="1:11" x14ac:dyDescent="0.25">
      <c r="A11" s="1" t="s">
        <v>239</v>
      </c>
      <c r="B11" s="116"/>
      <c r="C11" s="9" t="s">
        <v>198</v>
      </c>
      <c r="D11" s="1"/>
      <c r="E11" s="104"/>
      <c r="F11" s="1"/>
    </row>
    <row r="12" spans="1:11" x14ac:dyDescent="0.25">
      <c r="A12" s="1"/>
      <c r="B12" s="116"/>
      <c r="C12" s="9"/>
      <c r="D12" s="1"/>
      <c r="E12" s="104"/>
      <c r="F12" s="1"/>
    </row>
    <row r="13" spans="1:11" ht="17.25" customHeight="1" x14ac:dyDescent="0.25">
      <c r="A13" s="1" t="s">
        <v>50</v>
      </c>
      <c r="B13" s="116"/>
      <c r="C13" s="9" t="s">
        <v>250</v>
      </c>
      <c r="D13" s="1"/>
      <c r="E13" s="104"/>
      <c r="F13" s="1"/>
    </row>
    <row r="14" spans="1:11" ht="17.25" customHeight="1" x14ac:dyDescent="0.25">
      <c r="A14" s="1"/>
      <c r="B14" s="116"/>
      <c r="C14" s="9" t="s">
        <v>199</v>
      </c>
      <c r="D14" s="1"/>
      <c r="E14" s="104"/>
      <c r="F14" s="1"/>
    </row>
    <row r="15" spans="1:11" ht="17.25" customHeight="1" x14ac:dyDescent="0.25">
      <c r="A15" s="1"/>
      <c r="B15" s="116"/>
      <c r="C15" s="9" t="s">
        <v>52</v>
      </c>
      <c r="D15" s="1"/>
      <c r="E15" s="104"/>
      <c r="F15" s="1"/>
    </row>
    <row r="16" spans="1:11" ht="17.25" customHeight="1" x14ac:dyDescent="0.25">
      <c r="A16" s="1"/>
      <c r="B16" s="116"/>
      <c r="C16" s="9" t="s">
        <v>51</v>
      </c>
      <c r="D16" s="1"/>
      <c r="E16" s="104"/>
      <c r="F16" s="1"/>
    </row>
    <row r="17" spans="1:6" ht="17.25" customHeight="1" x14ac:dyDescent="0.25">
      <c r="A17" s="1"/>
      <c r="B17" s="116"/>
      <c r="C17" s="9" t="s">
        <v>241</v>
      </c>
      <c r="D17" s="1"/>
      <c r="E17" s="104"/>
      <c r="F17" s="1"/>
    </row>
    <row r="18" spans="1:6" ht="17.25" customHeight="1" x14ac:dyDescent="0.25">
      <c r="A18" s="1"/>
      <c r="B18" s="116"/>
      <c r="C18" s="9" t="s">
        <v>240</v>
      </c>
      <c r="D18" s="1"/>
      <c r="E18" s="104"/>
      <c r="F18" s="1"/>
    </row>
    <row r="19" spans="1:6" ht="17.25" customHeight="1" x14ac:dyDescent="0.25">
      <c r="A19" s="1"/>
      <c r="B19" s="116"/>
      <c r="C19" s="9" t="s">
        <v>242</v>
      </c>
      <c r="D19" s="1"/>
      <c r="E19" s="104"/>
      <c r="F19" s="1"/>
    </row>
    <row r="20" spans="1:6" ht="17.25" customHeight="1" x14ac:dyDescent="0.25">
      <c r="A20" s="1"/>
      <c r="B20" s="116"/>
      <c r="C20" s="9" t="s">
        <v>243</v>
      </c>
      <c r="D20" s="1"/>
      <c r="E20" s="104"/>
      <c r="F20" s="1"/>
    </row>
    <row r="21" spans="1:6" ht="17.25" customHeight="1" x14ac:dyDescent="0.25">
      <c r="A21" s="128"/>
      <c r="B21" s="116"/>
      <c r="C21" s="9" t="s">
        <v>244</v>
      </c>
      <c r="D21" s="1"/>
      <c r="E21" s="104"/>
      <c r="F21" s="1"/>
    </row>
    <row r="22" spans="1:6" ht="17.25" customHeight="1" x14ac:dyDescent="0.25">
      <c r="A22" s="128"/>
      <c r="B22" s="116"/>
      <c r="C22" s="9"/>
      <c r="D22" s="1"/>
      <c r="E22" s="104"/>
      <c r="F22" s="1"/>
    </row>
    <row r="23" spans="1:6" ht="17.25" customHeight="1" x14ac:dyDescent="0.25">
      <c r="A23" s="1"/>
      <c r="B23" s="116"/>
      <c r="C23" s="9"/>
      <c r="D23" s="240" t="s">
        <v>246</v>
      </c>
      <c r="E23" s="240"/>
      <c r="F23" s="240"/>
    </row>
    <row r="24" spans="1:6" ht="21.6" customHeight="1" x14ac:dyDescent="0.25">
      <c r="A24" s="241" t="s">
        <v>5</v>
      </c>
      <c r="B24" s="241"/>
      <c r="C24" s="241"/>
      <c r="D24" s="241"/>
      <c r="E24" s="241"/>
      <c r="F24" s="241"/>
    </row>
    <row r="25" spans="1:6" ht="18" customHeight="1" thickBot="1" x14ac:dyDescent="0.3">
      <c r="A25" s="2"/>
      <c r="B25" s="117"/>
      <c r="C25" s="10"/>
      <c r="D25" s="2"/>
      <c r="E25" s="105"/>
      <c r="F25" s="2"/>
    </row>
    <row r="26" spans="1:6" ht="20.45" customHeight="1" thickBot="1" x14ac:dyDescent="0.3">
      <c r="A26" s="233" t="s">
        <v>22</v>
      </c>
      <c r="B26" s="234"/>
      <c r="C26" s="234"/>
      <c r="D26" s="234"/>
      <c r="E26" s="234"/>
      <c r="F26" s="234"/>
    </row>
    <row r="27" spans="1:6" ht="20.45" customHeight="1" x14ac:dyDescent="0.25">
      <c r="A27" s="233" t="s">
        <v>21</v>
      </c>
      <c r="B27" s="234"/>
      <c r="C27" s="234"/>
      <c r="D27" s="234"/>
      <c r="E27" s="234"/>
      <c r="F27" s="234"/>
    </row>
    <row r="28" spans="1:6" ht="73.150000000000006" customHeight="1" thickBot="1" x14ac:dyDescent="0.3">
      <c r="A28" s="22" t="s">
        <v>46</v>
      </c>
      <c r="B28" s="66" t="s">
        <v>290</v>
      </c>
      <c r="C28" s="24" t="s">
        <v>291</v>
      </c>
      <c r="D28" s="24" t="s">
        <v>3</v>
      </c>
      <c r="E28" s="23" t="s">
        <v>47</v>
      </c>
      <c r="F28" s="25" t="s">
        <v>286</v>
      </c>
    </row>
    <row r="29" spans="1:6" ht="182.25" customHeight="1" x14ac:dyDescent="0.25">
      <c r="A29" s="26" t="s">
        <v>105</v>
      </c>
      <c r="B29" s="67">
        <f>262.16+33.55</f>
        <v>295.71000000000004</v>
      </c>
      <c r="C29" s="27" t="s">
        <v>61</v>
      </c>
      <c r="D29" s="181">
        <f>350*I7</f>
        <v>378</v>
      </c>
      <c r="E29" s="67" t="s">
        <v>53</v>
      </c>
      <c r="F29" s="131">
        <f>D29*354</f>
        <v>133812</v>
      </c>
    </row>
    <row r="30" spans="1:6" ht="54" customHeight="1" x14ac:dyDescent="0.25">
      <c r="A30" s="6" t="s">
        <v>24</v>
      </c>
      <c r="B30" s="68"/>
      <c r="C30" s="8" t="s">
        <v>56</v>
      </c>
      <c r="D30" s="182">
        <f>35*I7</f>
        <v>37.800000000000004</v>
      </c>
      <c r="E30" s="68" t="s">
        <v>54</v>
      </c>
      <c r="F30" s="132">
        <f>D30*2*51</f>
        <v>3855.6000000000004</v>
      </c>
    </row>
    <row r="31" spans="1:6" ht="47.25" customHeight="1" x14ac:dyDescent="0.25">
      <c r="A31" s="6" t="s">
        <v>24</v>
      </c>
      <c r="B31" s="68"/>
      <c r="C31" s="8" t="s">
        <v>58</v>
      </c>
      <c r="D31" s="182">
        <f>55*I7</f>
        <v>59.400000000000006</v>
      </c>
      <c r="E31" s="68" t="s">
        <v>57</v>
      </c>
      <c r="F31" s="132">
        <f>D31*51</f>
        <v>3029.4</v>
      </c>
    </row>
    <row r="32" spans="1:6" ht="48" customHeight="1" thickBot="1" x14ac:dyDescent="0.3">
      <c r="A32" s="6" t="s">
        <v>24</v>
      </c>
      <c r="B32" s="68"/>
      <c r="C32" s="150" t="s">
        <v>267</v>
      </c>
      <c r="D32" s="182">
        <f>55*I7</f>
        <v>59.400000000000006</v>
      </c>
      <c r="E32" s="68" t="s">
        <v>59</v>
      </c>
      <c r="F32" s="132">
        <f>D32*12</f>
        <v>712.80000000000007</v>
      </c>
    </row>
    <row r="33" spans="1:8" ht="180" customHeight="1" x14ac:dyDescent="0.25">
      <c r="A33" s="32" t="s">
        <v>6</v>
      </c>
      <c r="B33" s="67">
        <v>54.44</v>
      </c>
      <c r="C33" s="27" t="s">
        <v>62</v>
      </c>
      <c r="D33" s="181">
        <f>85*I7</f>
        <v>91.800000000000011</v>
      </c>
      <c r="E33" s="67" t="s">
        <v>53</v>
      </c>
      <c r="F33" s="131">
        <f>D33*354</f>
        <v>32497.200000000004</v>
      </c>
    </row>
    <row r="34" spans="1:8" ht="27.75" customHeight="1" x14ac:dyDescent="0.25">
      <c r="A34" s="5" t="s">
        <v>25</v>
      </c>
      <c r="B34" s="68"/>
      <c r="C34" s="31" t="s">
        <v>63</v>
      </c>
      <c r="D34" s="182">
        <f>55*I7</f>
        <v>59.400000000000006</v>
      </c>
      <c r="E34" s="68" t="s">
        <v>57</v>
      </c>
      <c r="F34" s="132">
        <f>D34*51</f>
        <v>3029.4</v>
      </c>
      <c r="G34" s="40"/>
      <c r="H34" s="40"/>
    </row>
    <row r="35" spans="1:8" ht="24.95" customHeight="1" thickBot="1" x14ac:dyDescent="0.3">
      <c r="A35" s="33" t="s">
        <v>25</v>
      </c>
      <c r="B35" s="69"/>
      <c r="C35" s="34" t="s">
        <v>64</v>
      </c>
      <c r="D35" s="183">
        <f>250*I7</f>
        <v>270</v>
      </c>
      <c r="E35" s="69" t="s">
        <v>59</v>
      </c>
      <c r="F35" s="133">
        <f>D35*12</f>
        <v>3240</v>
      </c>
    </row>
    <row r="36" spans="1:8" ht="39" customHeight="1" thickBot="1" x14ac:dyDescent="0.3">
      <c r="A36" s="37" t="s">
        <v>186</v>
      </c>
      <c r="B36" s="70">
        <v>60.71</v>
      </c>
      <c r="C36" s="38" t="s">
        <v>14</v>
      </c>
      <c r="D36" s="184">
        <f>40*I7</f>
        <v>43.2</v>
      </c>
      <c r="E36" s="77" t="s">
        <v>187</v>
      </c>
      <c r="F36" s="134">
        <f>D36*29</f>
        <v>1252.8000000000002</v>
      </c>
    </row>
    <row r="37" spans="1:8" ht="215.25" customHeight="1" x14ac:dyDescent="0.25">
      <c r="A37" s="32" t="s">
        <v>106</v>
      </c>
      <c r="B37" s="67">
        <v>145.9</v>
      </c>
      <c r="C37" s="43" t="s">
        <v>66</v>
      </c>
      <c r="D37" s="181">
        <f>145*I7</f>
        <v>156.60000000000002</v>
      </c>
      <c r="E37" s="67" t="s">
        <v>53</v>
      </c>
      <c r="F37" s="131">
        <f>D37*354</f>
        <v>55436.400000000009</v>
      </c>
    </row>
    <row r="38" spans="1:8" ht="31.5" customHeight="1" x14ac:dyDescent="0.25">
      <c r="A38" s="35" t="s">
        <v>106</v>
      </c>
      <c r="B38" s="71"/>
      <c r="C38" s="36" t="s">
        <v>68</v>
      </c>
      <c r="D38" s="185">
        <f>10*I7</f>
        <v>10.8</v>
      </c>
      <c r="E38" s="71" t="s">
        <v>67</v>
      </c>
      <c r="F38" s="135">
        <f>D38*2*354</f>
        <v>7646.4000000000005</v>
      </c>
    </row>
    <row r="39" spans="1:8" ht="191.25" customHeight="1" x14ac:dyDescent="0.25">
      <c r="A39" s="35" t="s">
        <v>106</v>
      </c>
      <c r="B39" s="71"/>
      <c r="C39" s="36" t="s">
        <v>69</v>
      </c>
      <c r="D39" s="185">
        <f>35*I7</f>
        <v>37.800000000000004</v>
      </c>
      <c r="E39" s="71" t="s">
        <v>57</v>
      </c>
      <c r="F39" s="135">
        <f>D39*51</f>
        <v>1927.8000000000002</v>
      </c>
    </row>
    <row r="40" spans="1:8" ht="16.5" customHeight="1" thickBot="1" x14ac:dyDescent="0.3">
      <c r="A40" s="44" t="s">
        <v>106</v>
      </c>
      <c r="B40" s="72"/>
      <c r="C40" s="45" t="s">
        <v>26</v>
      </c>
      <c r="D40" s="186">
        <f>150*I7</f>
        <v>162</v>
      </c>
      <c r="E40" s="72" t="s">
        <v>70</v>
      </c>
      <c r="F40" s="136">
        <f>D40*2*12</f>
        <v>3888</v>
      </c>
    </row>
    <row r="41" spans="1:8" ht="194.45" customHeight="1" thickBot="1" x14ac:dyDescent="0.3">
      <c r="A41" s="53" t="s">
        <v>107</v>
      </c>
      <c r="B41" s="73">
        <v>295.70999999999998</v>
      </c>
      <c r="C41" s="54" t="s">
        <v>71</v>
      </c>
      <c r="D41" s="187">
        <f>350*I7</f>
        <v>378</v>
      </c>
      <c r="E41" s="73" t="s">
        <v>53</v>
      </c>
      <c r="F41" s="137">
        <f>D41*354</f>
        <v>133812</v>
      </c>
    </row>
    <row r="42" spans="1:8" ht="77.25" customHeight="1" x14ac:dyDescent="0.25">
      <c r="A42" s="26" t="s">
        <v>27</v>
      </c>
      <c r="B42" s="67"/>
      <c r="C42" s="27" t="s">
        <v>73</v>
      </c>
      <c r="D42" s="181">
        <f>35*I7</f>
        <v>37.800000000000004</v>
      </c>
      <c r="E42" s="67" t="s">
        <v>72</v>
      </c>
      <c r="F42" s="131">
        <f>D42*2*51</f>
        <v>3855.6000000000004</v>
      </c>
    </row>
    <row r="43" spans="1:8" ht="41.25" customHeight="1" thickBot="1" x14ac:dyDescent="0.3">
      <c r="A43" s="28" t="s">
        <v>27</v>
      </c>
      <c r="B43" s="69"/>
      <c r="C43" s="29" t="s">
        <v>58</v>
      </c>
      <c r="D43" s="183">
        <f>55*I7</f>
        <v>59.400000000000006</v>
      </c>
      <c r="E43" s="69" t="s">
        <v>57</v>
      </c>
      <c r="F43" s="133">
        <f>D43*51</f>
        <v>3029.4</v>
      </c>
    </row>
    <row r="44" spans="1:8" ht="26.25" thickBot="1" x14ac:dyDescent="0.3">
      <c r="A44" s="6" t="s">
        <v>27</v>
      </c>
      <c r="B44" s="68"/>
      <c r="C44" s="150" t="s">
        <v>267</v>
      </c>
      <c r="D44" s="182">
        <f>55*I7</f>
        <v>59.400000000000006</v>
      </c>
      <c r="E44" s="68" t="s">
        <v>59</v>
      </c>
      <c r="F44" s="132">
        <f>D44*12</f>
        <v>712.80000000000007</v>
      </c>
    </row>
    <row r="45" spans="1:8" ht="170.25" customHeight="1" x14ac:dyDescent="0.25">
      <c r="A45" s="32" t="s">
        <v>28</v>
      </c>
      <c r="B45" s="67">
        <v>54.92</v>
      </c>
      <c r="C45" s="27" t="s">
        <v>62</v>
      </c>
      <c r="D45" s="181">
        <f>85*I7</f>
        <v>91.800000000000011</v>
      </c>
      <c r="E45" s="67" t="s">
        <v>53</v>
      </c>
      <c r="F45" s="131">
        <f>D45*354</f>
        <v>32497.200000000004</v>
      </c>
    </row>
    <row r="46" spans="1:8" ht="31.5" customHeight="1" x14ac:dyDescent="0.25">
      <c r="A46" s="5" t="s">
        <v>29</v>
      </c>
      <c r="B46" s="74"/>
      <c r="C46" s="31" t="s">
        <v>63</v>
      </c>
      <c r="D46" s="182">
        <f>55*I7</f>
        <v>59.400000000000006</v>
      </c>
      <c r="E46" s="68" t="s">
        <v>57</v>
      </c>
      <c r="F46" s="132">
        <f>D46*51</f>
        <v>3029.4</v>
      </c>
    </row>
    <row r="47" spans="1:8" ht="24.95" customHeight="1" thickBot="1" x14ac:dyDescent="0.3">
      <c r="A47" s="33" t="s">
        <v>29</v>
      </c>
      <c r="B47" s="75"/>
      <c r="C47" s="34" t="s">
        <v>64</v>
      </c>
      <c r="D47" s="183">
        <f>250*I7</f>
        <v>270</v>
      </c>
      <c r="E47" s="69" t="s">
        <v>59</v>
      </c>
      <c r="F47" s="133">
        <f>D47*12</f>
        <v>3240</v>
      </c>
    </row>
    <row r="48" spans="1:8" ht="29.25" customHeight="1" thickBot="1" x14ac:dyDescent="0.3">
      <c r="A48" s="47" t="s">
        <v>108</v>
      </c>
      <c r="B48" s="76">
        <v>68.959999999999994</v>
      </c>
      <c r="C48" s="48" t="s">
        <v>14</v>
      </c>
      <c r="D48" s="187">
        <f>50*I7</f>
        <v>54</v>
      </c>
      <c r="E48" s="77" t="s">
        <v>65</v>
      </c>
      <c r="F48" s="137">
        <f>D48*29</f>
        <v>1566</v>
      </c>
    </row>
    <row r="49" spans="1:6" ht="170.25" customHeight="1" x14ac:dyDescent="0.25">
      <c r="A49" s="32" t="s">
        <v>109</v>
      </c>
      <c r="B49" s="67">
        <v>139.54</v>
      </c>
      <c r="C49" s="43" t="s">
        <v>75</v>
      </c>
      <c r="D49" s="181">
        <f>140*I7</f>
        <v>151.20000000000002</v>
      </c>
      <c r="E49" s="67" t="s">
        <v>74</v>
      </c>
      <c r="F49" s="131">
        <f>D49*354</f>
        <v>53524.800000000003</v>
      </c>
    </row>
    <row r="50" spans="1:6" ht="30.75" customHeight="1" x14ac:dyDescent="0.25">
      <c r="A50" s="35" t="s">
        <v>109</v>
      </c>
      <c r="B50" s="71"/>
      <c r="C50" s="36" t="s">
        <v>68</v>
      </c>
      <c r="D50" s="185">
        <f>35*I7</f>
        <v>37.800000000000004</v>
      </c>
      <c r="E50" s="71" t="s">
        <v>67</v>
      </c>
      <c r="F50" s="135">
        <f>D50*2*354</f>
        <v>26762.400000000001</v>
      </c>
    </row>
    <row r="51" spans="1:6" ht="178.5" x14ac:dyDescent="0.25">
      <c r="A51" s="35" t="s">
        <v>109</v>
      </c>
      <c r="B51" s="68"/>
      <c r="C51" s="36" t="s">
        <v>77</v>
      </c>
      <c r="D51" s="182">
        <f>135*I7</f>
        <v>145.80000000000001</v>
      </c>
      <c r="E51" s="68" t="s">
        <v>57</v>
      </c>
      <c r="F51" s="132">
        <f>D51*51</f>
        <v>7435.8</v>
      </c>
    </row>
    <row r="52" spans="1:6" ht="15.75" thickBot="1" x14ac:dyDescent="0.3">
      <c r="A52" s="44" t="s">
        <v>109</v>
      </c>
      <c r="B52" s="69"/>
      <c r="C52" s="49" t="s">
        <v>76</v>
      </c>
      <c r="D52" s="183">
        <f>140*I7</f>
        <v>151.20000000000002</v>
      </c>
      <c r="E52" s="69" t="s">
        <v>70</v>
      </c>
      <c r="F52" s="133">
        <f>D52*2*12</f>
        <v>3628.8</v>
      </c>
    </row>
    <row r="53" spans="1:6" ht="184.5" customHeight="1" x14ac:dyDescent="0.25">
      <c r="A53" s="46" t="s">
        <v>110</v>
      </c>
      <c r="B53" s="67">
        <v>295.70999999999998</v>
      </c>
      <c r="C53" s="27" t="s">
        <v>188</v>
      </c>
      <c r="D53" s="181">
        <f>350*I7</f>
        <v>378</v>
      </c>
      <c r="E53" s="67" t="s">
        <v>53</v>
      </c>
      <c r="F53" s="131">
        <f>D53*354</f>
        <v>133812</v>
      </c>
    </row>
    <row r="54" spans="1:6" ht="63.75" x14ac:dyDescent="0.25">
      <c r="A54" s="6" t="s">
        <v>30</v>
      </c>
      <c r="B54" s="68"/>
      <c r="C54" s="8" t="s">
        <v>189</v>
      </c>
      <c r="D54" s="182">
        <f>35*I7</f>
        <v>37.800000000000004</v>
      </c>
      <c r="E54" s="68" t="s">
        <v>54</v>
      </c>
      <c r="F54" s="132">
        <f>D54*2*51</f>
        <v>3855.6000000000004</v>
      </c>
    </row>
    <row r="55" spans="1:6" ht="38.25" x14ac:dyDescent="0.25">
      <c r="A55" s="6" t="s">
        <v>30</v>
      </c>
      <c r="B55" s="68"/>
      <c r="C55" s="8" t="s">
        <v>58</v>
      </c>
      <c r="D55" s="182">
        <f>55*I7</f>
        <v>59.400000000000006</v>
      </c>
      <c r="E55" s="68" t="s">
        <v>57</v>
      </c>
      <c r="F55" s="132">
        <f>D55*51</f>
        <v>3029.4</v>
      </c>
    </row>
    <row r="56" spans="1:6" ht="26.25" thickBot="1" x14ac:dyDescent="0.3">
      <c r="A56" s="28" t="s">
        <v>30</v>
      </c>
      <c r="B56" s="69"/>
      <c r="C56" s="172" t="s">
        <v>267</v>
      </c>
      <c r="D56" s="183">
        <f>55*I7</f>
        <v>59.400000000000006</v>
      </c>
      <c r="E56" s="69" t="s">
        <v>59</v>
      </c>
      <c r="F56" s="133">
        <f>D56*12</f>
        <v>712.80000000000007</v>
      </c>
    </row>
    <row r="57" spans="1:6" ht="204" x14ac:dyDescent="0.25">
      <c r="A57" s="41" t="s">
        <v>111</v>
      </c>
      <c r="B57" s="71">
        <v>54.4</v>
      </c>
      <c r="C57" s="42" t="s">
        <v>78</v>
      </c>
      <c r="D57" s="185">
        <f>85*I7</f>
        <v>91.800000000000011</v>
      </c>
      <c r="E57" s="71" t="s">
        <v>53</v>
      </c>
      <c r="F57" s="135">
        <f>D57*354</f>
        <v>32497.200000000004</v>
      </c>
    </row>
    <row r="58" spans="1:6" ht="24.95" customHeight="1" x14ac:dyDescent="0.25">
      <c r="A58" s="5" t="s">
        <v>31</v>
      </c>
      <c r="B58" s="74"/>
      <c r="C58" s="31" t="s">
        <v>63</v>
      </c>
      <c r="D58" s="182">
        <f>55*I7</f>
        <v>59.400000000000006</v>
      </c>
      <c r="E58" s="68" t="s">
        <v>57</v>
      </c>
      <c r="F58" s="132">
        <f>D58*51</f>
        <v>3029.4</v>
      </c>
    </row>
    <row r="59" spans="1:6" ht="24.95" customHeight="1" thickBot="1" x14ac:dyDescent="0.3">
      <c r="A59" s="33" t="s">
        <v>31</v>
      </c>
      <c r="B59" s="75"/>
      <c r="C59" s="34" t="s">
        <v>64</v>
      </c>
      <c r="D59" s="183">
        <f>250*I7</f>
        <v>270</v>
      </c>
      <c r="E59" s="69" t="s">
        <v>59</v>
      </c>
      <c r="F59" s="133">
        <f>D59*12</f>
        <v>3240</v>
      </c>
    </row>
    <row r="60" spans="1:6" ht="47.25" customHeight="1" thickBot="1" x14ac:dyDescent="0.3">
      <c r="A60" s="78" t="s">
        <v>112</v>
      </c>
      <c r="B60" s="79">
        <v>68.959999999999994</v>
      </c>
      <c r="C60" s="38" t="s">
        <v>14</v>
      </c>
      <c r="D60" s="184">
        <f>50*I7</f>
        <v>54</v>
      </c>
      <c r="E60" s="77" t="s">
        <v>65</v>
      </c>
      <c r="F60" s="134">
        <f>D60*29</f>
        <v>1566</v>
      </c>
    </row>
    <row r="61" spans="1:6" ht="194.25" customHeight="1" x14ac:dyDescent="0.25">
      <c r="A61" s="35" t="s">
        <v>113</v>
      </c>
      <c r="B61" s="71">
        <v>138.38</v>
      </c>
      <c r="C61" s="36" t="s">
        <v>80</v>
      </c>
      <c r="D61" s="185">
        <f>140*I7</f>
        <v>151.20000000000002</v>
      </c>
      <c r="E61" s="71" t="s">
        <v>53</v>
      </c>
      <c r="F61" s="135">
        <f>D61*354</f>
        <v>53524.800000000003</v>
      </c>
    </row>
    <row r="62" spans="1:6" ht="32.25" customHeight="1" x14ac:dyDescent="0.25">
      <c r="A62" s="35" t="s">
        <v>113</v>
      </c>
      <c r="B62" s="71"/>
      <c r="C62" s="36" t="s">
        <v>79</v>
      </c>
      <c r="D62" s="185">
        <f>35*I7</f>
        <v>37.800000000000004</v>
      </c>
      <c r="E62" s="71" t="s">
        <v>67</v>
      </c>
      <c r="F62" s="135">
        <f>D62*2*354</f>
        <v>26762.400000000001</v>
      </c>
    </row>
    <row r="63" spans="1:6" ht="181.5" customHeight="1" x14ac:dyDescent="0.25">
      <c r="A63" s="35" t="s">
        <v>113</v>
      </c>
      <c r="B63" s="71"/>
      <c r="C63" s="36" t="s">
        <v>77</v>
      </c>
      <c r="D63" s="185">
        <f>135*I7</f>
        <v>145.80000000000001</v>
      </c>
      <c r="E63" s="71" t="s">
        <v>57</v>
      </c>
      <c r="F63" s="135">
        <f>D63*51</f>
        <v>7435.8</v>
      </c>
    </row>
    <row r="64" spans="1:6" ht="24.95" customHeight="1" thickBot="1" x14ac:dyDescent="0.3">
      <c r="A64" s="44" t="s">
        <v>113</v>
      </c>
      <c r="B64" s="69"/>
      <c r="C64" s="50" t="s">
        <v>76</v>
      </c>
      <c r="D64" s="183">
        <f>140*I7</f>
        <v>151.20000000000002</v>
      </c>
      <c r="E64" s="69" t="s">
        <v>70</v>
      </c>
      <c r="F64" s="133">
        <f>D64*2*12</f>
        <v>3628.8</v>
      </c>
    </row>
    <row r="65" spans="1:6" ht="116.25" customHeight="1" x14ac:dyDescent="0.25">
      <c r="A65" s="46" t="s">
        <v>268</v>
      </c>
      <c r="B65" s="67">
        <f>61.61+61.61+59.07</f>
        <v>182.29</v>
      </c>
      <c r="C65" s="43" t="s">
        <v>81</v>
      </c>
      <c r="D65" s="181">
        <f>200*I7</f>
        <v>216</v>
      </c>
      <c r="E65" s="67" t="s">
        <v>53</v>
      </c>
      <c r="F65" s="131">
        <f>D65*354</f>
        <v>76464</v>
      </c>
    </row>
    <row r="66" spans="1:6" ht="36.75" customHeight="1" thickBot="1" x14ac:dyDescent="0.3">
      <c r="A66" s="55" t="s">
        <v>269</v>
      </c>
      <c r="B66" s="72"/>
      <c r="C66" s="56" t="s">
        <v>82</v>
      </c>
      <c r="D66" s="186">
        <f>35*I7</f>
        <v>37.800000000000004</v>
      </c>
      <c r="E66" s="72" t="s">
        <v>57</v>
      </c>
      <c r="F66" s="136">
        <f>D66*51</f>
        <v>1927.8000000000002</v>
      </c>
    </row>
    <row r="67" spans="1:6" ht="186.75" customHeight="1" x14ac:dyDescent="0.25">
      <c r="A67" s="35" t="s">
        <v>114</v>
      </c>
      <c r="B67" s="71">
        <v>85.66</v>
      </c>
      <c r="C67" s="51" t="s">
        <v>83</v>
      </c>
      <c r="D67" s="185">
        <f>100*I7</f>
        <v>108</v>
      </c>
      <c r="E67" s="71" t="s">
        <v>53</v>
      </c>
      <c r="F67" s="135">
        <f>D67*354</f>
        <v>38232</v>
      </c>
    </row>
    <row r="68" spans="1:6" ht="71.25" customHeight="1" x14ac:dyDescent="0.25">
      <c r="A68" s="6" t="s">
        <v>32</v>
      </c>
      <c r="B68" s="71"/>
      <c r="C68" s="52" t="s">
        <v>84</v>
      </c>
      <c r="D68" s="185">
        <f>35*I7</f>
        <v>37.800000000000004</v>
      </c>
      <c r="E68" s="71" t="s">
        <v>54</v>
      </c>
      <c r="F68" s="135">
        <f>D68*2*51</f>
        <v>3855.6000000000004</v>
      </c>
    </row>
    <row r="69" spans="1:6" ht="38.25" customHeight="1" x14ac:dyDescent="0.25">
      <c r="A69" s="6" t="s">
        <v>32</v>
      </c>
      <c r="B69" s="71"/>
      <c r="C69" s="52" t="s">
        <v>85</v>
      </c>
      <c r="D69" s="185">
        <f>55*I7</f>
        <v>59.400000000000006</v>
      </c>
      <c r="E69" s="71" t="s">
        <v>57</v>
      </c>
      <c r="F69" s="135">
        <f>D69*51</f>
        <v>3029.4</v>
      </c>
    </row>
    <row r="70" spans="1:6" ht="27" customHeight="1" thickBot="1" x14ac:dyDescent="0.3">
      <c r="A70" s="57" t="s">
        <v>32</v>
      </c>
      <c r="B70" s="73"/>
      <c r="C70" s="150" t="s">
        <v>267</v>
      </c>
      <c r="D70" s="187">
        <f>55*I7</f>
        <v>59.400000000000006</v>
      </c>
      <c r="E70" s="73" t="s">
        <v>59</v>
      </c>
      <c r="F70" s="137">
        <f>D70*12</f>
        <v>712.80000000000007</v>
      </c>
    </row>
    <row r="71" spans="1:6" ht="157.5" customHeight="1" x14ac:dyDescent="0.25">
      <c r="A71" s="46" t="s">
        <v>115</v>
      </c>
      <c r="B71" s="67">
        <v>13.64</v>
      </c>
      <c r="C71" s="27" t="s">
        <v>86</v>
      </c>
      <c r="D71" s="181">
        <f>22*I7</f>
        <v>23.76</v>
      </c>
      <c r="E71" s="67" t="s">
        <v>53</v>
      </c>
      <c r="F71" s="131">
        <f>D71*354</f>
        <v>8411.0400000000009</v>
      </c>
    </row>
    <row r="72" spans="1:6" ht="31.5" customHeight="1" x14ac:dyDescent="0.25">
      <c r="A72" s="5" t="s">
        <v>33</v>
      </c>
      <c r="B72" s="68"/>
      <c r="C72" s="8" t="s">
        <v>63</v>
      </c>
      <c r="D72" s="182">
        <f>55*I7</f>
        <v>59.400000000000006</v>
      </c>
      <c r="E72" s="68" t="s">
        <v>57</v>
      </c>
      <c r="F72" s="132">
        <f>D72*51</f>
        <v>3029.4</v>
      </c>
    </row>
    <row r="73" spans="1:6" ht="27" customHeight="1" thickBot="1" x14ac:dyDescent="0.3">
      <c r="A73" s="33" t="s">
        <v>33</v>
      </c>
      <c r="B73" s="69"/>
      <c r="C73" s="29" t="s">
        <v>64</v>
      </c>
      <c r="D73" s="183">
        <f>250*I7</f>
        <v>270</v>
      </c>
      <c r="E73" s="69" t="s">
        <v>59</v>
      </c>
      <c r="F73" s="133">
        <f>D73*12</f>
        <v>3240</v>
      </c>
    </row>
    <row r="74" spans="1:6" ht="168" customHeight="1" x14ac:dyDescent="0.25">
      <c r="A74" s="46" t="s">
        <v>129</v>
      </c>
      <c r="B74" s="67">
        <v>286.48</v>
      </c>
      <c r="C74" s="27" t="s">
        <v>133</v>
      </c>
      <c r="D74" s="181">
        <f>340*I7</f>
        <v>367.20000000000005</v>
      </c>
      <c r="E74" s="67" t="s">
        <v>53</v>
      </c>
      <c r="F74" s="131">
        <f>D74*354</f>
        <v>129988.80000000002</v>
      </c>
    </row>
    <row r="75" spans="1:6" ht="63.75" x14ac:dyDescent="0.25">
      <c r="A75" s="6" t="s">
        <v>130</v>
      </c>
      <c r="B75" s="68"/>
      <c r="C75" s="8" t="s">
        <v>87</v>
      </c>
      <c r="D75" s="182">
        <f>35*I7</f>
        <v>37.800000000000004</v>
      </c>
      <c r="E75" s="68" t="s">
        <v>54</v>
      </c>
      <c r="F75" s="132">
        <f>D75*2*51</f>
        <v>3855.6000000000004</v>
      </c>
    </row>
    <row r="76" spans="1:6" ht="51" x14ac:dyDescent="0.25">
      <c r="A76" s="6" t="s">
        <v>130</v>
      </c>
      <c r="B76" s="68"/>
      <c r="C76" s="8" t="s">
        <v>88</v>
      </c>
      <c r="D76" s="182">
        <f>55*I7</f>
        <v>59.400000000000006</v>
      </c>
      <c r="E76" s="68" t="s">
        <v>57</v>
      </c>
      <c r="F76" s="132">
        <f>D76*51</f>
        <v>3029.4</v>
      </c>
    </row>
    <row r="77" spans="1:6" ht="26.25" thickBot="1" x14ac:dyDescent="0.3">
      <c r="A77" s="28" t="s">
        <v>130</v>
      </c>
      <c r="B77" s="69"/>
      <c r="C77" s="150" t="s">
        <v>267</v>
      </c>
      <c r="D77" s="183">
        <f>55*I7</f>
        <v>59.400000000000006</v>
      </c>
      <c r="E77" s="69" t="s">
        <v>59</v>
      </c>
      <c r="F77" s="133">
        <f>D77*12</f>
        <v>712.80000000000007</v>
      </c>
    </row>
    <row r="78" spans="1:6" ht="179.25" customHeight="1" x14ac:dyDescent="0.25">
      <c r="A78" s="26" t="s">
        <v>132</v>
      </c>
      <c r="B78" s="67">
        <v>39.29</v>
      </c>
      <c r="C78" s="27" t="s">
        <v>134</v>
      </c>
      <c r="D78" s="181">
        <f>60*I7</f>
        <v>64.800000000000011</v>
      </c>
      <c r="E78" s="67" t="s">
        <v>53</v>
      </c>
      <c r="F78" s="131">
        <f>D78*354</f>
        <v>22939.200000000004</v>
      </c>
    </row>
    <row r="79" spans="1:6" ht="25.5" x14ac:dyDescent="0.25">
      <c r="A79" s="5" t="s">
        <v>131</v>
      </c>
      <c r="B79" s="71"/>
      <c r="C79" s="42" t="s">
        <v>63</v>
      </c>
      <c r="D79" s="185">
        <f>55*I7</f>
        <v>59.400000000000006</v>
      </c>
      <c r="E79" s="71" t="s">
        <v>57</v>
      </c>
      <c r="F79" s="135">
        <f>D79*51</f>
        <v>3029.4</v>
      </c>
    </row>
    <row r="80" spans="1:6" ht="15.75" thickBot="1" x14ac:dyDescent="0.3">
      <c r="A80" s="33" t="s">
        <v>131</v>
      </c>
      <c r="B80" s="72"/>
      <c r="C80" s="59" t="s">
        <v>64</v>
      </c>
      <c r="D80" s="186">
        <f>250*I7</f>
        <v>270</v>
      </c>
      <c r="E80" s="72" t="s">
        <v>59</v>
      </c>
      <c r="F80" s="136">
        <f>D80*12</f>
        <v>3240</v>
      </c>
    </row>
    <row r="81" spans="1:6" ht="126" customHeight="1" x14ac:dyDescent="0.25">
      <c r="A81" s="60" t="s">
        <v>34</v>
      </c>
      <c r="B81" s="67">
        <v>117.34</v>
      </c>
      <c r="C81" s="43" t="s">
        <v>89</v>
      </c>
      <c r="D81" s="181">
        <f>140*I7</f>
        <v>151.20000000000002</v>
      </c>
      <c r="E81" s="67" t="s">
        <v>53</v>
      </c>
      <c r="F81" s="131">
        <f>D81*354</f>
        <v>53524.800000000003</v>
      </c>
    </row>
    <row r="82" spans="1:6" ht="28.5" customHeight="1" x14ac:dyDescent="0.25">
      <c r="A82" s="151" t="s">
        <v>34</v>
      </c>
      <c r="B82" s="68"/>
      <c r="C82" s="150" t="s">
        <v>60</v>
      </c>
      <c r="D82" s="182">
        <f>35*I7</f>
        <v>37.800000000000004</v>
      </c>
      <c r="E82" s="68" t="s">
        <v>67</v>
      </c>
      <c r="F82" s="132">
        <f>D82*2*354</f>
        <v>26762.400000000001</v>
      </c>
    </row>
    <row r="83" spans="1:6" ht="172.9" customHeight="1" x14ac:dyDescent="0.25">
      <c r="A83" s="58" t="s">
        <v>34</v>
      </c>
      <c r="B83" s="71"/>
      <c r="C83" s="36" t="s">
        <v>90</v>
      </c>
      <c r="D83" s="185">
        <f>135*I7</f>
        <v>145.80000000000001</v>
      </c>
      <c r="E83" s="71" t="s">
        <v>57</v>
      </c>
      <c r="F83" s="135">
        <f>D83*51</f>
        <v>7435.8</v>
      </c>
    </row>
    <row r="84" spans="1:6" ht="15.75" thickBot="1" x14ac:dyDescent="0.3">
      <c r="A84" s="44" t="s">
        <v>34</v>
      </c>
      <c r="B84" s="69"/>
      <c r="C84" s="50" t="s">
        <v>76</v>
      </c>
      <c r="D84" s="183">
        <f>150*I7</f>
        <v>162</v>
      </c>
      <c r="E84" s="69" t="s">
        <v>70</v>
      </c>
      <c r="F84" s="133">
        <f>D84*2*12</f>
        <v>3888</v>
      </c>
    </row>
    <row r="85" spans="1:6" ht="182.25" customHeight="1" x14ac:dyDescent="0.25">
      <c r="A85" s="46" t="s">
        <v>13</v>
      </c>
      <c r="B85" s="67">
        <v>304.22000000000003</v>
      </c>
      <c r="C85" s="27" t="s">
        <v>91</v>
      </c>
      <c r="D85" s="181">
        <f>360*I7</f>
        <v>388.8</v>
      </c>
      <c r="E85" s="67" t="s">
        <v>53</v>
      </c>
      <c r="F85" s="131">
        <f>D85*354</f>
        <v>137635.20000000001</v>
      </c>
    </row>
    <row r="86" spans="1:6" ht="63.75" x14ac:dyDescent="0.25">
      <c r="A86" s="6" t="s">
        <v>35</v>
      </c>
      <c r="B86" s="71"/>
      <c r="C86" s="42" t="s">
        <v>92</v>
      </c>
      <c r="D86" s="185">
        <f>35*I7</f>
        <v>37.800000000000004</v>
      </c>
      <c r="E86" s="71" t="s">
        <v>54</v>
      </c>
      <c r="F86" s="135">
        <f>D86*2*51</f>
        <v>3855.6000000000004</v>
      </c>
    </row>
    <row r="87" spans="1:6" ht="51" x14ac:dyDescent="0.25">
      <c r="A87" s="6" t="s">
        <v>35</v>
      </c>
      <c r="B87" s="71"/>
      <c r="C87" s="42" t="s">
        <v>93</v>
      </c>
      <c r="D87" s="185">
        <f>55*I7</f>
        <v>59.400000000000006</v>
      </c>
      <c r="E87" s="71" t="s">
        <v>57</v>
      </c>
      <c r="F87" s="135">
        <f>D87*51</f>
        <v>3029.4</v>
      </c>
    </row>
    <row r="88" spans="1:6" ht="26.25" thickBot="1" x14ac:dyDescent="0.3">
      <c r="A88" s="28" t="s">
        <v>35</v>
      </c>
      <c r="B88" s="72"/>
      <c r="C88" s="150" t="s">
        <v>267</v>
      </c>
      <c r="D88" s="186">
        <f>55*I7</f>
        <v>59.400000000000006</v>
      </c>
      <c r="E88" s="72" t="s">
        <v>59</v>
      </c>
      <c r="F88" s="136">
        <f>D88*12</f>
        <v>712.80000000000007</v>
      </c>
    </row>
    <row r="89" spans="1:6" ht="168" customHeight="1" x14ac:dyDescent="0.25">
      <c r="A89" s="46" t="s">
        <v>116</v>
      </c>
      <c r="B89" s="67">
        <v>39.24</v>
      </c>
      <c r="C89" s="27" t="s">
        <v>94</v>
      </c>
      <c r="D89" s="181">
        <f>60*I7</f>
        <v>64.800000000000011</v>
      </c>
      <c r="E89" s="67" t="s">
        <v>53</v>
      </c>
      <c r="F89" s="131">
        <f>D89*354</f>
        <v>22939.200000000004</v>
      </c>
    </row>
    <row r="90" spans="1:6" ht="24.95" customHeight="1" x14ac:dyDescent="0.25">
      <c r="A90" s="5" t="s">
        <v>36</v>
      </c>
      <c r="B90" s="71"/>
      <c r="C90" s="42" t="s">
        <v>63</v>
      </c>
      <c r="D90" s="185">
        <f>55*I7</f>
        <v>59.400000000000006</v>
      </c>
      <c r="E90" s="71" t="s">
        <v>57</v>
      </c>
      <c r="F90" s="135">
        <f>D90*51</f>
        <v>3029.4</v>
      </c>
    </row>
    <row r="91" spans="1:6" ht="24.95" customHeight="1" thickBot="1" x14ac:dyDescent="0.3">
      <c r="A91" s="33" t="s">
        <v>36</v>
      </c>
      <c r="B91" s="72"/>
      <c r="C91" s="56" t="s">
        <v>64</v>
      </c>
      <c r="D91" s="186">
        <f>250*I7</f>
        <v>270</v>
      </c>
      <c r="E91" s="72" t="s">
        <v>59</v>
      </c>
      <c r="F91" s="136">
        <f>D91*12</f>
        <v>3240</v>
      </c>
    </row>
    <row r="92" spans="1:6" ht="130.5" customHeight="1" x14ac:dyDescent="0.25">
      <c r="A92" s="60" t="s">
        <v>37</v>
      </c>
      <c r="B92" s="67">
        <v>139.54</v>
      </c>
      <c r="C92" s="43" t="s">
        <v>96</v>
      </c>
      <c r="D92" s="181">
        <f>150*I7</f>
        <v>162</v>
      </c>
      <c r="E92" s="67" t="s">
        <v>53</v>
      </c>
      <c r="F92" s="131">
        <f>D92*354</f>
        <v>57348</v>
      </c>
    </row>
    <row r="93" spans="1:6" ht="34.5" customHeight="1" x14ac:dyDescent="0.25">
      <c r="A93" s="58" t="s">
        <v>37</v>
      </c>
      <c r="B93" s="71"/>
      <c r="C93" s="36" t="s">
        <v>95</v>
      </c>
      <c r="D93" s="185">
        <f>35*I7</f>
        <v>37.800000000000004</v>
      </c>
      <c r="E93" s="71" t="s">
        <v>67</v>
      </c>
      <c r="F93" s="135">
        <f>D93*2*354</f>
        <v>26762.400000000001</v>
      </c>
    </row>
    <row r="94" spans="1:6" ht="139.9" customHeight="1" x14ac:dyDescent="0.25">
      <c r="A94" s="58" t="s">
        <v>37</v>
      </c>
      <c r="B94" s="71"/>
      <c r="C94" s="36" t="s">
        <v>97</v>
      </c>
      <c r="D94" s="185">
        <f>150*I7</f>
        <v>162</v>
      </c>
      <c r="E94" s="71" t="s">
        <v>57</v>
      </c>
      <c r="F94" s="135">
        <f>D94*51</f>
        <v>8262</v>
      </c>
    </row>
    <row r="95" spans="1:6" ht="15.75" thickBot="1" x14ac:dyDescent="0.3">
      <c r="A95" s="44" t="s">
        <v>37</v>
      </c>
      <c r="B95" s="69"/>
      <c r="C95" s="50" t="s">
        <v>76</v>
      </c>
      <c r="D95" s="183">
        <f>160*I7</f>
        <v>172.8</v>
      </c>
      <c r="E95" s="69" t="s">
        <v>70</v>
      </c>
      <c r="F95" s="133">
        <f>D95*2*12</f>
        <v>4147.2000000000007</v>
      </c>
    </row>
    <row r="96" spans="1:6" ht="180" customHeight="1" x14ac:dyDescent="0.25">
      <c r="A96" s="32" t="s">
        <v>117</v>
      </c>
      <c r="B96" s="67">
        <v>309.99</v>
      </c>
      <c r="C96" s="27" t="s">
        <v>98</v>
      </c>
      <c r="D96" s="181">
        <f>360*I7</f>
        <v>388.8</v>
      </c>
      <c r="E96" s="67" t="s">
        <v>53</v>
      </c>
      <c r="F96" s="131">
        <f>D96*354</f>
        <v>137635.20000000001</v>
      </c>
    </row>
    <row r="97" spans="1:6" ht="82.15" customHeight="1" x14ac:dyDescent="0.25">
      <c r="A97" s="6" t="s">
        <v>38</v>
      </c>
      <c r="B97" s="71"/>
      <c r="C97" s="42" t="s">
        <v>99</v>
      </c>
      <c r="D97" s="185">
        <f>35*I7</f>
        <v>37.800000000000004</v>
      </c>
      <c r="E97" s="71" t="s">
        <v>54</v>
      </c>
      <c r="F97" s="135">
        <f>D97*2*51</f>
        <v>3855.6000000000004</v>
      </c>
    </row>
    <row r="98" spans="1:6" ht="50.25" customHeight="1" x14ac:dyDescent="0.25">
      <c r="A98" s="6" t="s">
        <v>38</v>
      </c>
      <c r="B98" s="71"/>
      <c r="C98" s="42" t="s">
        <v>100</v>
      </c>
      <c r="D98" s="185">
        <f>50*I7</f>
        <v>54</v>
      </c>
      <c r="E98" s="71" t="s">
        <v>57</v>
      </c>
      <c r="F98" s="135">
        <f>D98*51</f>
        <v>2754</v>
      </c>
    </row>
    <row r="99" spans="1:6" ht="27.75" customHeight="1" thickBot="1" x14ac:dyDescent="0.3">
      <c r="A99" s="28" t="s">
        <v>38</v>
      </c>
      <c r="B99" s="72"/>
      <c r="C99" s="150" t="s">
        <v>267</v>
      </c>
      <c r="D99" s="186">
        <f>50*I7</f>
        <v>54</v>
      </c>
      <c r="E99" s="72" t="s">
        <v>59</v>
      </c>
      <c r="F99" s="136">
        <f>D99*12</f>
        <v>648</v>
      </c>
    </row>
    <row r="100" spans="1:6" ht="157.5" customHeight="1" x14ac:dyDescent="0.25">
      <c r="A100" s="26" t="s">
        <v>118</v>
      </c>
      <c r="B100" s="67">
        <v>35.68</v>
      </c>
      <c r="C100" s="27" t="s">
        <v>101</v>
      </c>
      <c r="D100" s="181">
        <f>55*I7</f>
        <v>59.400000000000006</v>
      </c>
      <c r="E100" s="67" t="s">
        <v>53</v>
      </c>
      <c r="F100" s="131">
        <f>D100*354</f>
        <v>21027.600000000002</v>
      </c>
    </row>
    <row r="101" spans="1:6" ht="27" customHeight="1" x14ac:dyDescent="0.25">
      <c r="A101" s="5" t="s">
        <v>39</v>
      </c>
      <c r="B101" s="71"/>
      <c r="C101" s="42" t="s">
        <v>63</v>
      </c>
      <c r="D101" s="185">
        <f>50*I7</f>
        <v>54</v>
      </c>
      <c r="E101" s="71" t="s">
        <v>57</v>
      </c>
      <c r="F101" s="135">
        <f>D101*51</f>
        <v>2754</v>
      </c>
    </row>
    <row r="102" spans="1:6" ht="15.75" thickBot="1" x14ac:dyDescent="0.3">
      <c r="A102" s="33" t="s">
        <v>39</v>
      </c>
      <c r="B102" s="72"/>
      <c r="C102" s="59" t="s">
        <v>64</v>
      </c>
      <c r="D102" s="186">
        <f>250*I7</f>
        <v>270</v>
      </c>
      <c r="E102" s="72" t="s">
        <v>59</v>
      </c>
      <c r="F102" s="136">
        <f>D102*12</f>
        <v>3240</v>
      </c>
    </row>
    <row r="103" spans="1:6" ht="132.75" customHeight="1" x14ac:dyDescent="0.25">
      <c r="A103" s="32" t="s">
        <v>40</v>
      </c>
      <c r="B103" s="67">
        <v>126.77</v>
      </c>
      <c r="C103" s="43" t="s">
        <v>104</v>
      </c>
      <c r="D103" s="181">
        <f>150*I7</f>
        <v>162</v>
      </c>
      <c r="E103" s="67" t="s">
        <v>53</v>
      </c>
      <c r="F103" s="131">
        <f>D103*354</f>
        <v>57348</v>
      </c>
    </row>
    <row r="104" spans="1:6" ht="28.5" customHeight="1" x14ac:dyDescent="0.25">
      <c r="A104" s="5" t="s">
        <v>40</v>
      </c>
      <c r="B104" s="71"/>
      <c r="C104" s="36" t="s">
        <v>103</v>
      </c>
      <c r="D104" s="185">
        <f>35*I7</f>
        <v>37.800000000000004</v>
      </c>
      <c r="E104" s="71" t="s">
        <v>67</v>
      </c>
      <c r="F104" s="135">
        <f>D104*2*354</f>
        <v>26762.400000000001</v>
      </c>
    </row>
    <row r="105" spans="1:6" ht="108.75" customHeight="1" x14ac:dyDescent="0.25">
      <c r="A105" s="5" t="s">
        <v>40</v>
      </c>
      <c r="B105" s="68"/>
      <c r="C105" s="11" t="s">
        <v>102</v>
      </c>
      <c r="D105" s="182">
        <f>135*I7</f>
        <v>145.80000000000001</v>
      </c>
      <c r="E105" s="68" t="s">
        <v>57</v>
      </c>
      <c r="F105" s="132">
        <f>D105*51</f>
        <v>7435.8</v>
      </c>
    </row>
    <row r="106" spans="1:6" ht="15.75" thickBot="1" x14ac:dyDescent="0.3">
      <c r="A106" s="44" t="s">
        <v>40</v>
      </c>
      <c r="B106" s="69"/>
      <c r="C106" s="50" t="s">
        <v>76</v>
      </c>
      <c r="D106" s="183">
        <f>150*I7</f>
        <v>162</v>
      </c>
      <c r="E106" s="69" t="s">
        <v>70</v>
      </c>
      <c r="F106" s="133">
        <f>D106*2*12</f>
        <v>3888</v>
      </c>
    </row>
    <row r="107" spans="1:6" ht="136.9" customHeight="1" x14ac:dyDescent="0.25">
      <c r="A107" s="32" t="s">
        <v>119</v>
      </c>
      <c r="B107" s="67">
        <f>38.17+38+37.53</f>
        <v>113.7</v>
      </c>
      <c r="C107" s="27" t="s">
        <v>122</v>
      </c>
      <c r="D107" s="181">
        <f>70*I7</f>
        <v>75.600000000000009</v>
      </c>
      <c r="E107" s="67" t="s">
        <v>53</v>
      </c>
      <c r="F107" s="131">
        <f>D107*354</f>
        <v>26762.400000000001</v>
      </c>
    </row>
    <row r="108" spans="1:6" ht="28.5" customHeight="1" x14ac:dyDescent="0.25">
      <c r="A108" s="5" t="s">
        <v>41</v>
      </c>
      <c r="B108" s="68"/>
      <c r="C108" s="8" t="s">
        <v>120</v>
      </c>
      <c r="D108" s="182">
        <f>60*I7</f>
        <v>64.800000000000011</v>
      </c>
      <c r="E108" s="68" t="s">
        <v>54</v>
      </c>
      <c r="F108" s="132">
        <f>D108*2*51</f>
        <v>6609.6000000000013</v>
      </c>
    </row>
    <row r="109" spans="1:6" ht="24.95" customHeight="1" thickBot="1" x14ac:dyDescent="0.3">
      <c r="A109" s="33" t="s">
        <v>41</v>
      </c>
      <c r="B109" s="69"/>
      <c r="C109" s="29" t="s">
        <v>121</v>
      </c>
      <c r="D109" s="183">
        <f>20*I7</f>
        <v>21.6</v>
      </c>
      <c r="E109" s="69" t="s">
        <v>57</v>
      </c>
      <c r="F109" s="133">
        <f>D109*51</f>
        <v>1101.6000000000001</v>
      </c>
    </row>
    <row r="110" spans="1:6" ht="172.5" customHeight="1" x14ac:dyDescent="0.25">
      <c r="A110" s="46" t="s">
        <v>233</v>
      </c>
      <c r="B110" s="67">
        <v>227.48</v>
      </c>
      <c r="C110" s="27" t="s">
        <v>123</v>
      </c>
      <c r="D110" s="181">
        <f>235*I7</f>
        <v>253.8</v>
      </c>
      <c r="E110" s="67" t="s">
        <v>53</v>
      </c>
      <c r="F110" s="131">
        <f>D110*354</f>
        <v>89845.2</v>
      </c>
    </row>
    <row r="111" spans="1:6" ht="37.5" customHeight="1" thickBot="1" x14ac:dyDescent="0.3">
      <c r="A111" s="55" t="s">
        <v>42</v>
      </c>
      <c r="B111" s="72"/>
      <c r="C111" s="59" t="s">
        <v>124</v>
      </c>
      <c r="D111" s="186">
        <f>25*I7</f>
        <v>27</v>
      </c>
      <c r="E111" s="72" t="s">
        <v>57</v>
      </c>
      <c r="F111" s="136">
        <f>D111*51</f>
        <v>1377</v>
      </c>
    </row>
    <row r="112" spans="1:6" ht="39" customHeight="1" thickBot="1" x14ac:dyDescent="0.3">
      <c r="A112" s="55" t="s">
        <v>42</v>
      </c>
      <c r="B112" s="73"/>
      <c r="C112" s="150" t="s">
        <v>267</v>
      </c>
      <c r="D112" s="183">
        <f>200*I7</f>
        <v>216</v>
      </c>
      <c r="E112" s="69" t="s">
        <v>59</v>
      </c>
      <c r="F112" s="133">
        <f>D112*12</f>
        <v>2592</v>
      </c>
    </row>
    <row r="113" spans="1:6" ht="118.5" customHeight="1" x14ac:dyDescent="0.25">
      <c r="A113" s="60" t="s">
        <v>10</v>
      </c>
      <c r="B113" s="67">
        <f>21.59+29.14+22.18+29.14+22.34+29.14</f>
        <v>153.53</v>
      </c>
      <c r="C113" s="27" t="s">
        <v>125</v>
      </c>
      <c r="D113" s="181">
        <f>160*I7</f>
        <v>172.8</v>
      </c>
      <c r="E113" s="67" t="s">
        <v>53</v>
      </c>
      <c r="F113" s="131">
        <f>D113*354</f>
        <v>61171.200000000004</v>
      </c>
    </row>
    <row r="114" spans="1:6" ht="33" customHeight="1" thickBot="1" x14ac:dyDescent="0.3">
      <c r="A114" s="61" t="s">
        <v>235</v>
      </c>
      <c r="B114" s="72"/>
      <c r="C114" s="59" t="s">
        <v>126</v>
      </c>
      <c r="D114" s="186">
        <f>50*I7</f>
        <v>54</v>
      </c>
      <c r="E114" s="72" t="s">
        <v>57</v>
      </c>
      <c r="F114" s="136">
        <f>D114*51</f>
        <v>2754</v>
      </c>
    </row>
    <row r="115" spans="1:6" ht="119.25" customHeight="1" x14ac:dyDescent="0.25">
      <c r="A115" s="60" t="s">
        <v>234</v>
      </c>
      <c r="B115" s="67">
        <v>94.08</v>
      </c>
      <c r="C115" s="27" t="s">
        <v>127</v>
      </c>
      <c r="D115" s="181">
        <f>100*I7</f>
        <v>108</v>
      </c>
      <c r="E115" s="67" t="s">
        <v>53</v>
      </c>
      <c r="F115" s="131">
        <f>D115*354</f>
        <v>38232</v>
      </c>
    </row>
    <row r="116" spans="1:6" ht="39.6" customHeight="1" thickBot="1" x14ac:dyDescent="0.3">
      <c r="A116" s="61" t="s">
        <v>234</v>
      </c>
      <c r="B116" s="72"/>
      <c r="C116" s="59" t="s">
        <v>126</v>
      </c>
      <c r="D116" s="186">
        <f>50*I7</f>
        <v>54</v>
      </c>
      <c r="E116" s="72" t="s">
        <v>57</v>
      </c>
      <c r="F116" s="136">
        <f>D116*51</f>
        <v>2754</v>
      </c>
    </row>
    <row r="117" spans="1:6" ht="188.45" customHeight="1" x14ac:dyDescent="0.25">
      <c r="A117" s="26" t="s">
        <v>236</v>
      </c>
      <c r="B117" s="67">
        <v>55.1</v>
      </c>
      <c r="C117" s="27" t="s">
        <v>128</v>
      </c>
      <c r="D117" s="181">
        <f>50*I7</f>
        <v>54</v>
      </c>
      <c r="E117" s="67" t="s">
        <v>53</v>
      </c>
      <c r="F117" s="131">
        <f>D117*354</f>
        <v>19116</v>
      </c>
    </row>
    <row r="118" spans="1:6" ht="28.5" customHeight="1" x14ac:dyDescent="0.25">
      <c r="A118" s="6" t="s">
        <v>236</v>
      </c>
      <c r="B118" s="68"/>
      <c r="C118" s="8" t="s">
        <v>135</v>
      </c>
      <c r="D118" s="182">
        <f>20*I7</f>
        <v>21.6</v>
      </c>
      <c r="E118" s="68" t="s">
        <v>57</v>
      </c>
      <c r="F118" s="132">
        <f>D118*51</f>
        <v>1101.6000000000001</v>
      </c>
    </row>
    <row r="119" spans="1:6" ht="31.15" customHeight="1" thickBot="1" x14ac:dyDescent="0.3">
      <c r="A119" s="28" t="s">
        <v>236</v>
      </c>
      <c r="B119" s="69"/>
      <c r="C119" s="150" t="s">
        <v>267</v>
      </c>
      <c r="D119" s="183">
        <f>15*I7</f>
        <v>16.200000000000003</v>
      </c>
      <c r="E119" s="69" t="s">
        <v>59</v>
      </c>
      <c r="F119" s="133">
        <f>D119*12</f>
        <v>194.40000000000003</v>
      </c>
    </row>
    <row r="120" spans="1:6" ht="63.75" customHeight="1" x14ac:dyDescent="0.25">
      <c r="A120" s="26" t="s">
        <v>271</v>
      </c>
      <c r="B120" s="159">
        <f>9.15+9.05+21.59</f>
        <v>39.790000000000006</v>
      </c>
      <c r="C120" s="27" t="s">
        <v>128</v>
      </c>
      <c r="D120" s="181">
        <f>100*I7</f>
        <v>108</v>
      </c>
      <c r="E120" s="67" t="s">
        <v>53</v>
      </c>
      <c r="F120" s="131">
        <f>D120*354</f>
        <v>38232</v>
      </c>
    </row>
    <row r="121" spans="1:6" ht="31.15" customHeight="1" x14ac:dyDescent="0.25">
      <c r="A121" s="63" t="s">
        <v>271</v>
      </c>
      <c r="B121" s="68"/>
      <c r="C121" s="8" t="s">
        <v>135</v>
      </c>
      <c r="D121" s="182">
        <f>25*I7</f>
        <v>27</v>
      </c>
      <c r="E121" s="68" t="s">
        <v>57</v>
      </c>
      <c r="F121" s="132">
        <f>D121*51</f>
        <v>1377</v>
      </c>
    </row>
    <row r="122" spans="1:6" ht="31.15" customHeight="1" thickBot="1" x14ac:dyDescent="0.3">
      <c r="A122" s="62" t="s">
        <v>271</v>
      </c>
      <c r="B122" s="69"/>
      <c r="C122" s="153" t="s">
        <v>60</v>
      </c>
      <c r="D122" s="183">
        <f>200*I7</f>
        <v>216</v>
      </c>
      <c r="E122" s="69" t="s">
        <v>59</v>
      </c>
      <c r="F122" s="133">
        <f>D122*12</f>
        <v>2592</v>
      </c>
    </row>
    <row r="123" spans="1:6" ht="183.75" customHeight="1" x14ac:dyDescent="0.25">
      <c r="A123" s="26" t="s">
        <v>272</v>
      </c>
      <c r="B123" s="160">
        <f>16.84+11.19+18.19+11.19+17.96+11.19</f>
        <v>86.56</v>
      </c>
      <c r="C123" s="27" t="s">
        <v>128</v>
      </c>
      <c r="D123" s="181">
        <f>100*I7</f>
        <v>108</v>
      </c>
      <c r="E123" s="67" t="s">
        <v>53</v>
      </c>
      <c r="F123" s="131">
        <f>D123*354</f>
        <v>38232</v>
      </c>
    </row>
    <row r="124" spans="1:6" ht="31.15" customHeight="1" x14ac:dyDescent="0.25">
      <c r="A124" s="6" t="s">
        <v>272</v>
      </c>
      <c r="B124" s="68"/>
      <c r="C124" s="8" t="s">
        <v>135</v>
      </c>
      <c r="D124" s="182">
        <f>25*I7</f>
        <v>27</v>
      </c>
      <c r="E124" s="68" t="s">
        <v>57</v>
      </c>
      <c r="F124" s="132">
        <f>D124*51</f>
        <v>1377</v>
      </c>
    </row>
    <row r="125" spans="1:6" ht="31.15" customHeight="1" thickBot="1" x14ac:dyDescent="0.3">
      <c r="A125" s="152" t="s">
        <v>272</v>
      </c>
      <c r="B125" s="73"/>
      <c r="C125" s="154" t="s">
        <v>60</v>
      </c>
      <c r="D125" s="187">
        <f>200*I7</f>
        <v>216</v>
      </c>
      <c r="E125" s="73" t="s">
        <v>59</v>
      </c>
      <c r="F125" s="133">
        <f>D125*12</f>
        <v>2592</v>
      </c>
    </row>
    <row r="126" spans="1:6" ht="151.5" customHeight="1" thickBot="1" x14ac:dyDescent="0.3">
      <c r="A126" s="37" t="s">
        <v>278</v>
      </c>
      <c r="B126" s="158">
        <f>6.65+3.06+3.71+3.86+3.71+3.81+3.71</f>
        <v>28.51</v>
      </c>
      <c r="C126" s="64" t="s">
        <v>274</v>
      </c>
      <c r="D126" s="184">
        <f>30*I7</f>
        <v>32.400000000000006</v>
      </c>
      <c r="E126" s="70" t="s">
        <v>57</v>
      </c>
      <c r="F126" s="132">
        <f>D126*51</f>
        <v>1652.4000000000003</v>
      </c>
    </row>
    <row r="127" spans="1:6" ht="151.5" customHeight="1" thickBot="1" x14ac:dyDescent="0.3">
      <c r="A127" s="155" t="s">
        <v>275</v>
      </c>
      <c r="B127" s="157">
        <f>6.65+4.33+6.71+4.33+6.7+4.33</f>
        <v>33.050000000000004</v>
      </c>
      <c r="C127" s="64" t="s">
        <v>274</v>
      </c>
      <c r="D127" s="188">
        <f>35*I7</f>
        <v>37.800000000000004</v>
      </c>
      <c r="E127" s="70" t="s">
        <v>57</v>
      </c>
      <c r="F127" s="132">
        <f>D127*51</f>
        <v>1927.8000000000002</v>
      </c>
    </row>
    <row r="128" spans="1:6" ht="141" customHeight="1" x14ac:dyDescent="0.25">
      <c r="A128" s="26" t="s">
        <v>138</v>
      </c>
      <c r="B128" s="67">
        <v>379.98</v>
      </c>
      <c r="C128" s="43" t="s">
        <v>137</v>
      </c>
      <c r="D128" s="181">
        <f>350*I7</f>
        <v>378</v>
      </c>
      <c r="E128" s="67" t="s">
        <v>53</v>
      </c>
      <c r="F128" s="131">
        <f>D128*354</f>
        <v>133812</v>
      </c>
    </row>
    <row r="129" spans="1:6" ht="42" customHeight="1" x14ac:dyDescent="0.25">
      <c r="A129" s="6" t="s">
        <v>138</v>
      </c>
      <c r="B129" s="68"/>
      <c r="C129" s="11" t="s">
        <v>136</v>
      </c>
      <c r="D129" s="182">
        <f>25*I7</f>
        <v>27</v>
      </c>
      <c r="E129" s="68" t="s">
        <v>67</v>
      </c>
      <c r="F129" s="132">
        <f>D129*2*354</f>
        <v>19116</v>
      </c>
    </row>
    <row r="130" spans="1:6" ht="144" customHeight="1" thickBot="1" x14ac:dyDescent="0.3">
      <c r="A130" s="62" t="s">
        <v>138</v>
      </c>
      <c r="B130" s="72"/>
      <c r="C130" s="45" t="s">
        <v>139</v>
      </c>
      <c r="D130" s="186">
        <f>100*I7</f>
        <v>108</v>
      </c>
      <c r="E130" s="72" t="s">
        <v>57</v>
      </c>
      <c r="F130" s="136">
        <f>D130*51</f>
        <v>5508</v>
      </c>
    </row>
    <row r="131" spans="1:6" ht="161.25" customHeight="1" x14ac:dyDescent="0.25">
      <c r="A131" s="46" t="s">
        <v>140</v>
      </c>
      <c r="B131" s="67">
        <v>183.98</v>
      </c>
      <c r="C131" s="27" t="s">
        <v>141</v>
      </c>
      <c r="D131" s="181">
        <f>200*I7</f>
        <v>216</v>
      </c>
      <c r="E131" s="67" t="s">
        <v>53</v>
      </c>
      <c r="F131" s="131">
        <f>D131*354</f>
        <v>76464</v>
      </c>
    </row>
    <row r="132" spans="1:6" ht="44.25" customHeight="1" x14ac:dyDescent="0.25">
      <c r="A132" s="41" t="s">
        <v>140</v>
      </c>
      <c r="B132" s="71"/>
      <c r="C132" s="42" t="s">
        <v>142</v>
      </c>
      <c r="D132" s="185">
        <f>20*I7</f>
        <v>21.6</v>
      </c>
      <c r="E132" s="71" t="s">
        <v>57</v>
      </c>
      <c r="F132" s="135">
        <f>D132*51</f>
        <v>1101.6000000000001</v>
      </c>
    </row>
    <row r="133" spans="1:6" ht="18.75" customHeight="1" thickBot="1" x14ac:dyDescent="0.3">
      <c r="A133" s="55" t="s">
        <v>140</v>
      </c>
      <c r="B133" s="72"/>
      <c r="C133" s="59" t="s">
        <v>143</v>
      </c>
      <c r="D133" s="186">
        <f>150*I7</f>
        <v>162</v>
      </c>
      <c r="E133" s="72" t="s">
        <v>59</v>
      </c>
      <c r="F133" s="136">
        <f>D133*12</f>
        <v>1944</v>
      </c>
    </row>
    <row r="134" spans="1:6" ht="128.25" customHeight="1" x14ac:dyDescent="0.25">
      <c r="A134" s="46" t="s">
        <v>144</v>
      </c>
      <c r="B134" s="67">
        <v>102.12</v>
      </c>
      <c r="C134" s="27" t="s">
        <v>145</v>
      </c>
      <c r="D134" s="181">
        <f>80*I7</f>
        <v>86.4</v>
      </c>
      <c r="E134" s="67" t="s">
        <v>53</v>
      </c>
      <c r="F134" s="131">
        <f>D134*354</f>
        <v>30585.600000000002</v>
      </c>
    </row>
    <row r="135" spans="1:6" ht="25.5" customHeight="1" x14ac:dyDescent="0.25">
      <c r="A135" s="7" t="s">
        <v>144</v>
      </c>
      <c r="B135" s="71"/>
      <c r="C135" s="42" t="s">
        <v>148</v>
      </c>
      <c r="D135" s="185">
        <f>20*I7</f>
        <v>21.6</v>
      </c>
      <c r="E135" s="71" t="s">
        <v>67</v>
      </c>
      <c r="F135" s="135">
        <f>D135*2*354</f>
        <v>15292.800000000001</v>
      </c>
    </row>
    <row r="136" spans="1:6" x14ac:dyDescent="0.25">
      <c r="A136" s="7" t="s">
        <v>144</v>
      </c>
      <c r="B136" s="71"/>
      <c r="C136" s="42" t="s">
        <v>146</v>
      </c>
      <c r="D136" s="185">
        <f>20*I7</f>
        <v>21.6</v>
      </c>
      <c r="E136" s="71" t="s">
        <v>57</v>
      </c>
      <c r="F136" s="135">
        <f>D136*51</f>
        <v>1101.6000000000001</v>
      </c>
    </row>
    <row r="137" spans="1:6" ht="39" thickBot="1" x14ac:dyDescent="0.3">
      <c r="A137" s="55" t="s">
        <v>144</v>
      </c>
      <c r="B137" s="72"/>
      <c r="C137" s="59" t="s">
        <v>147</v>
      </c>
      <c r="D137" s="186">
        <f>500*I7</f>
        <v>540</v>
      </c>
      <c r="E137" s="72" t="s">
        <v>70</v>
      </c>
      <c r="F137" s="136">
        <f>D137*2*12</f>
        <v>12960</v>
      </c>
    </row>
    <row r="138" spans="1:6" ht="67.5" customHeight="1" x14ac:dyDescent="0.25">
      <c r="A138" s="46" t="s">
        <v>152</v>
      </c>
      <c r="B138" s="67">
        <v>80</v>
      </c>
      <c r="C138" s="27" t="s">
        <v>149</v>
      </c>
      <c r="D138" s="181">
        <f>80*I7</f>
        <v>86.4</v>
      </c>
      <c r="E138" s="67" t="s">
        <v>53</v>
      </c>
      <c r="F138" s="131">
        <f>D138*354</f>
        <v>30585.600000000002</v>
      </c>
    </row>
    <row r="139" spans="1:6" ht="29.25" customHeight="1" x14ac:dyDescent="0.25">
      <c r="A139" s="7" t="s">
        <v>152</v>
      </c>
      <c r="B139" s="68"/>
      <c r="C139" s="8" t="s">
        <v>150</v>
      </c>
      <c r="D139" s="182">
        <f>20*I7</f>
        <v>21.6</v>
      </c>
      <c r="E139" s="68" t="s">
        <v>67</v>
      </c>
      <c r="F139" s="132">
        <f>D139*2*354</f>
        <v>15292.800000000001</v>
      </c>
    </row>
    <row r="140" spans="1:6" ht="26.25" thickBot="1" x14ac:dyDescent="0.3">
      <c r="A140" s="55" t="s">
        <v>152</v>
      </c>
      <c r="B140" s="72"/>
      <c r="C140" s="59" t="s">
        <v>151</v>
      </c>
      <c r="D140" s="186">
        <f>700*I7</f>
        <v>756</v>
      </c>
      <c r="E140" s="72" t="s">
        <v>70</v>
      </c>
      <c r="F140" s="136">
        <f>D140*2*12</f>
        <v>18144</v>
      </c>
    </row>
    <row r="141" spans="1:6" ht="105.75" customHeight="1" x14ac:dyDescent="0.25">
      <c r="A141" s="46" t="s">
        <v>15</v>
      </c>
      <c r="B141" s="67">
        <f>6.36+6.44+6.3</f>
        <v>19.100000000000001</v>
      </c>
      <c r="C141" s="27" t="s">
        <v>264</v>
      </c>
      <c r="D141" s="181">
        <f>30*I7</f>
        <v>32.400000000000006</v>
      </c>
      <c r="E141" s="67" t="s">
        <v>53</v>
      </c>
      <c r="F141" s="131">
        <f>D141*354</f>
        <v>11469.600000000002</v>
      </c>
    </row>
    <row r="142" spans="1:6" x14ac:dyDescent="0.25">
      <c r="A142" s="41" t="s">
        <v>43</v>
      </c>
      <c r="B142" s="71"/>
      <c r="C142" s="42" t="s">
        <v>171</v>
      </c>
      <c r="D142" s="185">
        <f>10*I7</f>
        <v>10.8</v>
      </c>
      <c r="E142" s="71" t="s">
        <v>153</v>
      </c>
      <c r="F142" s="135">
        <f>D142*3*51</f>
        <v>1652.4000000000003</v>
      </c>
    </row>
    <row r="143" spans="1:6" ht="15.75" thickBot="1" x14ac:dyDescent="0.3">
      <c r="A143" s="55" t="s">
        <v>43</v>
      </c>
      <c r="B143" s="72"/>
      <c r="C143" s="59" t="s">
        <v>172</v>
      </c>
      <c r="D143" s="186">
        <f>15*I7</f>
        <v>16.200000000000003</v>
      </c>
      <c r="E143" s="72" t="s">
        <v>57</v>
      </c>
      <c r="F143" s="136">
        <f>D143*51</f>
        <v>826.20000000000016</v>
      </c>
    </row>
    <row r="144" spans="1:6" ht="26.25" thickBot="1" x14ac:dyDescent="0.3">
      <c r="A144" s="55" t="s">
        <v>265</v>
      </c>
      <c r="B144" s="72"/>
      <c r="C144" s="59" t="s">
        <v>266</v>
      </c>
      <c r="D144" s="186">
        <f>50*I7</f>
        <v>54</v>
      </c>
      <c r="E144" s="72" t="s">
        <v>57</v>
      </c>
      <c r="F144" s="136">
        <f>D144*51</f>
        <v>2754</v>
      </c>
    </row>
    <row r="145" spans="1:6" ht="118.5" customHeight="1" x14ac:dyDescent="0.25">
      <c r="A145" s="46" t="s">
        <v>185</v>
      </c>
      <c r="B145" s="67">
        <v>52.8</v>
      </c>
      <c r="C145" s="27" t="s">
        <v>173</v>
      </c>
      <c r="D145" s="181">
        <f>40*I7</f>
        <v>43.2</v>
      </c>
      <c r="E145" s="67" t="s">
        <v>53</v>
      </c>
      <c r="F145" s="131">
        <f>D145*354</f>
        <v>15292.800000000001</v>
      </c>
    </row>
    <row r="146" spans="1:6" ht="24.95" customHeight="1" x14ac:dyDescent="0.25">
      <c r="A146" s="7" t="s">
        <v>185</v>
      </c>
      <c r="B146" s="68"/>
      <c r="C146" s="8" t="s">
        <v>174</v>
      </c>
      <c r="D146" s="182">
        <f>15*I7</f>
        <v>16.200000000000003</v>
      </c>
      <c r="E146" s="68" t="s">
        <v>67</v>
      </c>
      <c r="F146" s="132">
        <f>D146*2*354</f>
        <v>11469.600000000002</v>
      </c>
    </row>
    <row r="147" spans="1:6" ht="15.75" thickBot="1" x14ac:dyDescent="0.3">
      <c r="A147" s="55" t="s">
        <v>185</v>
      </c>
      <c r="B147" s="72"/>
      <c r="C147" s="59" t="s">
        <v>175</v>
      </c>
      <c r="D147" s="186">
        <f>10*I7</f>
        <v>10.8</v>
      </c>
      <c r="E147" s="72" t="s">
        <v>57</v>
      </c>
      <c r="F147" s="136">
        <f>D147*51</f>
        <v>550.80000000000007</v>
      </c>
    </row>
    <row r="148" spans="1:6" ht="143.44999999999999" customHeight="1" x14ac:dyDescent="0.25">
      <c r="A148" s="60" t="s">
        <v>182</v>
      </c>
      <c r="B148" s="67">
        <v>227.51</v>
      </c>
      <c r="C148" s="43" t="s">
        <v>176</v>
      </c>
      <c r="D148" s="181">
        <f>200*I7</f>
        <v>216</v>
      </c>
      <c r="E148" s="67" t="s">
        <v>53</v>
      </c>
      <c r="F148" s="131">
        <f>D148*354</f>
        <v>76464</v>
      </c>
    </row>
    <row r="149" spans="1:6" ht="51.75" thickBot="1" x14ac:dyDescent="0.3">
      <c r="A149" s="61" t="s">
        <v>182</v>
      </c>
      <c r="B149" s="72"/>
      <c r="C149" s="45" t="s">
        <v>177</v>
      </c>
      <c r="D149" s="186">
        <f>20*I7</f>
        <v>21.6</v>
      </c>
      <c r="E149" s="72" t="s">
        <v>57</v>
      </c>
      <c r="F149" s="136">
        <f>D149*51</f>
        <v>1101.6000000000001</v>
      </c>
    </row>
    <row r="150" spans="1:6" ht="15.75" thickBot="1" x14ac:dyDescent="0.3">
      <c r="A150" s="151" t="s">
        <v>276</v>
      </c>
      <c r="B150" s="68"/>
      <c r="C150" s="11" t="s">
        <v>270</v>
      </c>
      <c r="D150" s="182">
        <f>200*I7</f>
        <v>216</v>
      </c>
      <c r="E150" s="68" t="s">
        <v>59</v>
      </c>
      <c r="F150" s="136">
        <f>D150*12</f>
        <v>2592</v>
      </c>
    </row>
    <row r="151" spans="1:6" ht="111" customHeight="1" thickBot="1" x14ac:dyDescent="0.3">
      <c r="A151" s="37" t="s">
        <v>183</v>
      </c>
      <c r="B151" s="70">
        <v>91.11</v>
      </c>
      <c r="C151" s="64" t="s">
        <v>178</v>
      </c>
      <c r="D151" s="184">
        <f>100*I7</f>
        <v>108</v>
      </c>
      <c r="E151" s="70" t="s">
        <v>54</v>
      </c>
      <c r="F151" s="134">
        <f>D151*2*51</f>
        <v>11016</v>
      </c>
    </row>
    <row r="152" spans="1:6" ht="234.75" customHeight="1" x14ac:dyDescent="0.25">
      <c r="A152" s="26" t="s">
        <v>184</v>
      </c>
      <c r="B152" s="67">
        <v>600</v>
      </c>
      <c r="C152" s="27" t="s">
        <v>179</v>
      </c>
      <c r="D152" s="181">
        <f>600*I7</f>
        <v>648</v>
      </c>
      <c r="E152" s="67" t="s">
        <v>53</v>
      </c>
      <c r="F152" s="131">
        <f>D152*246</f>
        <v>159408</v>
      </c>
    </row>
    <row r="153" spans="1:6" ht="104.25" customHeight="1" thickBot="1" x14ac:dyDescent="0.3">
      <c r="A153" s="62" t="s">
        <v>181</v>
      </c>
      <c r="B153" s="72"/>
      <c r="C153" s="59" t="s">
        <v>180</v>
      </c>
      <c r="D153" s="186">
        <f>75*I7</f>
        <v>81</v>
      </c>
      <c r="E153" s="72" t="s">
        <v>57</v>
      </c>
      <c r="F153" s="136">
        <f>D153*51</f>
        <v>4131</v>
      </c>
    </row>
    <row r="154" spans="1:6" ht="178.5" x14ac:dyDescent="0.25">
      <c r="A154" s="26" t="s">
        <v>169</v>
      </c>
      <c r="B154" s="67">
        <v>119.73</v>
      </c>
      <c r="C154" s="27" t="s">
        <v>170</v>
      </c>
      <c r="D154" s="181">
        <f>100*I7</f>
        <v>108</v>
      </c>
      <c r="E154" s="67" t="s">
        <v>53</v>
      </c>
      <c r="F154" s="131">
        <f>D154*246</f>
        <v>26568</v>
      </c>
    </row>
    <row r="155" spans="1:6" ht="172.15" customHeight="1" thickBot="1" x14ac:dyDescent="0.3">
      <c r="A155" s="28" t="s">
        <v>167</v>
      </c>
      <c r="B155" s="69"/>
      <c r="C155" s="29" t="s">
        <v>168</v>
      </c>
      <c r="D155" s="183">
        <f>75*I7</f>
        <v>81</v>
      </c>
      <c r="E155" s="69" t="s">
        <v>57</v>
      </c>
      <c r="F155" s="133">
        <f>D155*51</f>
        <v>4131</v>
      </c>
    </row>
    <row r="156" spans="1:6" ht="169.5" customHeight="1" x14ac:dyDescent="0.25">
      <c r="A156" s="46" t="s">
        <v>238</v>
      </c>
      <c r="B156" s="67">
        <v>183.98</v>
      </c>
      <c r="C156" s="27" t="s">
        <v>166</v>
      </c>
      <c r="D156" s="181">
        <f>250*I7</f>
        <v>270</v>
      </c>
      <c r="E156" s="67" t="s">
        <v>53</v>
      </c>
      <c r="F156" s="131">
        <f>D156*246</f>
        <v>66420</v>
      </c>
    </row>
    <row r="157" spans="1:6" ht="38.25" x14ac:dyDescent="0.25">
      <c r="A157" s="41" t="s">
        <v>164</v>
      </c>
      <c r="B157" s="71"/>
      <c r="C157" s="42" t="s">
        <v>163</v>
      </c>
      <c r="D157" s="185">
        <f>55*I7</f>
        <v>59.400000000000006</v>
      </c>
      <c r="E157" s="71" t="s">
        <v>57</v>
      </c>
      <c r="F157" s="135">
        <f>D157*51</f>
        <v>3029.4</v>
      </c>
    </row>
    <row r="158" spans="1:6" ht="26.25" thickBot="1" x14ac:dyDescent="0.3">
      <c r="A158" s="55" t="s">
        <v>164</v>
      </c>
      <c r="B158" s="72"/>
      <c r="C158" s="59" t="s">
        <v>165</v>
      </c>
      <c r="D158" s="186">
        <f>270*I7</f>
        <v>291.60000000000002</v>
      </c>
      <c r="E158" s="72" t="s">
        <v>59</v>
      </c>
      <c r="F158" s="136">
        <f>D158*12</f>
        <v>3499.2000000000003</v>
      </c>
    </row>
    <row r="159" spans="1:6" ht="178.5" x14ac:dyDescent="0.25">
      <c r="A159" s="60" t="s">
        <v>161</v>
      </c>
      <c r="B159" s="67">
        <v>111.86</v>
      </c>
      <c r="C159" s="27" t="s">
        <v>162</v>
      </c>
      <c r="D159" s="181">
        <f>100*I7</f>
        <v>108</v>
      </c>
      <c r="E159" s="67" t="s">
        <v>53</v>
      </c>
      <c r="F159" s="131">
        <f>D159*246</f>
        <v>26568</v>
      </c>
    </row>
    <row r="160" spans="1:6" ht="26.25" thickBot="1" x14ac:dyDescent="0.3">
      <c r="A160" s="65" t="s">
        <v>44</v>
      </c>
      <c r="B160" s="69"/>
      <c r="C160" s="29" t="s">
        <v>160</v>
      </c>
      <c r="D160" s="183">
        <f>80*I7</f>
        <v>86.4</v>
      </c>
      <c r="E160" s="69" t="s">
        <v>57</v>
      </c>
      <c r="F160" s="133">
        <f>D160*51</f>
        <v>4406.4000000000005</v>
      </c>
    </row>
    <row r="161" spans="1:6" ht="191.25" x14ac:dyDescent="0.25">
      <c r="A161" s="26" t="s">
        <v>231</v>
      </c>
      <c r="B161" s="67">
        <v>264.70999999999998</v>
      </c>
      <c r="C161" s="27" t="s">
        <v>230</v>
      </c>
      <c r="D161" s="181">
        <f>250*I7</f>
        <v>270</v>
      </c>
      <c r="E161" s="67" t="s">
        <v>53</v>
      </c>
      <c r="F161" s="131">
        <f>D161*246</f>
        <v>66420</v>
      </c>
    </row>
    <row r="162" spans="1:6" ht="76.5" x14ac:dyDescent="0.25">
      <c r="A162" s="63" t="s">
        <v>158</v>
      </c>
      <c r="B162" s="71"/>
      <c r="C162" s="42" t="s">
        <v>159</v>
      </c>
      <c r="D162" s="185">
        <f>50*I7</f>
        <v>54</v>
      </c>
      <c r="E162" s="71" t="s">
        <v>57</v>
      </c>
      <c r="F162" s="135">
        <f>D162*51</f>
        <v>2754</v>
      </c>
    </row>
    <row r="163" spans="1:6" ht="38.25" customHeight="1" thickBot="1" x14ac:dyDescent="0.3">
      <c r="A163" s="62" t="s">
        <v>158</v>
      </c>
      <c r="B163" s="72"/>
      <c r="C163" s="81" t="s">
        <v>157</v>
      </c>
      <c r="D163" s="186">
        <f>250*I7</f>
        <v>270</v>
      </c>
      <c r="E163" s="72" t="s">
        <v>59</v>
      </c>
      <c r="F163" s="136">
        <f>D163*12</f>
        <v>3240</v>
      </c>
    </row>
    <row r="164" spans="1:6" ht="147" customHeight="1" x14ac:dyDescent="0.25">
      <c r="A164" s="58" t="s">
        <v>155</v>
      </c>
      <c r="B164" s="71">
        <v>9.15</v>
      </c>
      <c r="C164" s="42" t="s">
        <v>156</v>
      </c>
      <c r="D164" s="185">
        <f>10*I7</f>
        <v>10.8</v>
      </c>
      <c r="E164" s="71" t="s">
        <v>57</v>
      </c>
      <c r="F164" s="135">
        <f>D164*51</f>
        <v>550.80000000000007</v>
      </c>
    </row>
    <row r="165" spans="1:6" ht="34.5" customHeight="1" thickBot="1" x14ac:dyDescent="0.3">
      <c r="A165" s="115" t="s">
        <v>155</v>
      </c>
      <c r="B165" s="73"/>
      <c r="C165" s="54" t="s">
        <v>60</v>
      </c>
      <c r="D165" s="187">
        <f>20*I7</f>
        <v>21.6</v>
      </c>
      <c r="E165" s="73" t="s">
        <v>59</v>
      </c>
      <c r="F165" s="137">
        <f>D165*12</f>
        <v>259.20000000000005</v>
      </c>
    </row>
    <row r="166" spans="1:6" ht="187.15" customHeight="1" thickBot="1" x14ac:dyDescent="0.3">
      <c r="A166" s="37" t="s">
        <v>273</v>
      </c>
      <c r="B166" s="70">
        <f>19.32+9.15+9.93</f>
        <v>38.4</v>
      </c>
      <c r="C166" s="64" t="s">
        <v>154</v>
      </c>
      <c r="D166" s="184">
        <f>100*I7</f>
        <v>108</v>
      </c>
      <c r="E166" s="70" t="s">
        <v>59</v>
      </c>
      <c r="F166" s="134">
        <f>D166*12</f>
        <v>1296</v>
      </c>
    </row>
    <row r="167" spans="1:6" ht="15.75" thickBot="1" x14ac:dyDescent="0.3">
      <c r="A167" s="112" t="s">
        <v>232</v>
      </c>
      <c r="B167" s="113">
        <f>SUM(B29:B166)</f>
        <v>6649.7099999999982</v>
      </c>
      <c r="C167" s="114"/>
      <c r="D167" s="143"/>
      <c r="E167" s="39"/>
      <c r="F167" s="138">
        <f>SUM(F29:F166)</f>
        <v>2943505.44</v>
      </c>
    </row>
    <row r="168" spans="1:6" ht="71.25" x14ac:dyDescent="0.25">
      <c r="A168" s="107" t="s">
        <v>7</v>
      </c>
      <c r="B168" s="118" t="s">
        <v>0</v>
      </c>
      <c r="C168" s="87" t="s">
        <v>203</v>
      </c>
      <c r="D168" s="88" t="s">
        <v>215</v>
      </c>
      <c r="E168" s="108" t="s">
        <v>200</v>
      </c>
      <c r="F168" s="90" t="s">
        <v>263</v>
      </c>
    </row>
    <row r="169" spans="1:6" ht="25.5" x14ac:dyDescent="0.25">
      <c r="A169" s="109" t="s">
        <v>205</v>
      </c>
      <c r="B169" s="83" t="s">
        <v>9</v>
      </c>
      <c r="C169" s="86" t="s">
        <v>201</v>
      </c>
      <c r="D169" s="174">
        <f>162*I7</f>
        <v>174.96</v>
      </c>
      <c r="E169" s="129">
        <v>2</v>
      </c>
      <c r="F169" s="144">
        <f>D169*E169*354</f>
        <v>123871.68000000001</v>
      </c>
    </row>
    <row r="170" spans="1:6" ht="25.5" x14ac:dyDescent="0.25">
      <c r="A170" s="109" t="s">
        <v>204</v>
      </c>
      <c r="B170" s="83" t="s">
        <v>9</v>
      </c>
      <c r="C170" s="86" t="s">
        <v>202</v>
      </c>
      <c r="D170" s="174">
        <f>162*I7</f>
        <v>174.96</v>
      </c>
      <c r="E170" s="129">
        <v>1.5</v>
      </c>
      <c r="F170" s="144">
        <f>D170*E170*354</f>
        <v>92903.76</v>
      </c>
    </row>
    <row r="171" spans="1:6" ht="25.5" x14ac:dyDescent="0.25">
      <c r="A171" s="109" t="s">
        <v>206</v>
      </c>
      <c r="B171" s="83" t="s">
        <v>9</v>
      </c>
      <c r="C171" s="86" t="s">
        <v>210</v>
      </c>
      <c r="D171" s="174">
        <f>162*I7</f>
        <v>174.96</v>
      </c>
      <c r="E171" s="129">
        <v>1.5</v>
      </c>
      <c r="F171" s="144">
        <f>D171*E171*354</f>
        <v>92903.76</v>
      </c>
    </row>
    <row r="172" spans="1:6" x14ac:dyDescent="0.25">
      <c r="A172" s="109" t="s">
        <v>207</v>
      </c>
      <c r="B172" s="84" t="s">
        <v>9</v>
      </c>
      <c r="C172" s="86" t="s">
        <v>211</v>
      </c>
      <c r="D172" s="174">
        <f>162*I7</f>
        <v>174.96</v>
      </c>
      <c r="E172" s="129">
        <v>1</v>
      </c>
      <c r="F172" s="144">
        <f>D172*E172*354</f>
        <v>61935.840000000004</v>
      </c>
    </row>
    <row r="173" spans="1:6" x14ac:dyDescent="0.25">
      <c r="A173" s="109" t="s">
        <v>208</v>
      </c>
      <c r="B173" s="84" t="s">
        <v>9</v>
      </c>
      <c r="C173" s="86" t="s">
        <v>212</v>
      </c>
      <c r="D173" s="174">
        <f>162*I7</f>
        <v>174.96</v>
      </c>
      <c r="E173" s="129">
        <v>2</v>
      </c>
      <c r="F173" s="144">
        <f>D173*E173*354</f>
        <v>123871.68000000001</v>
      </c>
    </row>
    <row r="174" spans="1:6" ht="26.25" thickBot="1" x14ac:dyDescent="0.3">
      <c r="A174" s="110" t="s">
        <v>209</v>
      </c>
      <c r="B174" s="119" t="s">
        <v>9</v>
      </c>
      <c r="C174" s="111" t="s">
        <v>260</v>
      </c>
      <c r="D174" s="174">
        <f>162*I7</f>
        <v>174.96</v>
      </c>
      <c r="E174" s="130">
        <v>1</v>
      </c>
      <c r="F174" s="145">
        <f>D174*E174*246</f>
        <v>43040.160000000003</v>
      </c>
    </row>
    <row r="175" spans="1:6" ht="45" x14ac:dyDescent="0.25">
      <c r="A175" s="93" t="s">
        <v>8</v>
      </c>
      <c r="B175" s="118" t="s">
        <v>0</v>
      </c>
      <c r="C175" s="87" t="s">
        <v>203</v>
      </c>
      <c r="D175" s="88" t="s">
        <v>215</v>
      </c>
      <c r="E175" s="89" t="s">
        <v>11</v>
      </c>
      <c r="F175" s="90" t="s">
        <v>12</v>
      </c>
    </row>
    <row r="176" spans="1:6" ht="93" customHeight="1" x14ac:dyDescent="0.25">
      <c r="A176" s="94" t="s">
        <v>213</v>
      </c>
      <c r="B176" s="120" t="s">
        <v>9</v>
      </c>
      <c r="C176" s="85" t="s">
        <v>247</v>
      </c>
      <c r="D176" s="140">
        <f>162*I7</f>
        <v>174.96</v>
      </c>
      <c r="E176" s="4">
        <f>2*2.5*8</f>
        <v>40</v>
      </c>
      <c r="F176" s="132">
        <f>D176*E176</f>
        <v>6998.4000000000005</v>
      </c>
    </row>
    <row r="177" spans="1:6" ht="102.75" customHeight="1" thickBot="1" x14ac:dyDescent="0.3">
      <c r="A177" s="28" t="s">
        <v>214</v>
      </c>
      <c r="B177" s="121" t="s">
        <v>9</v>
      </c>
      <c r="C177" s="95" t="s">
        <v>248</v>
      </c>
      <c r="D177" s="141">
        <f>162*I7</f>
        <v>174.96</v>
      </c>
      <c r="E177" s="30">
        <f>3*4*4</f>
        <v>48</v>
      </c>
      <c r="F177" s="133">
        <f>D177*E177</f>
        <v>8398.08</v>
      </c>
    </row>
    <row r="178" spans="1:6" ht="52.5" customHeight="1" x14ac:dyDescent="0.25">
      <c r="A178" s="99" t="s">
        <v>219</v>
      </c>
      <c r="B178" s="122" t="s">
        <v>0</v>
      </c>
      <c r="C178" s="87" t="s">
        <v>55</v>
      </c>
      <c r="D178" s="88" t="s">
        <v>218</v>
      </c>
      <c r="E178" s="89" t="s">
        <v>11</v>
      </c>
      <c r="F178" s="90" t="s">
        <v>12</v>
      </c>
    </row>
    <row r="179" spans="1:6" ht="38.25" x14ac:dyDescent="0.25">
      <c r="A179" s="91" t="s">
        <v>262</v>
      </c>
      <c r="B179" s="123" t="s">
        <v>1</v>
      </c>
      <c r="C179" s="92" t="s">
        <v>252</v>
      </c>
      <c r="D179" s="189">
        <f>18*I7</f>
        <v>19.440000000000001</v>
      </c>
      <c r="E179" s="96">
        <v>5000</v>
      </c>
      <c r="F179" s="146">
        <f>D179*E179</f>
        <v>97200</v>
      </c>
    </row>
    <row r="180" spans="1:6" ht="51" x14ac:dyDescent="0.25">
      <c r="A180" s="91" t="s">
        <v>259</v>
      </c>
      <c r="B180" s="123" t="s">
        <v>1</v>
      </c>
      <c r="C180" s="92" t="s">
        <v>252</v>
      </c>
      <c r="D180" s="189">
        <f>100*I7</f>
        <v>108</v>
      </c>
      <c r="E180" s="96">
        <v>28.24</v>
      </c>
      <c r="F180" s="146">
        <f t="shared" ref="F180:F191" si="0">D180*E180</f>
        <v>3049.9199999999996</v>
      </c>
    </row>
    <row r="181" spans="1:6" ht="38.25" x14ac:dyDescent="0.25">
      <c r="A181" s="91" t="s">
        <v>258</v>
      </c>
      <c r="B181" s="123" t="s">
        <v>1</v>
      </c>
      <c r="C181" s="92" t="s">
        <v>252</v>
      </c>
      <c r="D181" s="189">
        <f>18*I7</f>
        <v>19.440000000000001</v>
      </c>
      <c r="E181" s="96">
        <v>11.72</v>
      </c>
      <c r="F181" s="146">
        <f t="shared" si="0"/>
        <v>227.83680000000004</v>
      </c>
    </row>
    <row r="182" spans="1:6" ht="25.5" x14ac:dyDescent="0.25">
      <c r="A182" s="91" t="s">
        <v>224</v>
      </c>
      <c r="B182" s="123" t="s">
        <v>1</v>
      </c>
      <c r="C182" s="92" t="s">
        <v>222</v>
      </c>
      <c r="D182" s="189">
        <f>18*I7</f>
        <v>19.440000000000001</v>
      </c>
      <c r="E182" s="96">
        <v>272</v>
      </c>
      <c r="F182" s="146">
        <f t="shared" si="0"/>
        <v>5287.68</v>
      </c>
    </row>
    <row r="183" spans="1:6" ht="51" x14ac:dyDescent="0.25">
      <c r="A183" s="91" t="s">
        <v>261</v>
      </c>
      <c r="B183" s="123" t="s">
        <v>1</v>
      </c>
      <c r="C183" s="92" t="s">
        <v>251</v>
      </c>
      <c r="D183" s="189">
        <f>50*I7</f>
        <v>54</v>
      </c>
      <c r="E183" s="96">
        <v>136</v>
      </c>
      <c r="F183" s="146">
        <f t="shared" si="0"/>
        <v>7344</v>
      </c>
    </row>
    <row r="184" spans="1:6" ht="25.5" x14ac:dyDescent="0.25">
      <c r="A184" s="91" t="s">
        <v>225</v>
      </c>
      <c r="B184" s="123" t="s">
        <v>1</v>
      </c>
      <c r="C184" s="92" t="s">
        <v>223</v>
      </c>
      <c r="D184" s="189">
        <f>30*I7</f>
        <v>32.400000000000006</v>
      </c>
      <c r="E184" s="96">
        <v>216</v>
      </c>
      <c r="F184" s="146">
        <f t="shared" si="0"/>
        <v>6998.4000000000015</v>
      </c>
    </row>
    <row r="185" spans="1:6" ht="25.5" x14ac:dyDescent="0.25">
      <c r="A185" s="100" t="s">
        <v>17</v>
      </c>
      <c r="B185" s="97" t="s">
        <v>1</v>
      </c>
      <c r="C185" s="80" t="s">
        <v>221</v>
      </c>
      <c r="D185" s="190">
        <v>1.67</v>
      </c>
      <c r="E185" s="96">
        <v>30000</v>
      </c>
      <c r="F185" s="146">
        <f t="shared" si="0"/>
        <v>50100</v>
      </c>
    </row>
    <row r="186" spans="1:6" ht="25.5" x14ac:dyDescent="0.25">
      <c r="A186" s="100" t="s">
        <v>253</v>
      </c>
      <c r="B186" s="97" t="s">
        <v>16</v>
      </c>
      <c r="C186" s="80" t="s">
        <v>256</v>
      </c>
      <c r="D186" s="190">
        <f>50*I7</f>
        <v>54</v>
      </c>
      <c r="E186" s="96">
        <v>32</v>
      </c>
      <c r="F186" s="146">
        <f t="shared" si="0"/>
        <v>1728</v>
      </c>
    </row>
    <row r="187" spans="1:6" ht="38.25" x14ac:dyDescent="0.25">
      <c r="A187" s="100" t="s">
        <v>254</v>
      </c>
      <c r="B187" s="97" t="s">
        <v>1</v>
      </c>
      <c r="C187" s="92" t="s">
        <v>252</v>
      </c>
      <c r="D187" s="190">
        <f>18*I7</f>
        <v>19.440000000000001</v>
      </c>
      <c r="E187" s="96">
        <v>29.76</v>
      </c>
      <c r="F187" s="146">
        <f t="shared" si="0"/>
        <v>578.53440000000012</v>
      </c>
    </row>
    <row r="188" spans="1:6" ht="25.5" x14ac:dyDescent="0.25">
      <c r="A188" s="100" t="s">
        <v>257</v>
      </c>
      <c r="B188" s="97" t="s">
        <v>16</v>
      </c>
      <c r="C188" s="80" t="s">
        <v>256</v>
      </c>
      <c r="D188" s="190">
        <f>50*I7</f>
        <v>54</v>
      </c>
      <c r="E188" s="173">
        <v>24</v>
      </c>
      <c r="F188" s="146">
        <f t="shared" si="0"/>
        <v>1296</v>
      </c>
    </row>
    <row r="189" spans="1:6" ht="38.25" x14ac:dyDescent="0.25">
      <c r="A189" s="100" t="s">
        <v>255</v>
      </c>
      <c r="B189" s="97" t="s">
        <v>1</v>
      </c>
      <c r="C189" s="92" t="s">
        <v>252</v>
      </c>
      <c r="D189" s="190">
        <f>18*I7</f>
        <v>19.440000000000001</v>
      </c>
      <c r="E189" s="96">
        <v>8.8000000000000007</v>
      </c>
      <c r="F189" s="146">
        <f t="shared" si="0"/>
        <v>171.07200000000003</v>
      </c>
    </row>
    <row r="190" spans="1:6" ht="29.25" customHeight="1" x14ac:dyDescent="0.25">
      <c r="A190" s="101" t="s">
        <v>217</v>
      </c>
      <c r="B190" s="97" t="s">
        <v>16</v>
      </c>
      <c r="C190" s="80" t="s">
        <v>216</v>
      </c>
      <c r="D190" s="189">
        <f>15*I7</f>
        <v>16.200000000000003</v>
      </c>
      <c r="E190" s="96">
        <v>110</v>
      </c>
      <c r="F190" s="146">
        <f t="shared" si="0"/>
        <v>1782.0000000000002</v>
      </c>
    </row>
    <row r="191" spans="1:6" ht="29.25" customHeight="1" x14ac:dyDescent="0.25">
      <c r="A191" s="163" t="s">
        <v>226</v>
      </c>
      <c r="B191" s="164" t="s">
        <v>16</v>
      </c>
      <c r="C191" s="165" t="s">
        <v>220</v>
      </c>
      <c r="D191" s="191">
        <f>12*I7</f>
        <v>12.96</v>
      </c>
      <c r="E191" s="164">
        <f>12*100</f>
        <v>1200</v>
      </c>
      <c r="F191" s="166">
        <f t="shared" si="0"/>
        <v>15552.000000000002</v>
      </c>
    </row>
    <row r="192" spans="1:6" ht="29.25" customHeight="1" x14ac:dyDescent="0.25">
      <c r="A192" s="167"/>
      <c r="B192" s="168"/>
      <c r="C192" s="169"/>
      <c r="D192" s="227" t="s">
        <v>282</v>
      </c>
      <c r="E192" s="170"/>
      <c r="F192" s="242">
        <f>SUM(F169:F191)+F167</f>
        <v>3688744.2432000004</v>
      </c>
    </row>
    <row r="193" spans="1:6" ht="29.25" customHeight="1" x14ac:dyDescent="0.25">
      <c r="A193" s="167"/>
      <c r="B193" s="168"/>
      <c r="C193" s="169"/>
      <c r="D193" s="227"/>
      <c r="E193" s="170"/>
      <c r="F193" s="242"/>
    </row>
    <row r="194" spans="1:6" ht="29.25" customHeight="1" x14ac:dyDescent="0.25">
      <c r="A194" s="13"/>
      <c r="B194" s="126"/>
      <c r="C194" s="10"/>
      <c r="D194" s="161"/>
      <c r="E194" s="161"/>
      <c r="F194" s="162"/>
    </row>
    <row r="195" spans="1:6" ht="29.25" customHeight="1" x14ac:dyDescent="0.25">
      <c r="A195" s="230" t="s">
        <v>283</v>
      </c>
      <c r="B195" s="231"/>
      <c r="C195" s="231"/>
      <c r="D195" s="231"/>
      <c r="E195" s="232"/>
      <c r="F195" s="171">
        <f>F192/12</f>
        <v>307395.35360000003</v>
      </c>
    </row>
    <row r="196" spans="1:6" s="21" customFormat="1" ht="29.25" customHeight="1" thickBot="1" x14ac:dyDescent="0.3">
      <c r="A196" s="17"/>
      <c r="B196" s="125"/>
      <c r="C196" s="18"/>
      <c r="D196" s="19"/>
      <c r="E196" s="102"/>
      <c r="F196" s="20"/>
    </row>
    <row r="197" spans="1:6" ht="29.25" customHeight="1" thickBot="1" x14ac:dyDescent="0.3">
      <c r="A197" s="233" t="s">
        <v>245</v>
      </c>
      <c r="B197" s="234"/>
      <c r="C197" s="234"/>
      <c r="D197" s="234"/>
      <c r="E197" s="234"/>
      <c r="F197" s="234"/>
    </row>
    <row r="198" spans="1:6" ht="45" x14ac:dyDescent="0.25">
      <c r="A198" s="235" t="s">
        <v>2</v>
      </c>
      <c r="B198" s="236"/>
      <c r="C198" s="237"/>
      <c r="D198" s="88" t="s">
        <v>227</v>
      </c>
      <c r="E198" s="89" t="s">
        <v>277</v>
      </c>
      <c r="F198" s="3" t="s">
        <v>12</v>
      </c>
    </row>
    <row r="199" spans="1:6" ht="114.75" x14ac:dyDescent="0.25">
      <c r="A199" s="91" t="s">
        <v>228</v>
      </c>
      <c r="B199" s="156" t="s">
        <v>9</v>
      </c>
      <c r="C199" s="92" t="s">
        <v>229</v>
      </c>
      <c r="D199" s="142">
        <f>160*I7</f>
        <v>172.8</v>
      </c>
      <c r="E199" s="96">
        <v>200</v>
      </c>
      <c r="F199" s="139">
        <f>D199*E199</f>
        <v>34560</v>
      </c>
    </row>
    <row r="200" spans="1:6" ht="15" customHeight="1" x14ac:dyDescent="0.25">
      <c r="A200" s="15"/>
      <c r="B200" s="124"/>
      <c r="C200" s="16"/>
      <c r="D200" s="228" t="s">
        <v>19</v>
      </c>
      <c r="E200" s="103"/>
      <c r="F200" s="238">
        <f>SUM(F199:F199)</f>
        <v>34560</v>
      </c>
    </row>
    <row r="201" spans="1:6" ht="37.5" customHeight="1" x14ac:dyDescent="0.25">
      <c r="A201" s="15"/>
      <c r="B201" s="124"/>
      <c r="C201" s="16"/>
      <c r="D201" s="229"/>
      <c r="E201" s="98"/>
      <c r="F201" s="239"/>
    </row>
    <row r="202" spans="1:6" s="21" customFormat="1" ht="15.75" thickBot="1" x14ac:dyDescent="0.3">
      <c r="A202" s="17"/>
      <c r="B202" s="125"/>
      <c r="C202" s="18"/>
      <c r="D202" s="19"/>
      <c r="E202" s="102"/>
      <c r="F202" s="20"/>
    </row>
    <row r="203" spans="1:6" x14ac:dyDescent="0.25">
      <c r="A203" s="233" t="s">
        <v>23</v>
      </c>
      <c r="B203" s="234"/>
      <c r="C203" s="234"/>
      <c r="D203" s="234"/>
      <c r="E203" s="234"/>
      <c r="F203" s="234"/>
    </row>
    <row r="204" spans="1:6" ht="31.5" customHeight="1" x14ac:dyDescent="0.25">
      <c r="A204" s="148"/>
      <c r="B204" s="124"/>
      <c r="C204" s="16"/>
      <c r="D204" s="222" t="s">
        <v>20</v>
      </c>
      <c r="E204" s="103"/>
      <c r="F204" s="224">
        <f>F200+F192</f>
        <v>3723304.2432000004</v>
      </c>
    </row>
    <row r="205" spans="1:6" ht="26.25" customHeight="1" x14ac:dyDescent="0.25">
      <c r="A205" s="148"/>
      <c r="B205" s="124"/>
      <c r="C205" s="16"/>
      <c r="D205" s="223"/>
      <c r="E205" s="149"/>
      <c r="F205" s="225"/>
    </row>
    <row r="206" spans="1:6" x14ac:dyDescent="0.25">
      <c r="A206" s="13"/>
      <c r="B206" s="126"/>
      <c r="C206" s="10"/>
      <c r="D206" s="2"/>
      <c r="E206" s="147"/>
      <c r="F206" s="2"/>
    </row>
    <row r="207" spans="1:6" x14ac:dyDescent="0.25">
      <c r="A207" s="13"/>
      <c r="B207" s="126"/>
      <c r="C207" s="10"/>
      <c r="D207" s="2"/>
      <c r="E207" s="105"/>
      <c r="F207" s="2"/>
    </row>
    <row r="208" spans="1:6" x14ac:dyDescent="0.25">
      <c r="A208" s="226" t="s">
        <v>4</v>
      </c>
      <c r="B208" s="226"/>
      <c r="C208" s="226"/>
      <c r="D208" s="226"/>
      <c r="E208" s="226"/>
      <c r="F208" s="226"/>
    </row>
    <row r="209" spans="1:6" x14ac:dyDescent="0.25">
      <c r="A209" s="226"/>
      <c r="B209" s="226"/>
      <c r="C209" s="226"/>
      <c r="D209" s="226"/>
      <c r="E209" s="226"/>
      <c r="F209" s="226"/>
    </row>
    <row r="210" spans="1:6" x14ac:dyDescent="0.25">
      <c r="A210" s="1"/>
      <c r="B210" s="116"/>
      <c r="C210" s="9"/>
      <c r="D210" s="1"/>
      <c r="E210" s="104"/>
      <c r="F210" s="1"/>
    </row>
    <row r="211" spans="1:6" x14ac:dyDescent="0.25">
      <c r="A211" s="1"/>
      <c r="B211" s="116"/>
      <c r="C211" s="9"/>
      <c r="D211" s="1"/>
      <c r="E211" s="104"/>
      <c r="F211" s="1"/>
    </row>
    <row r="212" spans="1:6" x14ac:dyDescent="0.25">
      <c r="A212" s="1"/>
      <c r="B212" s="116"/>
      <c r="C212" s="9"/>
      <c r="D212" s="1"/>
      <c r="E212" s="104"/>
      <c r="F212" s="1"/>
    </row>
    <row r="213" spans="1:6" x14ac:dyDescent="0.25">
      <c r="A213" s="1"/>
      <c r="B213" s="116"/>
      <c r="C213" s="9"/>
      <c r="D213" s="1"/>
      <c r="E213" s="104"/>
      <c r="F213" s="1"/>
    </row>
    <row r="214" spans="1:6" x14ac:dyDescent="0.25">
      <c r="A214" s="1"/>
      <c r="B214" s="116"/>
      <c r="C214" s="9"/>
      <c r="D214" s="1"/>
      <c r="E214" s="104"/>
      <c r="F214" s="1"/>
    </row>
    <row r="215" spans="1:6" x14ac:dyDescent="0.25">
      <c r="A215" s="1"/>
      <c r="B215" s="116"/>
      <c r="C215" s="9"/>
      <c r="D215" s="1"/>
      <c r="E215" s="104"/>
      <c r="F215" s="1"/>
    </row>
    <row r="216" spans="1:6" x14ac:dyDescent="0.25">
      <c r="A216" s="1"/>
      <c r="B216" s="116"/>
      <c r="C216" s="9"/>
      <c r="D216" s="1"/>
      <c r="E216" s="104"/>
      <c r="F216" s="1"/>
    </row>
    <row r="217" spans="1:6" x14ac:dyDescent="0.25">
      <c r="A217" s="1"/>
      <c r="B217" s="116"/>
      <c r="C217" s="9"/>
      <c r="D217" s="1"/>
      <c r="E217" s="104"/>
      <c r="F217" s="1"/>
    </row>
    <row r="218" spans="1:6" x14ac:dyDescent="0.25">
      <c r="A218" s="1"/>
      <c r="B218" s="116"/>
      <c r="C218" s="9"/>
      <c r="D218" s="1"/>
      <c r="E218" s="104"/>
      <c r="F218" s="1"/>
    </row>
    <row r="219" spans="1:6" x14ac:dyDescent="0.25">
      <c r="A219" s="1"/>
      <c r="B219" s="116"/>
      <c r="C219" s="9"/>
      <c r="D219" s="1"/>
      <c r="E219" s="104"/>
      <c r="F219" s="1"/>
    </row>
    <row r="220" spans="1:6" x14ac:dyDescent="0.25">
      <c r="A220" s="1"/>
      <c r="B220" s="116"/>
      <c r="C220" s="9"/>
      <c r="D220" s="1"/>
      <c r="E220" s="104"/>
      <c r="F220" s="1"/>
    </row>
    <row r="221" spans="1:6" x14ac:dyDescent="0.25">
      <c r="A221" s="1"/>
      <c r="B221" s="116"/>
      <c r="C221" s="9"/>
      <c r="D221" s="1"/>
      <c r="E221" s="104"/>
      <c r="F221" s="1"/>
    </row>
    <row r="222" spans="1:6" x14ac:dyDescent="0.25">
      <c r="A222" s="1"/>
      <c r="B222" s="116"/>
      <c r="C222" s="9"/>
      <c r="D222" s="1"/>
      <c r="E222" s="104"/>
      <c r="F222" s="1"/>
    </row>
    <row r="223" spans="1:6" x14ac:dyDescent="0.25">
      <c r="A223" s="1"/>
      <c r="B223" s="116"/>
      <c r="C223" s="9"/>
      <c r="D223" s="1"/>
      <c r="E223" s="104"/>
      <c r="F223" s="1"/>
    </row>
    <row r="224" spans="1:6" x14ac:dyDescent="0.25">
      <c r="A224" s="1"/>
      <c r="B224" s="116"/>
      <c r="C224" s="9"/>
      <c r="D224" s="1"/>
      <c r="E224" s="104"/>
      <c r="F224" s="1"/>
    </row>
    <row r="225" spans="1:6" x14ac:dyDescent="0.25">
      <c r="A225" s="1"/>
      <c r="B225" s="116"/>
      <c r="C225" s="9"/>
      <c r="D225" s="1"/>
      <c r="E225" s="104"/>
      <c r="F225" s="1"/>
    </row>
    <row r="226" spans="1:6" x14ac:dyDescent="0.25">
      <c r="A226" s="1"/>
      <c r="B226" s="116"/>
      <c r="C226" s="9"/>
      <c r="D226" s="1"/>
      <c r="E226" s="104"/>
      <c r="F226" s="1"/>
    </row>
    <row r="227" spans="1:6" x14ac:dyDescent="0.25">
      <c r="A227" s="1"/>
      <c r="B227" s="116"/>
      <c r="C227" s="9"/>
      <c r="D227" s="1"/>
      <c r="E227" s="104"/>
      <c r="F227" s="1"/>
    </row>
    <row r="228" spans="1:6" x14ac:dyDescent="0.25">
      <c r="A228" s="1"/>
      <c r="B228" s="116"/>
      <c r="C228" s="9"/>
      <c r="D228" s="1"/>
      <c r="E228" s="104"/>
      <c r="F228" s="1"/>
    </row>
    <row r="229" spans="1:6" x14ac:dyDescent="0.25">
      <c r="A229" s="1"/>
      <c r="B229" s="116"/>
      <c r="C229" s="9"/>
      <c r="D229" s="1"/>
      <c r="E229" s="104"/>
      <c r="F229" s="1"/>
    </row>
    <row r="230" spans="1:6" x14ac:dyDescent="0.25">
      <c r="A230" s="1"/>
      <c r="B230" s="116"/>
      <c r="C230" s="9"/>
      <c r="D230" s="1"/>
      <c r="E230" s="104"/>
      <c r="F230" s="1"/>
    </row>
    <row r="231" spans="1:6" x14ac:dyDescent="0.25">
      <c r="A231" s="1"/>
      <c r="B231" s="116"/>
      <c r="C231" s="9"/>
      <c r="D231" s="1"/>
      <c r="E231" s="104"/>
      <c r="F231" s="1"/>
    </row>
    <row r="232" spans="1:6" x14ac:dyDescent="0.25">
      <c r="A232" s="1"/>
      <c r="B232" s="116"/>
      <c r="C232" s="9"/>
      <c r="D232" s="1"/>
      <c r="E232" s="104"/>
      <c r="F232" s="1"/>
    </row>
    <row r="233" spans="1:6" x14ac:dyDescent="0.25">
      <c r="A233" s="1"/>
      <c r="B233" s="116"/>
      <c r="C233" s="9"/>
      <c r="D233" s="1"/>
      <c r="E233" s="104"/>
      <c r="F233" s="1"/>
    </row>
    <row r="234" spans="1:6" x14ac:dyDescent="0.25">
      <c r="A234" s="1"/>
      <c r="B234" s="116"/>
      <c r="C234" s="9"/>
      <c r="D234" s="1"/>
      <c r="E234" s="104"/>
      <c r="F234" s="1"/>
    </row>
    <row r="235" spans="1:6" x14ac:dyDescent="0.25">
      <c r="A235" s="1"/>
      <c r="B235" s="116"/>
      <c r="C235" s="9"/>
      <c r="D235" s="1"/>
      <c r="E235" s="104"/>
      <c r="F235" s="1"/>
    </row>
    <row r="236" spans="1:6" x14ac:dyDescent="0.25">
      <c r="A236" s="1"/>
      <c r="B236" s="116"/>
      <c r="C236" s="9"/>
      <c r="D236" s="1"/>
      <c r="E236" s="104"/>
      <c r="F236" s="1"/>
    </row>
    <row r="237" spans="1:6" x14ac:dyDescent="0.25">
      <c r="A237" s="1"/>
      <c r="B237" s="116"/>
      <c r="C237" s="9"/>
      <c r="D237" s="1"/>
      <c r="E237" s="104"/>
      <c r="F237" s="1"/>
    </row>
  </sheetData>
  <mergeCells count="15">
    <mergeCell ref="D204:D205"/>
    <mergeCell ref="F204:F205"/>
    <mergeCell ref="A208:F209"/>
    <mergeCell ref="A195:E195"/>
    <mergeCell ref="A197:F197"/>
    <mergeCell ref="A198:C198"/>
    <mergeCell ref="D200:D201"/>
    <mergeCell ref="F200:F201"/>
    <mergeCell ref="A203:F203"/>
    <mergeCell ref="D23:F23"/>
    <mergeCell ref="A24:F24"/>
    <mergeCell ref="A26:F26"/>
    <mergeCell ref="A27:F27"/>
    <mergeCell ref="D192:D193"/>
    <mergeCell ref="F192:F193"/>
  </mergeCells>
  <pageMargins left="0.7" right="0.7" top="0.78740157499999996" bottom="0.78740157499999996" header="0.3" footer="0.3"/>
  <pageSetup paperSize="9" scale="6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AE07C-5EE9-4F6C-9C62-2CB7E3C0CB1D}">
  <dimension ref="A1:I237"/>
  <sheetViews>
    <sheetView topLeftCell="B201" workbookViewId="0">
      <selection activeCell="I29" sqref="I29"/>
    </sheetView>
  </sheetViews>
  <sheetFormatPr defaultRowHeight="15" x14ac:dyDescent="0.25"/>
  <cols>
    <col min="1" max="1" width="36.5703125" customWidth="1"/>
    <col min="2" max="2" width="9" style="127" customWidth="1"/>
    <col min="3" max="3" width="37.140625" style="12" customWidth="1"/>
    <col min="4" max="4" width="24.7109375" customWidth="1"/>
    <col min="5" max="5" width="11.28515625" style="106" customWidth="1"/>
    <col min="6" max="6" width="23.140625" customWidth="1"/>
    <col min="8" max="9" width="10.85546875" bestFit="1" customWidth="1"/>
  </cols>
  <sheetData>
    <row r="1" spans="1:6" x14ac:dyDescent="0.25">
      <c r="A1" s="1"/>
      <c r="B1" s="116"/>
      <c r="C1" s="9"/>
      <c r="D1" s="1"/>
      <c r="E1" s="104"/>
      <c r="F1" s="1"/>
    </row>
    <row r="2" spans="1:6" x14ac:dyDescent="0.25">
      <c r="A2" s="14" t="s">
        <v>280</v>
      </c>
      <c r="B2" s="14"/>
      <c r="C2" s="9" t="s">
        <v>18</v>
      </c>
      <c r="D2" s="1"/>
      <c r="E2" s="104"/>
      <c r="F2" s="1"/>
    </row>
    <row r="3" spans="1:6" x14ac:dyDescent="0.25">
      <c r="A3" s="1"/>
      <c r="B3" s="116"/>
      <c r="C3" s="9" t="s">
        <v>249</v>
      </c>
      <c r="D3" s="1"/>
      <c r="E3" s="104"/>
      <c r="F3" s="1"/>
    </row>
    <row r="4" spans="1:6" x14ac:dyDescent="0.25">
      <c r="A4" s="1"/>
      <c r="B4" s="116"/>
      <c r="C4" s="9" t="s">
        <v>279</v>
      </c>
      <c r="D4" s="1"/>
      <c r="E4" s="104"/>
      <c r="F4" s="1"/>
    </row>
    <row r="5" spans="1:6" x14ac:dyDescent="0.25">
      <c r="A5" s="82" t="s">
        <v>45</v>
      </c>
      <c r="B5" s="116"/>
      <c r="C5" s="9"/>
      <c r="D5" s="1"/>
      <c r="E5" s="104"/>
      <c r="F5" s="1"/>
    </row>
    <row r="6" spans="1:6" x14ac:dyDescent="0.25">
      <c r="A6" s="1" t="s">
        <v>192</v>
      </c>
      <c r="B6" s="116"/>
      <c r="C6" s="9" t="s">
        <v>190</v>
      </c>
      <c r="D6" s="1"/>
      <c r="E6" s="104"/>
      <c r="F6" s="1"/>
    </row>
    <row r="7" spans="1:6" x14ac:dyDescent="0.25">
      <c r="A7" s="1" t="s">
        <v>193</v>
      </c>
      <c r="B7" s="116"/>
      <c r="C7" s="9" t="s">
        <v>49</v>
      </c>
      <c r="D7" s="1"/>
      <c r="E7" s="104"/>
      <c r="F7" s="1"/>
    </row>
    <row r="8" spans="1:6" x14ac:dyDescent="0.25">
      <c r="A8" s="1" t="s">
        <v>194</v>
      </c>
      <c r="B8" s="116"/>
      <c r="C8" s="9" t="s">
        <v>191</v>
      </c>
      <c r="D8" s="1"/>
      <c r="E8" s="104"/>
      <c r="F8" s="1"/>
    </row>
    <row r="9" spans="1:6" x14ac:dyDescent="0.25">
      <c r="A9" s="1" t="s">
        <v>196</v>
      </c>
      <c r="B9" s="116"/>
      <c r="C9" s="9" t="s">
        <v>237</v>
      </c>
      <c r="D9" s="1"/>
      <c r="E9" s="104"/>
      <c r="F9" s="1"/>
    </row>
    <row r="10" spans="1:6" x14ac:dyDescent="0.25">
      <c r="A10" s="1" t="s">
        <v>195</v>
      </c>
      <c r="B10" s="116"/>
      <c r="C10" s="9" t="s">
        <v>197</v>
      </c>
      <c r="D10" s="1"/>
      <c r="E10" s="104"/>
      <c r="F10" s="1"/>
    </row>
    <row r="11" spans="1:6" x14ac:dyDescent="0.25">
      <c r="A11" s="1" t="s">
        <v>239</v>
      </c>
      <c r="B11" s="116"/>
      <c r="C11" s="9" t="s">
        <v>198</v>
      </c>
      <c r="D11" s="1"/>
      <c r="E11" s="104"/>
      <c r="F11" s="1"/>
    </row>
    <row r="12" spans="1:6" x14ac:dyDescent="0.25">
      <c r="A12" s="1"/>
      <c r="B12" s="116"/>
      <c r="C12" s="9"/>
      <c r="D12" s="1"/>
      <c r="E12" s="104"/>
      <c r="F12" s="1"/>
    </row>
    <row r="13" spans="1:6" ht="17.25" customHeight="1" x14ac:dyDescent="0.25">
      <c r="A13" s="1" t="s">
        <v>50</v>
      </c>
      <c r="B13" s="116"/>
      <c r="C13" s="9" t="s">
        <v>250</v>
      </c>
      <c r="D13" s="1"/>
      <c r="E13" s="104"/>
      <c r="F13" s="1"/>
    </row>
    <row r="14" spans="1:6" ht="17.25" customHeight="1" x14ac:dyDescent="0.25">
      <c r="A14" s="1"/>
      <c r="B14" s="116"/>
      <c r="C14" s="9" t="s">
        <v>199</v>
      </c>
      <c r="D14" s="1"/>
      <c r="E14" s="104"/>
      <c r="F14" s="1"/>
    </row>
    <row r="15" spans="1:6" ht="17.25" customHeight="1" x14ac:dyDescent="0.25">
      <c r="A15" s="1"/>
      <c r="B15" s="116"/>
      <c r="C15" s="9" t="s">
        <v>52</v>
      </c>
      <c r="D15" s="1"/>
      <c r="E15" s="104"/>
      <c r="F15" s="1"/>
    </row>
    <row r="16" spans="1:6" ht="17.25" customHeight="1" x14ac:dyDescent="0.25">
      <c r="A16" s="1"/>
      <c r="B16" s="116"/>
      <c r="C16" s="9" t="s">
        <v>51</v>
      </c>
      <c r="D16" s="1"/>
      <c r="E16" s="104"/>
      <c r="F16" s="1"/>
    </row>
    <row r="17" spans="1:6" ht="17.25" customHeight="1" x14ac:dyDescent="0.25">
      <c r="A17" s="1"/>
      <c r="B17" s="116"/>
      <c r="C17" s="9" t="s">
        <v>241</v>
      </c>
      <c r="D17" s="1"/>
      <c r="E17" s="104"/>
      <c r="F17" s="1"/>
    </row>
    <row r="18" spans="1:6" ht="17.25" customHeight="1" x14ac:dyDescent="0.25">
      <c r="A18" s="1"/>
      <c r="B18" s="116"/>
      <c r="C18" s="9" t="s">
        <v>240</v>
      </c>
      <c r="D18" s="1"/>
      <c r="E18" s="104"/>
      <c r="F18" s="1"/>
    </row>
    <row r="19" spans="1:6" ht="17.25" customHeight="1" x14ac:dyDescent="0.25">
      <c r="A19" s="1"/>
      <c r="B19" s="116"/>
      <c r="C19" s="9" t="s">
        <v>242</v>
      </c>
      <c r="D19" s="1"/>
      <c r="E19" s="104"/>
      <c r="F19" s="1"/>
    </row>
    <row r="20" spans="1:6" ht="17.25" customHeight="1" x14ac:dyDescent="0.25">
      <c r="A20" s="1"/>
      <c r="B20" s="116"/>
      <c r="C20" s="9" t="s">
        <v>243</v>
      </c>
      <c r="D20" s="1"/>
      <c r="E20" s="104"/>
      <c r="F20" s="1"/>
    </row>
    <row r="21" spans="1:6" ht="17.25" customHeight="1" x14ac:dyDescent="0.25">
      <c r="A21" s="128"/>
      <c r="B21" s="116"/>
      <c r="C21" s="9" t="s">
        <v>244</v>
      </c>
      <c r="D21" s="1"/>
      <c r="E21" s="104"/>
      <c r="F21" s="1"/>
    </row>
    <row r="22" spans="1:6" ht="17.25" customHeight="1" x14ac:dyDescent="0.25">
      <c r="A22" s="128"/>
      <c r="B22" s="116"/>
      <c r="C22" s="9"/>
      <c r="D22" s="1"/>
      <c r="E22" s="104"/>
      <c r="F22" s="1"/>
    </row>
    <row r="23" spans="1:6" ht="17.25" customHeight="1" x14ac:dyDescent="0.25">
      <c r="A23" s="1"/>
      <c r="B23" s="116"/>
      <c r="C23" s="9"/>
      <c r="D23" s="240" t="s">
        <v>246</v>
      </c>
      <c r="E23" s="240"/>
      <c r="F23" s="240"/>
    </row>
    <row r="24" spans="1:6" ht="21.6" customHeight="1" x14ac:dyDescent="0.25">
      <c r="A24" s="241" t="s">
        <v>5</v>
      </c>
      <c r="B24" s="241"/>
      <c r="C24" s="241"/>
      <c r="D24" s="241"/>
      <c r="E24" s="241"/>
      <c r="F24" s="241"/>
    </row>
    <row r="25" spans="1:6" ht="18" customHeight="1" thickBot="1" x14ac:dyDescent="0.3">
      <c r="A25" s="2"/>
      <c r="B25" s="117"/>
      <c r="C25" s="10"/>
      <c r="D25" s="2"/>
      <c r="E25" s="105"/>
      <c r="F25" s="2"/>
    </row>
    <row r="26" spans="1:6" ht="20.45" customHeight="1" thickBot="1" x14ac:dyDescent="0.3">
      <c r="A26" s="233" t="s">
        <v>22</v>
      </c>
      <c r="B26" s="234"/>
      <c r="C26" s="234"/>
      <c r="D26" s="234"/>
      <c r="E26" s="234"/>
      <c r="F26" s="234"/>
    </row>
    <row r="27" spans="1:6" ht="20.45" customHeight="1" x14ac:dyDescent="0.25">
      <c r="A27" s="233" t="s">
        <v>21</v>
      </c>
      <c r="B27" s="234"/>
      <c r="C27" s="234"/>
      <c r="D27" s="234"/>
      <c r="E27" s="234"/>
      <c r="F27" s="234"/>
    </row>
    <row r="28" spans="1:6" ht="56.25" customHeight="1" thickBot="1" x14ac:dyDescent="0.3">
      <c r="A28" s="22" t="s">
        <v>46</v>
      </c>
      <c r="B28" s="66" t="s">
        <v>48</v>
      </c>
      <c r="C28" s="24" t="s">
        <v>55</v>
      </c>
      <c r="D28" s="24" t="s">
        <v>3</v>
      </c>
      <c r="E28" s="23" t="s">
        <v>47</v>
      </c>
      <c r="F28" s="25" t="s">
        <v>281</v>
      </c>
    </row>
    <row r="29" spans="1:6" ht="182.25" customHeight="1" x14ac:dyDescent="0.25">
      <c r="A29" s="26" t="s">
        <v>105</v>
      </c>
      <c r="B29" s="67">
        <f>262.16+33.55</f>
        <v>295.71000000000004</v>
      </c>
      <c r="C29" s="27" t="s">
        <v>61</v>
      </c>
      <c r="D29" s="181">
        <v>350</v>
      </c>
      <c r="E29" s="67" t="s">
        <v>53</v>
      </c>
      <c r="F29" s="131">
        <f>D29*354</f>
        <v>123900</v>
      </c>
    </row>
    <row r="30" spans="1:6" ht="54" customHeight="1" x14ac:dyDescent="0.25">
      <c r="A30" s="6" t="s">
        <v>24</v>
      </c>
      <c r="B30" s="68"/>
      <c r="C30" s="8" t="s">
        <v>56</v>
      </c>
      <c r="D30" s="182">
        <v>35</v>
      </c>
      <c r="E30" s="68" t="s">
        <v>54</v>
      </c>
      <c r="F30" s="132">
        <f>D30*2*51</f>
        <v>3570</v>
      </c>
    </row>
    <row r="31" spans="1:6" ht="47.25" customHeight="1" x14ac:dyDescent="0.25">
      <c r="A31" s="6" t="s">
        <v>24</v>
      </c>
      <c r="B31" s="68"/>
      <c r="C31" s="8" t="s">
        <v>58</v>
      </c>
      <c r="D31" s="182">
        <v>55</v>
      </c>
      <c r="E31" s="68" t="s">
        <v>57</v>
      </c>
      <c r="F31" s="132">
        <f>D31*51</f>
        <v>2805</v>
      </c>
    </row>
    <row r="32" spans="1:6" ht="48" customHeight="1" thickBot="1" x14ac:dyDescent="0.3">
      <c r="A32" s="6" t="s">
        <v>24</v>
      </c>
      <c r="B32" s="68"/>
      <c r="C32" s="150" t="s">
        <v>267</v>
      </c>
      <c r="D32" s="182">
        <v>55</v>
      </c>
      <c r="E32" s="68" t="s">
        <v>59</v>
      </c>
      <c r="F32" s="132">
        <f>D32*12</f>
        <v>660</v>
      </c>
    </row>
    <row r="33" spans="1:9" ht="180" customHeight="1" x14ac:dyDescent="0.25">
      <c r="A33" s="32" t="s">
        <v>6</v>
      </c>
      <c r="B33" s="67">
        <v>54.44</v>
      </c>
      <c r="C33" s="27" t="s">
        <v>62</v>
      </c>
      <c r="D33" s="181">
        <v>85</v>
      </c>
      <c r="E33" s="67" t="s">
        <v>53</v>
      </c>
      <c r="F33" s="131">
        <f>D33*354</f>
        <v>30090</v>
      </c>
    </row>
    <row r="34" spans="1:9" ht="27.75" customHeight="1" x14ac:dyDescent="0.25">
      <c r="A34" s="5" t="s">
        <v>25</v>
      </c>
      <c r="B34" s="68"/>
      <c r="C34" s="31" t="s">
        <v>63</v>
      </c>
      <c r="D34" s="182">
        <v>55</v>
      </c>
      <c r="E34" s="68" t="s">
        <v>57</v>
      </c>
      <c r="F34" s="132">
        <f>D34*51</f>
        <v>2805</v>
      </c>
      <c r="H34" s="40"/>
      <c r="I34" s="40"/>
    </row>
    <row r="35" spans="1:9" ht="24.95" customHeight="1" thickBot="1" x14ac:dyDescent="0.3">
      <c r="A35" s="33" t="s">
        <v>25</v>
      </c>
      <c r="B35" s="69"/>
      <c r="C35" s="34" t="s">
        <v>64</v>
      </c>
      <c r="D35" s="183">
        <v>250</v>
      </c>
      <c r="E35" s="69" t="s">
        <v>59</v>
      </c>
      <c r="F35" s="133">
        <f>D35*12</f>
        <v>3000</v>
      </c>
    </row>
    <row r="36" spans="1:9" ht="39" customHeight="1" thickBot="1" x14ac:dyDescent="0.3">
      <c r="A36" s="37" t="s">
        <v>186</v>
      </c>
      <c r="B36" s="70">
        <v>60.71</v>
      </c>
      <c r="C36" s="38" t="s">
        <v>14</v>
      </c>
      <c r="D36" s="184">
        <v>40</v>
      </c>
      <c r="E36" s="77" t="s">
        <v>187</v>
      </c>
      <c r="F36" s="134">
        <f>D36*29</f>
        <v>1160</v>
      </c>
    </row>
    <row r="37" spans="1:9" ht="215.25" customHeight="1" x14ac:dyDescent="0.25">
      <c r="A37" s="32" t="s">
        <v>106</v>
      </c>
      <c r="B37" s="67">
        <v>145.9</v>
      </c>
      <c r="C37" s="43" t="s">
        <v>66</v>
      </c>
      <c r="D37" s="181">
        <v>145</v>
      </c>
      <c r="E37" s="67" t="s">
        <v>53</v>
      </c>
      <c r="F37" s="131">
        <f>D37*354</f>
        <v>51330</v>
      </c>
    </row>
    <row r="38" spans="1:9" ht="31.5" customHeight="1" x14ac:dyDescent="0.25">
      <c r="A38" s="35" t="s">
        <v>106</v>
      </c>
      <c r="B38" s="71"/>
      <c r="C38" s="36" t="s">
        <v>68</v>
      </c>
      <c r="D38" s="185">
        <v>10</v>
      </c>
      <c r="E38" s="71" t="s">
        <v>67</v>
      </c>
      <c r="F38" s="135">
        <f>D38*2*354</f>
        <v>7080</v>
      </c>
    </row>
    <row r="39" spans="1:9" ht="191.25" customHeight="1" x14ac:dyDescent="0.25">
      <c r="A39" s="35" t="s">
        <v>106</v>
      </c>
      <c r="B39" s="71"/>
      <c r="C39" s="36" t="s">
        <v>69</v>
      </c>
      <c r="D39" s="185">
        <v>35</v>
      </c>
      <c r="E39" s="71" t="s">
        <v>57</v>
      </c>
      <c r="F39" s="135">
        <f>D39*51</f>
        <v>1785</v>
      </c>
    </row>
    <row r="40" spans="1:9" ht="16.5" customHeight="1" thickBot="1" x14ac:dyDescent="0.3">
      <c r="A40" s="44" t="s">
        <v>106</v>
      </c>
      <c r="B40" s="72"/>
      <c r="C40" s="45" t="s">
        <v>26</v>
      </c>
      <c r="D40" s="186">
        <v>150</v>
      </c>
      <c r="E40" s="72" t="s">
        <v>70</v>
      </c>
      <c r="F40" s="136">
        <f>D40*2*12</f>
        <v>3600</v>
      </c>
    </row>
    <row r="41" spans="1:9" ht="194.45" customHeight="1" thickBot="1" x14ac:dyDescent="0.3">
      <c r="A41" s="53" t="s">
        <v>107</v>
      </c>
      <c r="B41" s="73">
        <v>295.70999999999998</v>
      </c>
      <c r="C41" s="54" t="s">
        <v>71</v>
      </c>
      <c r="D41" s="187">
        <v>350</v>
      </c>
      <c r="E41" s="73" t="s">
        <v>53</v>
      </c>
      <c r="F41" s="137">
        <f>D41*354</f>
        <v>123900</v>
      </c>
    </row>
    <row r="42" spans="1:9" ht="77.25" customHeight="1" x14ac:dyDescent="0.25">
      <c r="A42" s="26" t="s">
        <v>27</v>
      </c>
      <c r="B42" s="67"/>
      <c r="C42" s="27" t="s">
        <v>73</v>
      </c>
      <c r="D42" s="181">
        <v>35</v>
      </c>
      <c r="E42" s="67" t="s">
        <v>72</v>
      </c>
      <c r="F42" s="131">
        <f>D42*2*51</f>
        <v>3570</v>
      </c>
    </row>
    <row r="43" spans="1:9" ht="41.25" customHeight="1" thickBot="1" x14ac:dyDescent="0.3">
      <c r="A43" s="28" t="s">
        <v>27</v>
      </c>
      <c r="B43" s="69"/>
      <c r="C43" s="29" t="s">
        <v>58</v>
      </c>
      <c r="D43" s="183">
        <v>55</v>
      </c>
      <c r="E43" s="69" t="s">
        <v>57</v>
      </c>
      <c r="F43" s="133">
        <f>D43*51</f>
        <v>2805</v>
      </c>
    </row>
    <row r="44" spans="1:9" ht="26.25" thickBot="1" x14ac:dyDescent="0.3">
      <c r="A44" s="6" t="s">
        <v>27</v>
      </c>
      <c r="B44" s="68"/>
      <c r="C44" s="150" t="s">
        <v>267</v>
      </c>
      <c r="D44" s="182">
        <v>55</v>
      </c>
      <c r="E44" s="68" t="s">
        <v>59</v>
      </c>
      <c r="F44" s="132">
        <f>D44*12</f>
        <v>660</v>
      </c>
    </row>
    <row r="45" spans="1:9" ht="170.25" customHeight="1" x14ac:dyDescent="0.25">
      <c r="A45" s="32" t="s">
        <v>28</v>
      </c>
      <c r="B45" s="67">
        <v>54.92</v>
      </c>
      <c r="C45" s="27" t="s">
        <v>62</v>
      </c>
      <c r="D45" s="181">
        <v>85</v>
      </c>
      <c r="E45" s="67" t="s">
        <v>53</v>
      </c>
      <c r="F45" s="131">
        <f>D45*354</f>
        <v>30090</v>
      </c>
    </row>
    <row r="46" spans="1:9" ht="31.5" customHeight="1" x14ac:dyDescent="0.25">
      <c r="A46" s="5" t="s">
        <v>29</v>
      </c>
      <c r="B46" s="74"/>
      <c r="C46" s="31" t="s">
        <v>63</v>
      </c>
      <c r="D46" s="182">
        <v>55</v>
      </c>
      <c r="E46" s="68" t="s">
        <v>57</v>
      </c>
      <c r="F46" s="132">
        <f>D46*51</f>
        <v>2805</v>
      </c>
    </row>
    <row r="47" spans="1:9" ht="24.95" customHeight="1" thickBot="1" x14ac:dyDescent="0.3">
      <c r="A47" s="33" t="s">
        <v>29</v>
      </c>
      <c r="B47" s="75"/>
      <c r="C47" s="34" t="s">
        <v>64</v>
      </c>
      <c r="D47" s="183">
        <v>250</v>
      </c>
      <c r="E47" s="69" t="s">
        <v>59</v>
      </c>
      <c r="F47" s="133">
        <f>D47*12</f>
        <v>3000</v>
      </c>
    </row>
    <row r="48" spans="1:9" ht="29.25" customHeight="1" thickBot="1" x14ac:dyDescent="0.3">
      <c r="A48" s="47" t="s">
        <v>108</v>
      </c>
      <c r="B48" s="76">
        <v>68.959999999999994</v>
      </c>
      <c r="C48" s="48" t="s">
        <v>14</v>
      </c>
      <c r="D48" s="187">
        <v>50</v>
      </c>
      <c r="E48" s="77" t="s">
        <v>65</v>
      </c>
      <c r="F48" s="137">
        <f>D48*29</f>
        <v>1450</v>
      </c>
    </row>
    <row r="49" spans="1:6" ht="170.25" customHeight="1" x14ac:dyDescent="0.25">
      <c r="A49" s="32" t="s">
        <v>109</v>
      </c>
      <c r="B49" s="67">
        <v>139.54</v>
      </c>
      <c r="C49" s="43" t="s">
        <v>75</v>
      </c>
      <c r="D49" s="181">
        <v>140</v>
      </c>
      <c r="E49" s="67" t="s">
        <v>74</v>
      </c>
      <c r="F49" s="131">
        <f>D49*354</f>
        <v>49560</v>
      </c>
    </row>
    <row r="50" spans="1:6" ht="30.75" customHeight="1" x14ac:dyDescent="0.25">
      <c r="A50" s="35" t="s">
        <v>109</v>
      </c>
      <c r="B50" s="71"/>
      <c r="C50" s="36" t="s">
        <v>68</v>
      </c>
      <c r="D50" s="185">
        <v>35</v>
      </c>
      <c r="E50" s="71" t="s">
        <v>67</v>
      </c>
      <c r="F50" s="135">
        <f>D50*2*354</f>
        <v>24780</v>
      </c>
    </row>
    <row r="51" spans="1:6" ht="178.5" x14ac:dyDescent="0.25">
      <c r="A51" s="35" t="s">
        <v>109</v>
      </c>
      <c r="B51" s="68"/>
      <c r="C51" s="36" t="s">
        <v>77</v>
      </c>
      <c r="D51" s="182">
        <v>135</v>
      </c>
      <c r="E51" s="68" t="s">
        <v>57</v>
      </c>
      <c r="F51" s="132">
        <f>D51*51</f>
        <v>6885</v>
      </c>
    </row>
    <row r="52" spans="1:6" ht="15.75" thickBot="1" x14ac:dyDescent="0.3">
      <c r="A52" s="44" t="s">
        <v>109</v>
      </c>
      <c r="B52" s="69"/>
      <c r="C52" s="49" t="s">
        <v>76</v>
      </c>
      <c r="D52" s="183">
        <v>140</v>
      </c>
      <c r="E52" s="69" t="s">
        <v>70</v>
      </c>
      <c r="F52" s="133">
        <f>D52*2*12</f>
        <v>3360</v>
      </c>
    </row>
    <row r="53" spans="1:6" ht="184.5" customHeight="1" x14ac:dyDescent="0.25">
      <c r="A53" s="46" t="s">
        <v>110</v>
      </c>
      <c r="B53" s="67">
        <v>295.70999999999998</v>
      </c>
      <c r="C53" s="27" t="s">
        <v>188</v>
      </c>
      <c r="D53" s="181">
        <v>350</v>
      </c>
      <c r="E53" s="67" t="s">
        <v>53</v>
      </c>
      <c r="F53" s="131">
        <f>D53*354</f>
        <v>123900</v>
      </c>
    </row>
    <row r="54" spans="1:6" ht="63.75" x14ac:dyDescent="0.25">
      <c r="A54" s="6" t="s">
        <v>30</v>
      </c>
      <c r="B54" s="68"/>
      <c r="C54" s="8" t="s">
        <v>189</v>
      </c>
      <c r="D54" s="182">
        <v>35</v>
      </c>
      <c r="E54" s="68" t="s">
        <v>54</v>
      </c>
      <c r="F54" s="132">
        <f>D54*2*51</f>
        <v>3570</v>
      </c>
    </row>
    <row r="55" spans="1:6" ht="38.25" x14ac:dyDescent="0.25">
      <c r="A55" s="6" t="s">
        <v>30</v>
      </c>
      <c r="B55" s="68"/>
      <c r="C55" s="8" t="s">
        <v>58</v>
      </c>
      <c r="D55" s="182">
        <v>55</v>
      </c>
      <c r="E55" s="68" t="s">
        <v>57</v>
      </c>
      <c r="F55" s="132">
        <f>D55*51</f>
        <v>2805</v>
      </c>
    </row>
    <row r="56" spans="1:6" ht="26.25" thickBot="1" x14ac:dyDescent="0.3">
      <c r="A56" s="28" t="s">
        <v>30</v>
      </c>
      <c r="B56" s="69"/>
      <c r="C56" s="172" t="s">
        <v>267</v>
      </c>
      <c r="D56" s="183">
        <v>55</v>
      </c>
      <c r="E56" s="69" t="s">
        <v>59</v>
      </c>
      <c r="F56" s="133">
        <f>D56*12</f>
        <v>660</v>
      </c>
    </row>
    <row r="57" spans="1:6" ht="204" x14ac:dyDescent="0.25">
      <c r="A57" s="41" t="s">
        <v>111</v>
      </c>
      <c r="B57" s="71">
        <v>54.4</v>
      </c>
      <c r="C57" s="42" t="s">
        <v>78</v>
      </c>
      <c r="D57" s="185">
        <v>85</v>
      </c>
      <c r="E57" s="71" t="s">
        <v>53</v>
      </c>
      <c r="F57" s="135">
        <f>D57*354</f>
        <v>30090</v>
      </c>
    </row>
    <row r="58" spans="1:6" ht="24.95" customHeight="1" x14ac:dyDescent="0.25">
      <c r="A58" s="5" t="s">
        <v>31</v>
      </c>
      <c r="B58" s="74"/>
      <c r="C58" s="31" t="s">
        <v>63</v>
      </c>
      <c r="D58" s="182">
        <v>55</v>
      </c>
      <c r="E58" s="68" t="s">
        <v>57</v>
      </c>
      <c r="F58" s="132">
        <f>D58*51</f>
        <v>2805</v>
      </c>
    </row>
    <row r="59" spans="1:6" ht="24.95" customHeight="1" thickBot="1" x14ac:dyDescent="0.3">
      <c r="A59" s="33" t="s">
        <v>31</v>
      </c>
      <c r="B59" s="75"/>
      <c r="C59" s="34" t="s">
        <v>64</v>
      </c>
      <c r="D59" s="183">
        <v>250</v>
      </c>
      <c r="E59" s="69" t="s">
        <v>59</v>
      </c>
      <c r="F59" s="133">
        <f>D59*12</f>
        <v>3000</v>
      </c>
    </row>
    <row r="60" spans="1:6" ht="47.25" customHeight="1" thickBot="1" x14ac:dyDescent="0.3">
      <c r="A60" s="78" t="s">
        <v>112</v>
      </c>
      <c r="B60" s="79">
        <v>68.959999999999994</v>
      </c>
      <c r="C60" s="38" t="s">
        <v>14</v>
      </c>
      <c r="D60" s="184">
        <v>50</v>
      </c>
      <c r="E60" s="77" t="s">
        <v>65</v>
      </c>
      <c r="F60" s="134">
        <f>D60*29</f>
        <v>1450</v>
      </c>
    </row>
    <row r="61" spans="1:6" ht="194.25" customHeight="1" x14ac:dyDescent="0.25">
      <c r="A61" s="35" t="s">
        <v>113</v>
      </c>
      <c r="B61" s="71">
        <v>138.38</v>
      </c>
      <c r="C61" s="36" t="s">
        <v>80</v>
      </c>
      <c r="D61" s="185">
        <v>140</v>
      </c>
      <c r="E61" s="71" t="s">
        <v>53</v>
      </c>
      <c r="F61" s="135">
        <f>D61*354</f>
        <v>49560</v>
      </c>
    </row>
    <row r="62" spans="1:6" ht="32.25" customHeight="1" x14ac:dyDescent="0.25">
      <c r="A62" s="35" t="s">
        <v>113</v>
      </c>
      <c r="B62" s="71"/>
      <c r="C62" s="36" t="s">
        <v>79</v>
      </c>
      <c r="D62" s="185">
        <v>35</v>
      </c>
      <c r="E62" s="71" t="s">
        <v>67</v>
      </c>
      <c r="F62" s="135">
        <f>D62*2*354</f>
        <v>24780</v>
      </c>
    </row>
    <row r="63" spans="1:6" ht="181.5" customHeight="1" x14ac:dyDescent="0.25">
      <c r="A63" s="35" t="s">
        <v>113</v>
      </c>
      <c r="B63" s="71"/>
      <c r="C63" s="36" t="s">
        <v>77</v>
      </c>
      <c r="D63" s="185">
        <v>135</v>
      </c>
      <c r="E63" s="71" t="s">
        <v>57</v>
      </c>
      <c r="F63" s="135">
        <f>D63*51</f>
        <v>6885</v>
      </c>
    </row>
    <row r="64" spans="1:6" ht="24.95" customHeight="1" thickBot="1" x14ac:dyDescent="0.3">
      <c r="A64" s="44" t="s">
        <v>113</v>
      </c>
      <c r="B64" s="69"/>
      <c r="C64" s="50" t="s">
        <v>76</v>
      </c>
      <c r="D64" s="183">
        <v>140</v>
      </c>
      <c r="E64" s="69" t="s">
        <v>70</v>
      </c>
      <c r="F64" s="133">
        <f>D64*2*12</f>
        <v>3360</v>
      </c>
    </row>
    <row r="65" spans="1:6" ht="116.25" customHeight="1" x14ac:dyDescent="0.25">
      <c r="A65" s="46" t="s">
        <v>268</v>
      </c>
      <c r="B65" s="67">
        <f>61.61+61.61+59.07</f>
        <v>182.29</v>
      </c>
      <c r="C65" s="43" t="s">
        <v>81</v>
      </c>
      <c r="D65" s="181">
        <v>200</v>
      </c>
      <c r="E65" s="67" t="s">
        <v>53</v>
      </c>
      <c r="F65" s="131">
        <f>D65*354</f>
        <v>70800</v>
      </c>
    </row>
    <row r="66" spans="1:6" ht="36.75" customHeight="1" thickBot="1" x14ac:dyDescent="0.3">
      <c r="A66" s="55" t="s">
        <v>269</v>
      </c>
      <c r="B66" s="72"/>
      <c r="C66" s="56" t="s">
        <v>82</v>
      </c>
      <c r="D66" s="186">
        <v>35</v>
      </c>
      <c r="E66" s="72" t="s">
        <v>57</v>
      </c>
      <c r="F66" s="136">
        <f>D66*51</f>
        <v>1785</v>
      </c>
    </row>
    <row r="67" spans="1:6" ht="186.75" customHeight="1" x14ac:dyDescent="0.25">
      <c r="A67" s="35" t="s">
        <v>114</v>
      </c>
      <c r="B67" s="71">
        <v>85.66</v>
      </c>
      <c r="C67" s="51" t="s">
        <v>83</v>
      </c>
      <c r="D67" s="185">
        <v>100</v>
      </c>
      <c r="E67" s="71" t="s">
        <v>53</v>
      </c>
      <c r="F67" s="135">
        <f>D67*354</f>
        <v>35400</v>
      </c>
    </row>
    <row r="68" spans="1:6" ht="71.25" customHeight="1" x14ac:dyDescent="0.25">
      <c r="A68" s="6" t="s">
        <v>32</v>
      </c>
      <c r="B68" s="71"/>
      <c r="C68" s="52" t="s">
        <v>84</v>
      </c>
      <c r="D68" s="185">
        <v>35</v>
      </c>
      <c r="E68" s="71" t="s">
        <v>54</v>
      </c>
      <c r="F68" s="135">
        <f>D68*2*51</f>
        <v>3570</v>
      </c>
    </row>
    <row r="69" spans="1:6" ht="38.25" customHeight="1" x14ac:dyDescent="0.25">
      <c r="A69" s="6" t="s">
        <v>32</v>
      </c>
      <c r="B69" s="71"/>
      <c r="C69" s="52" t="s">
        <v>85</v>
      </c>
      <c r="D69" s="185">
        <v>55</v>
      </c>
      <c r="E69" s="71" t="s">
        <v>57</v>
      </c>
      <c r="F69" s="135">
        <f>D69*51</f>
        <v>2805</v>
      </c>
    </row>
    <row r="70" spans="1:6" ht="27" customHeight="1" thickBot="1" x14ac:dyDescent="0.3">
      <c r="A70" s="57" t="s">
        <v>32</v>
      </c>
      <c r="B70" s="73"/>
      <c r="C70" s="150" t="s">
        <v>267</v>
      </c>
      <c r="D70" s="187">
        <v>55</v>
      </c>
      <c r="E70" s="73" t="s">
        <v>59</v>
      </c>
      <c r="F70" s="137">
        <f>D70*12</f>
        <v>660</v>
      </c>
    </row>
    <row r="71" spans="1:6" ht="157.5" customHeight="1" x14ac:dyDescent="0.25">
      <c r="A71" s="46" t="s">
        <v>115</v>
      </c>
      <c r="B71" s="67">
        <v>13.64</v>
      </c>
      <c r="C71" s="27" t="s">
        <v>86</v>
      </c>
      <c r="D71" s="181">
        <v>22</v>
      </c>
      <c r="E71" s="67" t="s">
        <v>53</v>
      </c>
      <c r="F71" s="131">
        <f>D71*354</f>
        <v>7788</v>
      </c>
    </row>
    <row r="72" spans="1:6" ht="31.5" customHeight="1" x14ac:dyDescent="0.25">
      <c r="A72" s="5" t="s">
        <v>33</v>
      </c>
      <c r="B72" s="68"/>
      <c r="C72" s="8" t="s">
        <v>63</v>
      </c>
      <c r="D72" s="182">
        <v>55</v>
      </c>
      <c r="E72" s="68" t="s">
        <v>57</v>
      </c>
      <c r="F72" s="132">
        <f>D72*51</f>
        <v>2805</v>
      </c>
    </row>
    <row r="73" spans="1:6" ht="27" customHeight="1" thickBot="1" x14ac:dyDescent="0.3">
      <c r="A73" s="33" t="s">
        <v>33</v>
      </c>
      <c r="B73" s="69"/>
      <c r="C73" s="29" t="s">
        <v>64</v>
      </c>
      <c r="D73" s="183">
        <v>250</v>
      </c>
      <c r="E73" s="69" t="s">
        <v>59</v>
      </c>
      <c r="F73" s="133">
        <f>D73*12</f>
        <v>3000</v>
      </c>
    </row>
    <row r="74" spans="1:6" ht="168" customHeight="1" x14ac:dyDescent="0.25">
      <c r="A74" s="46" t="s">
        <v>129</v>
      </c>
      <c r="B74" s="67">
        <v>286.48</v>
      </c>
      <c r="C74" s="27" t="s">
        <v>133</v>
      </c>
      <c r="D74" s="181">
        <v>340</v>
      </c>
      <c r="E74" s="67" t="s">
        <v>53</v>
      </c>
      <c r="F74" s="131">
        <f>D74*354</f>
        <v>120360</v>
      </c>
    </row>
    <row r="75" spans="1:6" ht="63.75" x14ac:dyDescent="0.25">
      <c r="A75" s="6" t="s">
        <v>130</v>
      </c>
      <c r="B75" s="68"/>
      <c r="C75" s="8" t="s">
        <v>87</v>
      </c>
      <c r="D75" s="182">
        <v>35</v>
      </c>
      <c r="E75" s="68" t="s">
        <v>54</v>
      </c>
      <c r="F75" s="132">
        <f>D75*2*51</f>
        <v>3570</v>
      </c>
    </row>
    <row r="76" spans="1:6" ht="51" x14ac:dyDescent="0.25">
      <c r="A76" s="6" t="s">
        <v>130</v>
      </c>
      <c r="B76" s="68"/>
      <c r="C76" s="8" t="s">
        <v>88</v>
      </c>
      <c r="D76" s="182">
        <v>55</v>
      </c>
      <c r="E76" s="68" t="s">
        <v>57</v>
      </c>
      <c r="F76" s="132">
        <f>D76*51</f>
        <v>2805</v>
      </c>
    </row>
    <row r="77" spans="1:6" ht="26.25" thickBot="1" x14ac:dyDescent="0.3">
      <c r="A77" s="28" t="s">
        <v>130</v>
      </c>
      <c r="B77" s="69"/>
      <c r="C77" s="150" t="s">
        <v>267</v>
      </c>
      <c r="D77" s="183">
        <v>55</v>
      </c>
      <c r="E77" s="69" t="s">
        <v>59</v>
      </c>
      <c r="F77" s="133">
        <f>D77*12</f>
        <v>660</v>
      </c>
    </row>
    <row r="78" spans="1:6" ht="179.25" customHeight="1" x14ac:dyDescent="0.25">
      <c r="A78" s="26" t="s">
        <v>132</v>
      </c>
      <c r="B78" s="67">
        <v>39.29</v>
      </c>
      <c r="C78" s="27" t="s">
        <v>134</v>
      </c>
      <c r="D78" s="181">
        <v>60</v>
      </c>
      <c r="E78" s="67" t="s">
        <v>53</v>
      </c>
      <c r="F78" s="131">
        <f>D78*354</f>
        <v>21240</v>
      </c>
    </row>
    <row r="79" spans="1:6" ht="25.5" x14ac:dyDescent="0.25">
      <c r="A79" s="5" t="s">
        <v>131</v>
      </c>
      <c r="B79" s="71"/>
      <c r="C79" s="42" t="s">
        <v>63</v>
      </c>
      <c r="D79" s="185">
        <v>55</v>
      </c>
      <c r="E79" s="71" t="s">
        <v>57</v>
      </c>
      <c r="F79" s="135">
        <f>D79*51</f>
        <v>2805</v>
      </c>
    </row>
    <row r="80" spans="1:6" ht="15.75" thickBot="1" x14ac:dyDescent="0.3">
      <c r="A80" s="33" t="s">
        <v>131</v>
      </c>
      <c r="B80" s="72"/>
      <c r="C80" s="59" t="s">
        <v>64</v>
      </c>
      <c r="D80" s="186">
        <v>250</v>
      </c>
      <c r="E80" s="72" t="s">
        <v>59</v>
      </c>
      <c r="F80" s="136">
        <f>D80*12</f>
        <v>3000</v>
      </c>
    </row>
    <row r="81" spans="1:6" ht="126" customHeight="1" x14ac:dyDescent="0.25">
      <c r="A81" s="60" t="s">
        <v>34</v>
      </c>
      <c r="B81" s="67">
        <v>117.34</v>
      </c>
      <c r="C81" s="43" t="s">
        <v>89</v>
      </c>
      <c r="D81" s="181">
        <v>140</v>
      </c>
      <c r="E81" s="67" t="s">
        <v>53</v>
      </c>
      <c r="F81" s="131">
        <f>D81*354</f>
        <v>49560</v>
      </c>
    </row>
    <row r="82" spans="1:6" ht="28.5" customHeight="1" x14ac:dyDescent="0.25">
      <c r="A82" s="151" t="s">
        <v>34</v>
      </c>
      <c r="B82" s="68"/>
      <c r="C82" s="150" t="s">
        <v>60</v>
      </c>
      <c r="D82" s="182">
        <v>35</v>
      </c>
      <c r="E82" s="68" t="s">
        <v>67</v>
      </c>
      <c r="F82" s="132">
        <f>D82*2*354</f>
        <v>24780</v>
      </c>
    </row>
    <row r="83" spans="1:6" ht="172.9" customHeight="1" x14ac:dyDescent="0.25">
      <c r="A83" s="58" t="s">
        <v>34</v>
      </c>
      <c r="B83" s="71"/>
      <c r="C83" s="36" t="s">
        <v>90</v>
      </c>
      <c r="D83" s="185">
        <v>135</v>
      </c>
      <c r="E83" s="71" t="s">
        <v>57</v>
      </c>
      <c r="F83" s="135">
        <f>D83*51</f>
        <v>6885</v>
      </c>
    </row>
    <row r="84" spans="1:6" ht="15.75" thickBot="1" x14ac:dyDescent="0.3">
      <c r="A84" s="44" t="s">
        <v>34</v>
      </c>
      <c r="B84" s="69"/>
      <c r="C84" s="50" t="s">
        <v>76</v>
      </c>
      <c r="D84" s="183">
        <v>150</v>
      </c>
      <c r="E84" s="69" t="s">
        <v>70</v>
      </c>
      <c r="F84" s="133">
        <f>D84*2*12</f>
        <v>3600</v>
      </c>
    </row>
    <row r="85" spans="1:6" ht="182.25" customHeight="1" x14ac:dyDescent="0.25">
      <c r="A85" s="46" t="s">
        <v>13</v>
      </c>
      <c r="B85" s="67">
        <v>304.22000000000003</v>
      </c>
      <c r="C85" s="27" t="s">
        <v>91</v>
      </c>
      <c r="D85" s="181">
        <v>360</v>
      </c>
      <c r="E85" s="67" t="s">
        <v>53</v>
      </c>
      <c r="F85" s="131">
        <f>D85*354</f>
        <v>127440</v>
      </c>
    </row>
    <row r="86" spans="1:6" ht="63.75" x14ac:dyDescent="0.25">
      <c r="A86" s="6" t="s">
        <v>35</v>
      </c>
      <c r="B86" s="71"/>
      <c r="C86" s="42" t="s">
        <v>92</v>
      </c>
      <c r="D86" s="185">
        <v>35</v>
      </c>
      <c r="E86" s="71" t="s">
        <v>54</v>
      </c>
      <c r="F86" s="135">
        <f>D86*2*51</f>
        <v>3570</v>
      </c>
    </row>
    <row r="87" spans="1:6" ht="51" x14ac:dyDescent="0.25">
      <c r="A87" s="6" t="s">
        <v>35</v>
      </c>
      <c r="B87" s="71"/>
      <c r="C87" s="42" t="s">
        <v>93</v>
      </c>
      <c r="D87" s="185">
        <v>55</v>
      </c>
      <c r="E87" s="71" t="s">
        <v>57</v>
      </c>
      <c r="F87" s="135">
        <f>D87*51</f>
        <v>2805</v>
      </c>
    </row>
    <row r="88" spans="1:6" ht="26.25" thickBot="1" x14ac:dyDescent="0.3">
      <c r="A88" s="28" t="s">
        <v>35</v>
      </c>
      <c r="B88" s="72"/>
      <c r="C88" s="150" t="s">
        <v>267</v>
      </c>
      <c r="D88" s="186">
        <v>55</v>
      </c>
      <c r="E88" s="72" t="s">
        <v>59</v>
      </c>
      <c r="F88" s="136">
        <f>D88*12</f>
        <v>660</v>
      </c>
    </row>
    <row r="89" spans="1:6" ht="168" customHeight="1" x14ac:dyDescent="0.25">
      <c r="A89" s="46" t="s">
        <v>116</v>
      </c>
      <c r="B89" s="67">
        <v>39.24</v>
      </c>
      <c r="C89" s="27" t="s">
        <v>94</v>
      </c>
      <c r="D89" s="181">
        <v>60</v>
      </c>
      <c r="E89" s="67" t="s">
        <v>53</v>
      </c>
      <c r="F89" s="131">
        <f>D89*354</f>
        <v>21240</v>
      </c>
    </row>
    <row r="90" spans="1:6" ht="24.95" customHeight="1" x14ac:dyDescent="0.25">
      <c r="A90" s="5" t="s">
        <v>36</v>
      </c>
      <c r="B90" s="71"/>
      <c r="C90" s="42" t="s">
        <v>63</v>
      </c>
      <c r="D90" s="185">
        <v>55</v>
      </c>
      <c r="E90" s="71" t="s">
        <v>57</v>
      </c>
      <c r="F90" s="135">
        <f>D90*51</f>
        <v>2805</v>
      </c>
    </row>
    <row r="91" spans="1:6" ht="24.95" customHeight="1" thickBot="1" x14ac:dyDescent="0.3">
      <c r="A91" s="33" t="s">
        <v>36</v>
      </c>
      <c r="B91" s="72"/>
      <c r="C91" s="56" t="s">
        <v>64</v>
      </c>
      <c r="D91" s="186">
        <v>250</v>
      </c>
      <c r="E91" s="72" t="s">
        <v>59</v>
      </c>
      <c r="F91" s="136">
        <f>D91*12</f>
        <v>3000</v>
      </c>
    </row>
    <row r="92" spans="1:6" ht="130.5" customHeight="1" x14ac:dyDescent="0.25">
      <c r="A92" s="60" t="s">
        <v>37</v>
      </c>
      <c r="B92" s="67">
        <v>139.54</v>
      </c>
      <c r="C92" s="43" t="s">
        <v>96</v>
      </c>
      <c r="D92" s="181">
        <v>150</v>
      </c>
      <c r="E92" s="67" t="s">
        <v>53</v>
      </c>
      <c r="F92" s="131">
        <f>D92*354</f>
        <v>53100</v>
      </c>
    </row>
    <row r="93" spans="1:6" ht="34.5" customHeight="1" x14ac:dyDescent="0.25">
      <c r="A93" s="58" t="s">
        <v>37</v>
      </c>
      <c r="B93" s="71"/>
      <c r="C93" s="36" t="s">
        <v>95</v>
      </c>
      <c r="D93" s="185">
        <v>35</v>
      </c>
      <c r="E93" s="71" t="s">
        <v>67</v>
      </c>
      <c r="F93" s="135">
        <f>D93*2*354</f>
        <v>24780</v>
      </c>
    </row>
    <row r="94" spans="1:6" ht="139.9" customHeight="1" x14ac:dyDescent="0.25">
      <c r="A94" s="58" t="s">
        <v>37</v>
      </c>
      <c r="B94" s="71"/>
      <c r="C94" s="36" t="s">
        <v>97</v>
      </c>
      <c r="D94" s="185">
        <v>150</v>
      </c>
      <c r="E94" s="71" t="s">
        <v>57</v>
      </c>
      <c r="F94" s="135">
        <f>D94*51</f>
        <v>7650</v>
      </c>
    </row>
    <row r="95" spans="1:6" ht="15.75" thickBot="1" x14ac:dyDescent="0.3">
      <c r="A95" s="44" t="s">
        <v>37</v>
      </c>
      <c r="B95" s="69"/>
      <c r="C95" s="50" t="s">
        <v>76</v>
      </c>
      <c r="D95" s="183">
        <v>160</v>
      </c>
      <c r="E95" s="69" t="s">
        <v>70</v>
      </c>
      <c r="F95" s="133">
        <f>D95*2*12</f>
        <v>3840</v>
      </c>
    </row>
    <row r="96" spans="1:6" ht="180" customHeight="1" x14ac:dyDescent="0.25">
      <c r="A96" s="32" t="s">
        <v>117</v>
      </c>
      <c r="B96" s="67">
        <v>309.99</v>
      </c>
      <c r="C96" s="27" t="s">
        <v>98</v>
      </c>
      <c r="D96" s="181">
        <v>360</v>
      </c>
      <c r="E96" s="67" t="s">
        <v>53</v>
      </c>
      <c r="F96" s="131">
        <f>D96*354</f>
        <v>127440</v>
      </c>
    </row>
    <row r="97" spans="1:6" ht="82.15" customHeight="1" x14ac:dyDescent="0.25">
      <c r="A97" s="6" t="s">
        <v>38</v>
      </c>
      <c r="B97" s="71"/>
      <c r="C97" s="42" t="s">
        <v>99</v>
      </c>
      <c r="D97" s="185">
        <v>35</v>
      </c>
      <c r="E97" s="71" t="s">
        <v>54</v>
      </c>
      <c r="F97" s="135">
        <f>D97*2*51</f>
        <v>3570</v>
      </c>
    </row>
    <row r="98" spans="1:6" ht="50.25" customHeight="1" x14ac:dyDescent="0.25">
      <c r="A98" s="6" t="s">
        <v>38</v>
      </c>
      <c r="B98" s="71"/>
      <c r="C98" s="42" t="s">
        <v>100</v>
      </c>
      <c r="D98" s="185">
        <v>50</v>
      </c>
      <c r="E98" s="71" t="s">
        <v>57</v>
      </c>
      <c r="F98" s="135">
        <f>D98*51</f>
        <v>2550</v>
      </c>
    </row>
    <row r="99" spans="1:6" ht="27.75" customHeight="1" thickBot="1" x14ac:dyDescent="0.3">
      <c r="A99" s="28" t="s">
        <v>38</v>
      </c>
      <c r="B99" s="72"/>
      <c r="C99" s="150" t="s">
        <v>267</v>
      </c>
      <c r="D99" s="186">
        <v>50</v>
      </c>
      <c r="E99" s="72" t="s">
        <v>59</v>
      </c>
      <c r="F99" s="136">
        <f>D99*12</f>
        <v>600</v>
      </c>
    </row>
    <row r="100" spans="1:6" ht="157.5" customHeight="1" x14ac:dyDescent="0.25">
      <c r="A100" s="26" t="s">
        <v>118</v>
      </c>
      <c r="B100" s="67">
        <v>35.68</v>
      </c>
      <c r="C100" s="27" t="s">
        <v>101</v>
      </c>
      <c r="D100" s="181">
        <v>55</v>
      </c>
      <c r="E100" s="67" t="s">
        <v>53</v>
      </c>
      <c r="F100" s="131">
        <f>D100*354</f>
        <v>19470</v>
      </c>
    </row>
    <row r="101" spans="1:6" ht="27" customHeight="1" x14ac:dyDescent="0.25">
      <c r="A101" s="5" t="s">
        <v>39</v>
      </c>
      <c r="B101" s="71"/>
      <c r="C101" s="42" t="s">
        <v>63</v>
      </c>
      <c r="D101" s="185">
        <v>50</v>
      </c>
      <c r="E101" s="71" t="s">
        <v>57</v>
      </c>
      <c r="F101" s="135">
        <f>D101*51</f>
        <v>2550</v>
      </c>
    </row>
    <row r="102" spans="1:6" ht="15.75" thickBot="1" x14ac:dyDescent="0.3">
      <c r="A102" s="33" t="s">
        <v>39</v>
      </c>
      <c r="B102" s="72"/>
      <c r="C102" s="59" t="s">
        <v>64</v>
      </c>
      <c r="D102" s="186">
        <v>250</v>
      </c>
      <c r="E102" s="72" t="s">
        <v>59</v>
      </c>
      <c r="F102" s="136">
        <f>D102*12</f>
        <v>3000</v>
      </c>
    </row>
    <row r="103" spans="1:6" ht="132.75" customHeight="1" x14ac:dyDescent="0.25">
      <c r="A103" s="32" t="s">
        <v>40</v>
      </c>
      <c r="B103" s="67">
        <v>126.77</v>
      </c>
      <c r="C103" s="43" t="s">
        <v>104</v>
      </c>
      <c r="D103" s="181">
        <v>150</v>
      </c>
      <c r="E103" s="67" t="s">
        <v>53</v>
      </c>
      <c r="F103" s="131">
        <f>D103*354</f>
        <v>53100</v>
      </c>
    </row>
    <row r="104" spans="1:6" ht="28.5" customHeight="1" x14ac:dyDescent="0.25">
      <c r="A104" s="5" t="s">
        <v>40</v>
      </c>
      <c r="B104" s="71"/>
      <c r="C104" s="36" t="s">
        <v>103</v>
      </c>
      <c r="D104" s="185">
        <v>35</v>
      </c>
      <c r="E104" s="71" t="s">
        <v>67</v>
      </c>
      <c r="F104" s="135">
        <f>D104*2*354</f>
        <v>24780</v>
      </c>
    </row>
    <row r="105" spans="1:6" ht="108.75" customHeight="1" x14ac:dyDescent="0.25">
      <c r="A105" s="5" t="s">
        <v>40</v>
      </c>
      <c r="B105" s="68"/>
      <c r="C105" s="11" t="s">
        <v>102</v>
      </c>
      <c r="D105" s="182">
        <v>135</v>
      </c>
      <c r="E105" s="68" t="s">
        <v>57</v>
      </c>
      <c r="F105" s="132">
        <f>D105*51</f>
        <v>6885</v>
      </c>
    </row>
    <row r="106" spans="1:6" ht="15.75" thickBot="1" x14ac:dyDescent="0.3">
      <c r="A106" s="44" t="s">
        <v>40</v>
      </c>
      <c r="B106" s="69"/>
      <c r="C106" s="50" t="s">
        <v>76</v>
      </c>
      <c r="D106" s="183">
        <v>150</v>
      </c>
      <c r="E106" s="69" t="s">
        <v>70</v>
      </c>
      <c r="F106" s="133">
        <f>D106*2*12</f>
        <v>3600</v>
      </c>
    </row>
    <row r="107" spans="1:6" ht="136.9" customHeight="1" x14ac:dyDescent="0.25">
      <c r="A107" s="32" t="s">
        <v>119</v>
      </c>
      <c r="B107" s="67">
        <f>38.17+38+37.53</f>
        <v>113.7</v>
      </c>
      <c r="C107" s="27" t="s">
        <v>122</v>
      </c>
      <c r="D107" s="181">
        <v>70</v>
      </c>
      <c r="E107" s="67" t="s">
        <v>53</v>
      </c>
      <c r="F107" s="131">
        <f>D107*354</f>
        <v>24780</v>
      </c>
    </row>
    <row r="108" spans="1:6" ht="28.5" customHeight="1" x14ac:dyDescent="0.25">
      <c r="A108" s="5" t="s">
        <v>41</v>
      </c>
      <c r="B108" s="68"/>
      <c r="C108" s="8" t="s">
        <v>120</v>
      </c>
      <c r="D108" s="182">
        <v>60</v>
      </c>
      <c r="E108" s="68" t="s">
        <v>54</v>
      </c>
      <c r="F108" s="132">
        <f>D108*2*51</f>
        <v>6120</v>
      </c>
    </row>
    <row r="109" spans="1:6" ht="24.95" customHeight="1" thickBot="1" x14ac:dyDescent="0.3">
      <c r="A109" s="33" t="s">
        <v>41</v>
      </c>
      <c r="B109" s="69"/>
      <c r="C109" s="29" t="s">
        <v>121</v>
      </c>
      <c r="D109" s="183">
        <v>20</v>
      </c>
      <c r="E109" s="69" t="s">
        <v>57</v>
      </c>
      <c r="F109" s="133">
        <f>D109*51</f>
        <v>1020</v>
      </c>
    </row>
    <row r="110" spans="1:6" ht="172.5" customHeight="1" x14ac:dyDescent="0.25">
      <c r="A110" s="46" t="s">
        <v>233</v>
      </c>
      <c r="B110" s="67">
        <v>227.48</v>
      </c>
      <c r="C110" s="27" t="s">
        <v>123</v>
      </c>
      <c r="D110" s="181">
        <v>235</v>
      </c>
      <c r="E110" s="67" t="s">
        <v>53</v>
      </c>
      <c r="F110" s="131">
        <f>D110*354</f>
        <v>83190</v>
      </c>
    </row>
    <row r="111" spans="1:6" ht="37.5" customHeight="1" thickBot="1" x14ac:dyDescent="0.3">
      <c r="A111" s="55" t="s">
        <v>42</v>
      </c>
      <c r="B111" s="72"/>
      <c r="C111" s="59" t="s">
        <v>124</v>
      </c>
      <c r="D111" s="186">
        <v>25</v>
      </c>
      <c r="E111" s="72" t="s">
        <v>57</v>
      </c>
      <c r="F111" s="136">
        <f>D111*51</f>
        <v>1275</v>
      </c>
    </row>
    <row r="112" spans="1:6" ht="39" customHeight="1" thickBot="1" x14ac:dyDescent="0.3">
      <c r="A112" s="55" t="s">
        <v>42</v>
      </c>
      <c r="B112" s="73"/>
      <c r="C112" s="150" t="s">
        <v>267</v>
      </c>
      <c r="D112" s="183">
        <v>200</v>
      </c>
      <c r="E112" s="69" t="s">
        <v>59</v>
      </c>
      <c r="F112" s="133">
        <f>D112*12</f>
        <v>2400</v>
      </c>
    </row>
    <row r="113" spans="1:6" ht="118.5" customHeight="1" x14ac:dyDescent="0.25">
      <c r="A113" s="60" t="s">
        <v>10</v>
      </c>
      <c r="B113" s="67">
        <f>21.59+29.14+22.18+29.14+22.34+29.14</f>
        <v>153.53</v>
      </c>
      <c r="C113" s="27" t="s">
        <v>125</v>
      </c>
      <c r="D113" s="181">
        <v>160</v>
      </c>
      <c r="E113" s="67" t="s">
        <v>53</v>
      </c>
      <c r="F113" s="131">
        <f>D113*354</f>
        <v>56640</v>
      </c>
    </row>
    <row r="114" spans="1:6" ht="33" customHeight="1" thickBot="1" x14ac:dyDescent="0.3">
      <c r="A114" s="61" t="s">
        <v>235</v>
      </c>
      <c r="B114" s="72"/>
      <c r="C114" s="59" t="s">
        <v>126</v>
      </c>
      <c r="D114" s="186">
        <v>50</v>
      </c>
      <c r="E114" s="72" t="s">
        <v>57</v>
      </c>
      <c r="F114" s="136">
        <f>D114*51</f>
        <v>2550</v>
      </c>
    </row>
    <row r="115" spans="1:6" ht="119.25" customHeight="1" x14ac:dyDescent="0.25">
      <c r="A115" s="60" t="s">
        <v>234</v>
      </c>
      <c r="B115" s="67">
        <v>94.08</v>
      </c>
      <c r="C115" s="27" t="s">
        <v>127</v>
      </c>
      <c r="D115" s="181">
        <v>100</v>
      </c>
      <c r="E115" s="67" t="s">
        <v>53</v>
      </c>
      <c r="F115" s="131">
        <f>D115*354</f>
        <v>35400</v>
      </c>
    </row>
    <row r="116" spans="1:6" ht="39.6" customHeight="1" thickBot="1" x14ac:dyDescent="0.3">
      <c r="A116" s="61" t="s">
        <v>234</v>
      </c>
      <c r="B116" s="72"/>
      <c r="C116" s="59" t="s">
        <v>126</v>
      </c>
      <c r="D116" s="186">
        <v>50</v>
      </c>
      <c r="E116" s="72" t="s">
        <v>57</v>
      </c>
      <c r="F116" s="136">
        <f>D116*51</f>
        <v>2550</v>
      </c>
    </row>
    <row r="117" spans="1:6" ht="188.45" customHeight="1" x14ac:dyDescent="0.25">
      <c r="A117" s="26" t="s">
        <v>236</v>
      </c>
      <c r="B117" s="67">
        <v>55.1</v>
      </c>
      <c r="C117" s="27" t="s">
        <v>128</v>
      </c>
      <c r="D117" s="181">
        <v>50</v>
      </c>
      <c r="E117" s="67" t="s">
        <v>53</v>
      </c>
      <c r="F117" s="131">
        <f>D117*354</f>
        <v>17700</v>
      </c>
    </row>
    <row r="118" spans="1:6" ht="28.5" customHeight="1" x14ac:dyDescent="0.25">
      <c r="A118" s="6" t="s">
        <v>236</v>
      </c>
      <c r="B118" s="68"/>
      <c r="C118" s="8" t="s">
        <v>135</v>
      </c>
      <c r="D118" s="182">
        <v>20</v>
      </c>
      <c r="E118" s="68" t="s">
        <v>57</v>
      </c>
      <c r="F118" s="132">
        <f>D118*51</f>
        <v>1020</v>
      </c>
    </row>
    <row r="119" spans="1:6" ht="31.15" customHeight="1" thickBot="1" x14ac:dyDescent="0.3">
      <c r="A119" s="28" t="s">
        <v>236</v>
      </c>
      <c r="B119" s="69"/>
      <c r="C119" s="150" t="s">
        <v>267</v>
      </c>
      <c r="D119" s="183">
        <v>15</v>
      </c>
      <c r="E119" s="69" t="s">
        <v>59</v>
      </c>
      <c r="F119" s="133">
        <f>D119*12</f>
        <v>180</v>
      </c>
    </row>
    <row r="120" spans="1:6" ht="63.75" customHeight="1" x14ac:dyDescent="0.25">
      <c r="A120" s="26" t="s">
        <v>271</v>
      </c>
      <c r="B120" s="159">
        <f>9.15+9.05+21.59</f>
        <v>39.790000000000006</v>
      </c>
      <c r="C120" s="27" t="s">
        <v>128</v>
      </c>
      <c r="D120" s="181">
        <v>100</v>
      </c>
      <c r="E120" s="67" t="s">
        <v>53</v>
      </c>
      <c r="F120" s="131">
        <f>D120*354</f>
        <v>35400</v>
      </c>
    </row>
    <row r="121" spans="1:6" ht="31.15" customHeight="1" x14ac:dyDescent="0.25">
      <c r="A121" s="63" t="s">
        <v>271</v>
      </c>
      <c r="B121" s="68"/>
      <c r="C121" s="8" t="s">
        <v>135</v>
      </c>
      <c r="D121" s="182">
        <v>25</v>
      </c>
      <c r="E121" s="68" t="s">
        <v>57</v>
      </c>
      <c r="F121" s="132">
        <f>D121*51</f>
        <v>1275</v>
      </c>
    </row>
    <row r="122" spans="1:6" ht="31.15" customHeight="1" thickBot="1" x14ac:dyDescent="0.3">
      <c r="A122" s="62" t="s">
        <v>271</v>
      </c>
      <c r="B122" s="69"/>
      <c r="C122" s="153" t="s">
        <v>60</v>
      </c>
      <c r="D122" s="183">
        <v>200</v>
      </c>
      <c r="E122" s="69" t="s">
        <v>59</v>
      </c>
      <c r="F122" s="133">
        <f>D122*12</f>
        <v>2400</v>
      </c>
    </row>
    <row r="123" spans="1:6" ht="183.75" customHeight="1" x14ac:dyDescent="0.25">
      <c r="A123" s="26" t="s">
        <v>272</v>
      </c>
      <c r="B123" s="160">
        <f>16.84+11.19+18.19+11.19+17.96+11.19</f>
        <v>86.56</v>
      </c>
      <c r="C123" s="27" t="s">
        <v>128</v>
      </c>
      <c r="D123" s="181">
        <v>100</v>
      </c>
      <c r="E123" s="67" t="s">
        <v>53</v>
      </c>
      <c r="F123" s="131">
        <f>D123*354</f>
        <v>35400</v>
      </c>
    </row>
    <row r="124" spans="1:6" ht="31.15" customHeight="1" x14ac:dyDescent="0.25">
      <c r="A124" s="6" t="s">
        <v>272</v>
      </c>
      <c r="B124" s="68"/>
      <c r="C124" s="8" t="s">
        <v>135</v>
      </c>
      <c r="D124" s="182">
        <v>25</v>
      </c>
      <c r="E124" s="68" t="s">
        <v>57</v>
      </c>
      <c r="F124" s="132">
        <f>D124*51</f>
        <v>1275</v>
      </c>
    </row>
    <row r="125" spans="1:6" ht="31.15" customHeight="1" thickBot="1" x14ac:dyDescent="0.3">
      <c r="A125" s="152" t="s">
        <v>272</v>
      </c>
      <c r="B125" s="73"/>
      <c r="C125" s="154" t="s">
        <v>60</v>
      </c>
      <c r="D125" s="187">
        <v>200</v>
      </c>
      <c r="E125" s="73" t="s">
        <v>59</v>
      </c>
      <c r="F125" s="133">
        <f>D125*12</f>
        <v>2400</v>
      </c>
    </row>
    <row r="126" spans="1:6" ht="151.5" customHeight="1" thickBot="1" x14ac:dyDescent="0.3">
      <c r="A126" s="37" t="s">
        <v>278</v>
      </c>
      <c r="B126" s="158">
        <f>6.65+3.06+3.71+3.86+3.71+3.81+3.71</f>
        <v>28.51</v>
      </c>
      <c r="C126" s="64" t="s">
        <v>274</v>
      </c>
      <c r="D126" s="184">
        <v>30</v>
      </c>
      <c r="E126" s="70" t="s">
        <v>57</v>
      </c>
      <c r="F126" s="132">
        <f>D126*51</f>
        <v>1530</v>
      </c>
    </row>
    <row r="127" spans="1:6" ht="151.5" customHeight="1" thickBot="1" x14ac:dyDescent="0.3">
      <c r="A127" s="155" t="s">
        <v>275</v>
      </c>
      <c r="B127" s="157">
        <f>6.65+4.33+6.71+4.33+6.7+4.33</f>
        <v>33.050000000000004</v>
      </c>
      <c r="C127" s="64" t="s">
        <v>274</v>
      </c>
      <c r="D127" s="188">
        <v>35</v>
      </c>
      <c r="E127" s="70" t="s">
        <v>57</v>
      </c>
      <c r="F127" s="132">
        <f>D127*51</f>
        <v>1785</v>
      </c>
    </row>
    <row r="128" spans="1:6" ht="141" customHeight="1" x14ac:dyDescent="0.25">
      <c r="A128" s="26" t="s">
        <v>138</v>
      </c>
      <c r="B128" s="67">
        <v>379.98</v>
      </c>
      <c r="C128" s="43" t="s">
        <v>137</v>
      </c>
      <c r="D128" s="181">
        <v>350</v>
      </c>
      <c r="E128" s="67" t="s">
        <v>53</v>
      </c>
      <c r="F128" s="131">
        <f>D128*354</f>
        <v>123900</v>
      </c>
    </row>
    <row r="129" spans="1:6" ht="42" customHeight="1" x14ac:dyDescent="0.25">
      <c r="A129" s="6" t="s">
        <v>138</v>
      </c>
      <c r="B129" s="68"/>
      <c r="C129" s="11" t="s">
        <v>136</v>
      </c>
      <c r="D129" s="182">
        <v>25</v>
      </c>
      <c r="E129" s="68" t="s">
        <v>67</v>
      </c>
      <c r="F129" s="132">
        <f>D129*2*354</f>
        <v>17700</v>
      </c>
    </row>
    <row r="130" spans="1:6" ht="144" customHeight="1" thickBot="1" x14ac:dyDescent="0.3">
      <c r="A130" s="62" t="s">
        <v>138</v>
      </c>
      <c r="B130" s="72"/>
      <c r="C130" s="45" t="s">
        <v>139</v>
      </c>
      <c r="D130" s="186">
        <v>100</v>
      </c>
      <c r="E130" s="72" t="s">
        <v>57</v>
      </c>
      <c r="F130" s="136">
        <f>D130*51</f>
        <v>5100</v>
      </c>
    </row>
    <row r="131" spans="1:6" ht="161.25" customHeight="1" x14ac:dyDescent="0.25">
      <c r="A131" s="46" t="s">
        <v>140</v>
      </c>
      <c r="B131" s="67">
        <v>183.98</v>
      </c>
      <c r="C131" s="27" t="s">
        <v>141</v>
      </c>
      <c r="D131" s="181">
        <v>200</v>
      </c>
      <c r="E131" s="67" t="s">
        <v>53</v>
      </c>
      <c r="F131" s="131">
        <f>D131*354</f>
        <v>70800</v>
      </c>
    </row>
    <row r="132" spans="1:6" ht="44.25" customHeight="1" x14ac:dyDescent="0.25">
      <c r="A132" s="41" t="s">
        <v>140</v>
      </c>
      <c r="B132" s="71"/>
      <c r="C132" s="42" t="s">
        <v>142</v>
      </c>
      <c r="D132" s="185">
        <v>20</v>
      </c>
      <c r="E132" s="71" t="s">
        <v>57</v>
      </c>
      <c r="F132" s="135">
        <f>D132*51</f>
        <v>1020</v>
      </c>
    </row>
    <row r="133" spans="1:6" ht="18.75" customHeight="1" thickBot="1" x14ac:dyDescent="0.3">
      <c r="A133" s="55" t="s">
        <v>140</v>
      </c>
      <c r="B133" s="72"/>
      <c r="C133" s="59" t="s">
        <v>143</v>
      </c>
      <c r="D133" s="186">
        <v>150</v>
      </c>
      <c r="E133" s="72" t="s">
        <v>59</v>
      </c>
      <c r="F133" s="136">
        <f>D133*12</f>
        <v>1800</v>
      </c>
    </row>
    <row r="134" spans="1:6" ht="128.25" customHeight="1" x14ac:dyDescent="0.25">
      <c r="A134" s="46" t="s">
        <v>144</v>
      </c>
      <c r="B134" s="67">
        <v>102.12</v>
      </c>
      <c r="C134" s="27" t="s">
        <v>145</v>
      </c>
      <c r="D134" s="181">
        <v>80</v>
      </c>
      <c r="E134" s="67" t="s">
        <v>53</v>
      </c>
      <c r="F134" s="131">
        <f>D134*354</f>
        <v>28320</v>
      </c>
    </row>
    <row r="135" spans="1:6" ht="25.5" customHeight="1" x14ac:dyDescent="0.25">
      <c r="A135" s="7" t="s">
        <v>144</v>
      </c>
      <c r="B135" s="71"/>
      <c r="C135" s="42" t="s">
        <v>148</v>
      </c>
      <c r="D135" s="185">
        <v>20</v>
      </c>
      <c r="E135" s="71" t="s">
        <v>67</v>
      </c>
      <c r="F135" s="135">
        <f>D135*2*354</f>
        <v>14160</v>
      </c>
    </row>
    <row r="136" spans="1:6" x14ac:dyDescent="0.25">
      <c r="A136" s="7" t="s">
        <v>144</v>
      </c>
      <c r="B136" s="71"/>
      <c r="C136" s="42" t="s">
        <v>146</v>
      </c>
      <c r="D136" s="185">
        <v>20</v>
      </c>
      <c r="E136" s="71" t="s">
        <v>57</v>
      </c>
      <c r="F136" s="135">
        <f>D136*51</f>
        <v>1020</v>
      </c>
    </row>
    <row r="137" spans="1:6" ht="39" thickBot="1" x14ac:dyDescent="0.3">
      <c r="A137" s="55" t="s">
        <v>144</v>
      </c>
      <c r="B137" s="72"/>
      <c r="C137" s="59" t="s">
        <v>147</v>
      </c>
      <c r="D137" s="186">
        <v>500</v>
      </c>
      <c r="E137" s="72" t="s">
        <v>70</v>
      </c>
      <c r="F137" s="136">
        <f>D137*2*12</f>
        <v>12000</v>
      </c>
    </row>
    <row r="138" spans="1:6" ht="67.5" customHeight="1" x14ac:dyDescent="0.25">
      <c r="A138" s="46" t="s">
        <v>152</v>
      </c>
      <c r="B138" s="67">
        <v>80</v>
      </c>
      <c r="C138" s="27" t="s">
        <v>149</v>
      </c>
      <c r="D138" s="181">
        <v>80</v>
      </c>
      <c r="E138" s="67" t="s">
        <v>53</v>
      </c>
      <c r="F138" s="131">
        <f>D138*354</f>
        <v>28320</v>
      </c>
    </row>
    <row r="139" spans="1:6" ht="29.25" customHeight="1" x14ac:dyDescent="0.25">
      <c r="A139" s="7" t="s">
        <v>152</v>
      </c>
      <c r="B139" s="68"/>
      <c r="C139" s="8" t="s">
        <v>150</v>
      </c>
      <c r="D139" s="182">
        <v>20</v>
      </c>
      <c r="E139" s="68" t="s">
        <v>67</v>
      </c>
      <c r="F139" s="132">
        <f>D139*2*354</f>
        <v>14160</v>
      </c>
    </row>
    <row r="140" spans="1:6" ht="26.25" thickBot="1" x14ac:dyDescent="0.3">
      <c r="A140" s="55" t="s">
        <v>152</v>
      </c>
      <c r="B140" s="72"/>
      <c r="C140" s="59" t="s">
        <v>151</v>
      </c>
      <c r="D140" s="186">
        <v>700</v>
      </c>
      <c r="E140" s="72" t="s">
        <v>70</v>
      </c>
      <c r="F140" s="136">
        <f>D140*2*12</f>
        <v>16800</v>
      </c>
    </row>
    <row r="141" spans="1:6" ht="105.75" customHeight="1" x14ac:dyDescent="0.25">
      <c r="A141" s="46" t="s">
        <v>15</v>
      </c>
      <c r="B141" s="67">
        <f>6.36+6.44+6.3</f>
        <v>19.100000000000001</v>
      </c>
      <c r="C141" s="27" t="s">
        <v>264</v>
      </c>
      <c r="D141" s="181">
        <v>30</v>
      </c>
      <c r="E141" s="67" t="s">
        <v>53</v>
      </c>
      <c r="F141" s="131">
        <f>D141*354</f>
        <v>10620</v>
      </c>
    </row>
    <row r="142" spans="1:6" x14ac:dyDescent="0.25">
      <c r="A142" s="41" t="s">
        <v>43</v>
      </c>
      <c r="B142" s="71"/>
      <c r="C142" s="42" t="s">
        <v>171</v>
      </c>
      <c r="D142" s="185">
        <v>10</v>
      </c>
      <c r="E142" s="71" t="s">
        <v>153</v>
      </c>
      <c r="F142" s="135">
        <f>D142*3*51</f>
        <v>1530</v>
      </c>
    </row>
    <row r="143" spans="1:6" ht="15.75" thickBot="1" x14ac:dyDescent="0.3">
      <c r="A143" s="55" t="s">
        <v>43</v>
      </c>
      <c r="B143" s="72"/>
      <c r="C143" s="59" t="s">
        <v>172</v>
      </c>
      <c r="D143" s="186">
        <v>15</v>
      </c>
      <c r="E143" s="72" t="s">
        <v>57</v>
      </c>
      <c r="F143" s="136">
        <f>D143*51</f>
        <v>765</v>
      </c>
    </row>
    <row r="144" spans="1:6" ht="26.25" thickBot="1" x14ac:dyDescent="0.3">
      <c r="A144" s="55" t="s">
        <v>265</v>
      </c>
      <c r="B144" s="72"/>
      <c r="C144" s="59" t="s">
        <v>266</v>
      </c>
      <c r="D144" s="186">
        <v>50</v>
      </c>
      <c r="E144" s="72" t="s">
        <v>57</v>
      </c>
      <c r="F144" s="136">
        <f>D144*51</f>
        <v>2550</v>
      </c>
    </row>
    <row r="145" spans="1:6" ht="118.5" customHeight="1" x14ac:dyDescent="0.25">
      <c r="A145" s="46" t="s">
        <v>185</v>
      </c>
      <c r="B145" s="67">
        <v>52.8</v>
      </c>
      <c r="C145" s="27" t="s">
        <v>173</v>
      </c>
      <c r="D145" s="181">
        <v>40</v>
      </c>
      <c r="E145" s="67" t="s">
        <v>53</v>
      </c>
      <c r="F145" s="131">
        <f>D145*354</f>
        <v>14160</v>
      </c>
    </row>
    <row r="146" spans="1:6" ht="24.95" customHeight="1" x14ac:dyDescent="0.25">
      <c r="A146" s="7" t="s">
        <v>185</v>
      </c>
      <c r="B146" s="68"/>
      <c r="C146" s="8" t="s">
        <v>174</v>
      </c>
      <c r="D146" s="182">
        <v>15</v>
      </c>
      <c r="E146" s="68" t="s">
        <v>67</v>
      </c>
      <c r="F146" s="132">
        <f>D146*2*354</f>
        <v>10620</v>
      </c>
    </row>
    <row r="147" spans="1:6" ht="15.75" thickBot="1" x14ac:dyDescent="0.3">
      <c r="A147" s="55" t="s">
        <v>185</v>
      </c>
      <c r="B147" s="72"/>
      <c r="C147" s="59" t="s">
        <v>175</v>
      </c>
      <c r="D147" s="186">
        <v>10</v>
      </c>
      <c r="E147" s="72" t="s">
        <v>57</v>
      </c>
      <c r="F147" s="136">
        <f>D147*51</f>
        <v>510</v>
      </c>
    </row>
    <row r="148" spans="1:6" ht="143.44999999999999" customHeight="1" x14ac:dyDescent="0.25">
      <c r="A148" s="60" t="s">
        <v>182</v>
      </c>
      <c r="B148" s="67">
        <v>227.51</v>
      </c>
      <c r="C148" s="43" t="s">
        <v>176</v>
      </c>
      <c r="D148" s="181">
        <v>200</v>
      </c>
      <c r="E148" s="67" t="s">
        <v>53</v>
      </c>
      <c r="F148" s="131">
        <f>D148*354</f>
        <v>70800</v>
      </c>
    </row>
    <row r="149" spans="1:6" ht="51.75" thickBot="1" x14ac:dyDescent="0.3">
      <c r="A149" s="61" t="s">
        <v>182</v>
      </c>
      <c r="B149" s="72"/>
      <c r="C149" s="45" t="s">
        <v>177</v>
      </c>
      <c r="D149" s="186">
        <v>20</v>
      </c>
      <c r="E149" s="72" t="s">
        <v>57</v>
      </c>
      <c r="F149" s="136">
        <f>D149*51</f>
        <v>1020</v>
      </c>
    </row>
    <row r="150" spans="1:6" ht="15.75" thickBot="1" x14ac:dyDescent="0.3">
      <c r="A150" s="151" t="s">
        <v>276</v>
      </c>
      <c r="B150" s="68"/>
      <c r="C150" s="11" t="s">
        <v>270</v>
      </c>
      <c r="D150" s="182">
        <v>200</v>
      </c>
      <c r="E150" s="68" t="s">
        <v>59</v>
      </c>
      <c r="F150" s="136">
        <f>D150*12</f>
        <v>2400</v>
      </c>
    </row>
    <row r="151" spans="1:6" ht="111" customHeight="1" thickBot="1" x14ac:dyDescent="0.3">
      <c r="A151" s="37" t="s">
        <v>183</v>
      </c>
      <c r="B151" s="70">
        <v>91.11</v>
      </c>
      <c r="C151" s="64" t="s">
        <v>178</v>
      </c>
      <c r="D151" s="184">
        <v>100</v>
      </c>
      <c r="E151" s="70" t="s">
        <v>54</v>
      </c>
      <c r="F151" s="134">
        <f>D151*2*51</f>
        <v>10200</v>
      </c>
    </row>
    <row r="152" spans="1:6" ht="234.75" customHeight="1" x14ac:dyDescent="0.25">
      <c r="A152" s="26" t="s">
        <v>184</v>
      </c>
      <c r="B152" s="67">
        <v>600</v>
      </c>
      <c r="C152" s="27" t="s">
        <v>179</v>
      </c>
      <c r="D152" s="181">
        <v>600</v>
      </c>
      <c r="E152" s="67" t="s">
        <v>53</v>
      </c>
      <c r="F152" s="131">
        <f>D152*246</f>
        <v>147600</v>
      </c>
    </row>
    <row r="153" spans="1:6" ht="104.25" customHeight="1" thickBot="1" x14ac:dyDescent="0.3">
      <c r="A153" s="62" t="s">
        <v>181</v>
      </c>
      <c r="B153" s="72"/>
      <c r="C153" s="59" t="s">
        <v>180</v>
      </c>
      <c r="D153" s="186">
        <v>75</v>
      </c>
      <c r="E153" s="72" t="s">
        <v>57</v>
      </c>
      <c r="F153" s="136">
        <f>D153*51</f>
        <v>3825</v>
      </c>
    </row>
    <row r="154" spans="1:6" ht="178.5" x14ac:dyDescent="0.25">
      <c r="A154" s="26" t="s">
        <v>169</v>
      </c>
      <c r="B154" s="67">
        <v>119.73</v>
      </c>
      <c r="C154" s="27" t="s">
        <v>170</v>
      </c>
      <c r="D154" s="181">
        <v>100</v>
      </c>
      <c r="E154" s="67" t="s">
        <v>53</v>
      </c>
      <c r="F154" s="131">
        <f>D154*246</f>
        <v>24600</v>
      </c>
    </row>
    <row r="155" spans="1:6" ht="172.15" customHeight="1" thickBot="1" x14ac:dyDescent="0.3">
      <c r="A155" s="28" t="s">
        <v>167</v>
      </c>
      <c r="B155" s="69"/>
      <c r="C155" s="29" t="s">
        <v>168</v>
      </c>
      <c r="D155" s="183">
        <v>75</v>
      </c>
      <c r="E155" s="69" t="s">
        <v>57</v>
      </c>
      <c r="F155" s="133">
        <f>D155*51</f>
        <v>3825</v>
      </c>
    </row>
    <row r="156" spans="1:6" ht="169.5" customHeight="1" x14ac:dyDescent="0.25">
      <c r="A156" s="46" t="s">
        <v>238</v>
      </c>
      <c r="B156" s="67">
        <v>183.98</v>
      </c>
      <c r="C156" s="27" t="s">
        <v>166</v>
      </c>
      <c r="D156" s="181">
        <v>250</v>
      </c>
      <c r="E156" s="67" t="s">
        <v>53</v>
      </c>
      <c r="F156" s="131">
        <f>D156*246</f>
        <v>61500</v>
      </c>
    </row>
    <row r="157" spans="1:6" ht="38.25" x14ac:dyDescent="0.25">
      <c r="A157" s="41" t="s">
        <v>164</v>
      </c>
      <c r="B157" s="71"/>
      <c r="C157" s="42" t="s">
        <v>163</v>
      </c>
      <c r="D157" s="185">
        <v>55</v>
      </c>
      <c r="E157" s="71" t="s">
        <v>57</v>
      </c>
      <c r="F157" s="135">
        <f>D157*51</f>
        <v>2805</v>
      </c>
    </row>
    <row r="158" spans="1:6" ht="26.25" thickBot="1" x14ac:dyDescent="0.3">
      <c r="A158" s="55" t="s">
        <v>164</v>
      </c>
      <c r="B158" s="72"/>
      <c r="C158" s="59" t="s">
        <v>165</v>
      </c>
      <c r="D158" s="186">
        <v>270</v>
      </c>
      <c r="E158" s="72" t="s">
        <v>59</v>
      </c>
      <c r="F158" s="136">
        <f>D158*12</f>
        <v>3240</v>
      </c>
    </row>
    <row r="159" spans="1:6" ht="178.5" x14ac:dyDescent="0.25">
      <c r="A159" s="60" t="s">
        <v>161</v>
      </c>
      <c r="B159" s="67">
        <v>111.86</v>
      </c>
      <c r="C159" s="27" t="s">
        <v>162</v>
      </c>
      <c r="D159" s="181">
        <v>100</v>
      </c>
      <c r="E159" s="67" t="s">
        <v>53</v>
      </c>
      <c r="F159" s="131">
        <f>D159*246</f>
        <v>24600</v>
      </c>
    </row>
    <row r="160" spans="1:6" ht="26.25" thickBot="1" x14ac:dyDescent="0.3">
      <c r="A160" s="65" t="s">
        <v>44</v>
      </c>
      <c r="B160" s="69"/>
      <c r="C160" s="29" t="s">
        <v>160</v>
      </c>
      <c r="D160" s="183">
        <v>80</v>
      </c>
      <c r="E160" s="69" t="s">
        <v>57</v>
      </c>
      <c r="F160" s="133">
        <f>D160*51</f>
        <v>4080</v>
      </c>
    </row>
    <row r="161" spans="1:6" ht="191.25" x14ac:dyDescent="0.25">
      <c r="A161" s="26" t="s">
        <v>231</v>
      </c>
      <c r="B161" s="67">
        <v>264.70999999999998</v>
      </c>
      <c r="C161" s="27" t="s">
        <v>230</v>
      </c>
      <c r="D161" s="181">
        <v>250</v>
      </c>
      <c r="E161" s="67" t="s">
        <v>53</v>
      </c>
      <c r="F161" s="131">
        <f>D161*246</f>
        <v>61500</v>
      </c>
    </row>
    <row r="162" spans="1:6" ht="76.5" x14ac:dyDescent="0.25">
      <c r="A162" s="63" t="s">
        <v>158</v>
      </c>
      <c r="B162" s="71"/>
      <c r="C162" s="42" t="s">
        <v>159</v>
      </c>
      <c r="D162" s="185">
        <v>50</v>
      </c>
      <c r="E162" s="71" t="s">
        <v>57</v>
      </c>
      <c r="F162" s="135">
        <f>D162*51</f>
        <v>2550</v>
      </c>
    </row>
    <row r="163" spans="1:6" ht="38.25" customHeight="1" thickBot="1" x14ac:dyDescent="0.3">
      <c r="A163" s="62" t="s">
        <v>158</v>
      </c>
      <c r="B163" s="72"/>
      <c r="C163" s="81" t="s">
        <v>157</v>
      </c>
      <c r="D163" s="186">
        <v>250</v>
      </c>
      <c r="E163" s="72" t="s">
        <v>59</v>
      </c>
      <c r="F163" s="136">
        <f>D163*12</f>
        <v>3000</v>
      </c>
    </row>
    <row r="164" spans="1:6" ht="147" customHeight="1" x14ac:dyDescent="0.25">
      <c r="A164" s="58" t="s">
        <v>155</v>
      </c>
      <c r="B164" s="71">
        <v>9.15</v>
      </c>
      <c r="C164" s="42" t="s">
        <v>156</v>
      </c>
      <c r="D164" s="185">
        <v>10</v>
      </c>
      <c r="E164" s="71" t="s">
        <v>57</v>
      </c>
      <c r="F164" s="135">
        <f>D164*51</f>
        <v>510</v>
      </c>
    </row>
    <row r="165" spans="1:6" ht="34.5" customHeight="1" thickBot="1" x14ac:dyDescent="0.3">
      <c r="A165" s="115" t="s">
        <v>155</v>
      </c>
      <c r="B165" s="73"/>
      <c r="C165" s="54" t="s">
        <v>60</v>
      </c>
      <c r="D165" s="187">
        <v>20</v>
      </c>
      <c r="E165" s="73" t="s">
        <v>59</v>
      </c>
      <c r="F165" s="137">
        <f>D165*12</f>
        <v>240</v>
      </c>
    </row>
    <row r="166" spans="1:6" ht="187.15" customHeight="1" thickBot="1" x14ac:dyDescent="0.3">
      <c r="A166" s="37" t="s">
        <v>273</v>
      </c>
      <c r="B166" s="70">
        <f>19.32+9.15+9.93</f>
        <v>38.4</v>
      </c>
      <c r="C166" s="64" t="s">
        <v>154</v>
      </c>
      <c r="D166" s="184">
        <v>100</v>
      </c>
      <c r="E166" s="70" t="s">
        <v>59</v>
      </c>
      <c r="F166" s="134">
        <f>D166*12</f>
        <v>1200</v>
      </c>
    </row>
    <row r="167" spans="1:6" ht="15.75" thickBot="1" x14ac:dyDescent="0.3">
      <c r="A167" s="112" t="s">
        <v>232</v>
      </c>
      <c r="B167" s="113">
        <f>SUM(B29:B166)</f>
        <v>6649.7099999999982</v>
      </c>
      <c r="C167" s="114"/>
      <c r="D167" s="143"/>
      <c r="E167" s="39"/>
      <c r="F167" s="138">
        <f>SUM(F29:F166)</f>
        <v>2725468</v>
      </c>
    </row>
    <row r="168" spans="1:6" ht="71.25" x14ac:dyDescent="0.25">
      <c r="A168" s="107" t="s">
        <v>7</v>
      </c>
      <c r="B168" s="118" t="s">
        <v>0</v>
      </c>
      <c r="C168" s="87" t="s">
        <v>203</v>
      </c>
      <c r="D168" s="88" t="s">
        <v>215</v>
      </c>
      <c r="E168" s="108" t="s">
        <v>200</v>
      </c>
      <c r="F168" s="90" t="s">
        <v>263</v>
      </c>
    </row>
    <row r="169" spans="1:6" ht="25.5" x14ac:dyDescent="0.25">
      <c r="A169" s="109" t="s">
        <v>205</v>
      </c>
      <c r="B169" s="83" t="s">
        <v>9</v>
      </c>
      <c r="C169" s="86" t="s">
        <v>201</v>
      </c>
      <c r="D169" s="174">
        <v>162</v>
      </c>
      <c r="E169" s="129">
        <v>2</v>
      </c>
      <c r="F169" s="144">
        <f>D169*E169*354</f>
        <v>114696</v>
      </c>
    </row>
    <row r="170" spans="1:6" ht="25.5" x14ac:dyDescent="0.25">
      <c r="A170" s="109" t="s">
        <v>204</v>
      </c>
      <c r="B170" s="83" t="s">
        <v>9</v>
      </c>
      <c r="C170" s="86" t="s">
        <v>202</v>
      </c>
      <c r="D170" s="174">
        <v>162</v>
      </c>
      <c r="E170" s="129">
        <v>1.5</v>
      </c>
      <c r="F170" s="144">
        <f>D170*E170*354</f>
        <v>86022</v>
      </c>
    </row>
    <row r="171" spans="1:6" ht="25.5" x14ac:dyDescent="0.25">
      <c r="A171" s="109" t="s">
        <v>206</v>
      </c>
      <c r="B171" s="83" t="s">
        <v>9</v>
      </c>
      <c r="C171" s="86" t="s">
        <v>210</v>
      </c>
      <c r="D171" s="174">
        <v>162</v>
      </c>
      <c r="E171" s="129">
        <v>1.5</v>
      </c>
      <c r="F171" s="144">
        <f>D171*E171*354</f>
        <v>86022</v>
      </c>
    </row>
    <row r="172" spans="1:6" x14ac:dyDescent="0.25">
      <c r="A172" s="109" t="s">
        <v>207</v>
      </c>
      <c r="B172" s="84" t="s">
        <v>9</v>
      </c>
      <c r="C172" s="86" t="s">
        <v>211</v>
      </c>
      <c r="D172" s="174">
        <v>162</v>
      </c>
      <c r="E172" s="129">
        <v>1</v>
      </c>
      <c r="F172" s="144">
        <f>D172*E172*354</f>
        <v>57348</v>
      </c>
    </row>
    <row r="173" spans="1:6" x14ac:dyDescent="0.25">
      <c r="A173" s="109" t="s">
        <v>208</v>
      </c>
      <c r="B173" s="84" t="s">
        <v>9</v>
      </c>
      <c r="C173" s="86" t="s">
        <v>212</v>
      </c>
      <c r="D173" s="174">
        <v>162</v>
      </c>
      <c r="E173" s="129">
        <v>2</v>
      </c>
      <c r="F173" s="144">
        <f>D173*E173*354</f>
        <v>114696</v>
      </c>
    </row>
    <row r="174" spans="1:6" ht="26.25" thickBot="1" x14ac:dyDescent="0.3">
      <c r="A174" s="110" t="s">
        <v>209</v>
      </c>
      <c r="B174" s="119" t="s">
        <v>9</v>
      </c>
      <c r="C174" s="111" t="s">
        <v>260</v>
      </c>
      <c r="D174" s="175">
        <v>162</v>
      </c>
      <c r="E174" s="130">
        <v>1</v>
      </c>
      <c r="F174" s="145">
        <f>D174*E174*246</f>
        <v>39852</v>
      </c>
    </row>
    <row r="175" spans="1:6" ht="45" x14ac:dyDescent="0.25">
      <c r="A175" s="93" t="s">
        <v>8</v>
      </c>
      <c r="B175" s="118" t="s">
        <v>0</v>
      </c>
      <c r="C175" s="87" t="s">
        <v>203</v>
      </c>
      <c r="D175" s="88" t="s">
        <v>215</v>
      </c>
      <c r="E175" s="89" t="s">
        <v>11</v>
      </c>
      <c r="F175" s="90" t="s">
        <v>12</v>
      </c>
    </row>
    <row r="176" spans="1:6" ht="93" customHeight="1" x14ac:dyDescent="0.25">
      <c r="A176" s="94" t="s">
        <v>213</v>
      </c>
      <c r="B176" s="120" t="s">
        <v>9</v>
      </c>
      <c r="C176" s="85" t="s">
        <v>247</v>
      </c>
      <c r="D176" s="140">
        <v>162</v>
      </c>
      <c r="E176" s="4">
        <f>2*2.5*8</f>
        <v>40</v>
      </c>
      <c r="F176" s="132">
        <f>D176*E176</f>
        <v>6480</v>
      </c>
    </row>
    <row r="177" spans="1:6" ht="102.75" customHeight="1" thickBot="1" x14ac:dyDescent="0.3">
      <c r="A177" s="28" t="s">
        <v>214</v>
      </c>
      <c r="B177" s="121" t="s">
        <v>9</v>
      </c>
      <c r="C177" s="95" t="s">
        <v>248</v>
      </c>
      <c r="D177" s="141">
        <v>162</v>
      </c>
      <c r="E177" s="30">
        <f>3*4*4</f>
        <v>48</v>
      </c>
      <c r="F177" s="133">
        <f>D177*E177</f>
        <v>7776</v>
      </c>
    </row>
    <row r="178" spans="1:6" ht="52.5" customHeight="1" x14ac:dyDescent="0.25">
      <c r="A178" s="99" t="s">
        <v>219</v>
      </c>
      <c r="B178" s="122" t="s">
        <v>0</v>
      </c>
      <c r="C178" s="87" t="s">
        <v>55</v>
      </c>
      <c r="D178" s="88" t="s">
        <v>218</v>
      </c>
      <c r="E178" s="89" t="s">
        <v>11</v>
      </c>
      <c r="F178" s="90" t="s">
        <v>12</v>
      </c>
    </row>
    <row r="179" spans="1:6" ht="38.25" x14ac:dyDescent="0.25">
      <c r="A179" s="91" t="s">
        <v>262</v>
      </c>
      <c r="B179" s="123" t="s">
        <v>1</v>
      </c>
      <c r="C179" s="92" t="s">
        <v>252</v>
      </c>
      <c r="D179" s="189">
        <v>18</v>
      </c>
      <c r="E179" s="96">
        <v>5000</v>
      </c>
      <c r="F179" s="146">
        <f>D179*E179</f>
        <v>90000</v>
      </c>
    </row>
    <row r="180" spans="1:6" ht="51" x14ac:dyDescent="0.25">
      <c r="A180" s="91" t="s">
        <v>259</v>
      </c>
      <c r="B180" s="123" t="s">
        <v>1</v>
      </c>
      <c r="C180" s="92" t="s">
        <v>252</v>
      </c>
      <c r="D180" s="189">
        <v>100</v>
      </c>
      <c r="E180" s="96">
        <v>28.24</v>
      </c>
      <c r="F180" s="146">
        <f t="shared" ref="F180:F191" si="0">D180*E180</f>
        <v>2824</v>
      </c>
    </row>
    <row r="181" spans="1:6" ht="38.25" x14ac:dyDescent="0.25">
      <c r="A181" s="91" t="s">
        <v>258</v>
      </c>
      <c r="B181" s="123" t="s">
        <v>1</v>
      </c>
      <c r="C181" s="92" t="s">
        <v>252</v>
      </c>
      <c r="D181" s="189">
        <v>18</v>
      </c>
      <c r="E181" s="96">
        <v>11.72</v>
      </c>
      <c r="F181" s="146">
        <f t="shared" si="0"/>
        <v>210.96</v>
      </c>
    </row>
    <row r="182" spans="1:6" ht="25.5" x14ac:dyDescent="0.25">
      <c r="A182" s="91" t="s">
        <v>224</v>
      </c>
      <c r="B182" s="123" t="s">
        <v>1</v>
      </c>
      <c r="C182" s="92" t="s">
        <v>222</v>
      </c>
      <c r="D182" s="189">
        <v>18</v>
      </c>
      <c r="E182" s="96">
        <v>272</v>
      </c>
      <c r="F182" s="146">
        <f t="shared" si="0"/>
        <v>4896</v>
      </c>
    </row>
    <row r="183" spans="1:6" ht="51" x14ac:dyDescent="0.25">
      <c r="A183" s="91" t="s">
        <v>261</v>
      </c>
      <c r="B183" s="123" t="s">
        <v>1</v>
      </c>
      <c r="C183" s="92" t="s">
        <v>251</v>
      </c>
      <c r="D183" s="189">
        <v>50</v>
      </c>
      <c r="E183" s="96">
        <v>136</v>
      </c>
      <c r="F183" s="146">
        <f t="shared" si="0"/>
        <v>6800</v>
      </c>
    </row>
    <row r="184" spans="1:6" ht="25.5" x14ac:dyDescent="0.25">
      <c r="A184" s="91" t="s">
        <v>225</v>
      </c>
      <c r="B184" s="123" t="s">
        <v>1</v>
      </c>
      <c r="C184" s="92" t="s">
        <v>223</v>
      </c>
      <c r="D184" s="189">
        <v>30</v>
      </c>
      <c r="E184" s="96">
        <v>216</v>
      </c>
      <c r="F184" s="146">
        <f t="shared" si="0"/>
        <v>6480</v>
      </c>
    </row>
    <row r="185" spans="1:6" ht="25.5" x14ac:dyDescent="0.25">
      <c r="A185" s="100" t="s">
        <v>17</v>
      </c>
      <c r="B185" s="97" t="s">
        <v>1</v>
      </c>
      <c r="C185" s="80" t="s">
        <v>221</v>
      </c>
      <c r="D185" s="190">
        <v>1.55</v>
      </c>
      <c r="E185" s="96">
        <v>30000</v>
      </c>
      <c r="F185" s="146">
        <f t="shared" si="0"/>
        <v>46500</v>
      </c>
    </row>
    <row r="186" spans="1:6" ht="25.5" x14ac:dyDescent="0.25">
      <c r="A186" s="100" t="s">
        <v>253</v>
      </c>
      <c r="B186" s="97" t="s">
        <v>16</v>
      </c>
      <c r="C186" s="80" t="s">
        <v>256</v>
      </c>
      <c r="D186" s="190">
        <v>50</v>
      </c>
      <c r="E186" s="96">
        <v>32</v>
      </c>
      <c r="F186" s="146">
        <f t="shared" si="0"/>
        <v>1600</v>
      </c>
    </row>
    <row r="187" spans="1:6" ht="38.25" x14ac:dyDescent="0.25">
      <c r="A187" s="100" t="s">
        <v>254</v>
      </c>
      <c r="B187" s="97" t="s">
        <v>1</v>
      </c>
      <c r="C187" s="92" t="s">
        <v>252</v>
      </c>
      <c r="D187" s="190">
        <v>18</v>
      </c>
      <c r="E187" s="96">
        <v>29.76</v>
      </c>
      <c r="F187" s="146">
        <f t="shared" si="0"/>
        <v>535.68000000000006</v>
      </c>
    </row>
    <row r="188" spans="1:6" ht="25.5" x14ac:dyDescent="0.25">
      <c r="A188" s="100" t="s">
        <v>257</v>
      </c>
      <c r="B188" s="97" t="s">
        <v>16</v>
      </c>
      <c r="C188" s="80" t="s">
        <v>256</v>
      </c>
      <c r="D188" s="190">
        <v>50</v>
      </c>
      <c r="E188" s="173">
        <v>24</v>
      </c>
      <c r="F188" s="146">
        <f t="shared" si="0"/>
        <v>1200</v>
      </c>
    </row>
    <row r="189" spans="1:6" ht="38.25" x14ac:dyDescent="0.25">
      <c r="A189" s="100" t="s">
        <v>255</v>
      </c>
      <c r="B189" s="97" t="s">
        <v>1</v>
      </c>
      <c r="C189" s="92" t="s">
        <v>252</v>
      </c>
      <c r="D189" s="190">
        <v>18</v>
      </c>
      <c r="E189" s="96">
        <v>8.8000000000000007</v>
      </c>
      <c r="F189" s="146">
        <f t="shared" si="0"/>
        <v>158.4</v>
      </c>
    </row>
    <row r="190" spans="1:6" ht="29.25" customHeight="1" x14ac:dyDescent="0.25">
      <c r="A190" s="101" t="s">
        <v>217</v>
      </c>
      <c r="B190" s="97" t="s">
        <v>16</v>
      </c>
      <c r="C190" s="80" t="s">
        <v>216</v>
      </c>
      <c r="D190" s="189">
        <v>15</v>
      </c>
      <c r="E190" s="96">
        <v>110</v>
      </c>
      <c r="F190" s="146">
        <f t="shared" si="0"/>
        <v>1650</v>
      </c>
    </row>
    <row r="191" spans="1:6" ht="29.25" customHeight="1" x14ac:dyDescent="0.25">
      <c r="A191" s="163" t="s">
        <v>226</v>
      </c>
      <c r="B191" s="164" t="s">
        <v>16</v>
      </c>
      <c r="C191" s="165" t="s">
        <v>220</v>
      </c>
      <c r="D191" s="191">
        <v>12</v>
      </c>
      <c r="E191" s="164">
        <f>12*100</f>
        <v>1200</v>
      </c>
      <c r="F191" s="166">
        <f t="shared" si="0"/>
        <v>14400</v>
      </c>
    </row>
    <row r="192" spans="1:6" ht="29.25" customHeight="1" x14ac:dyDescent="0.25">
      <c r="A192" s="167"/>
      <c r="B192" s="168"/>
      <c r="C192" s="169"/>
      <c r="D192" s="227" t="s">
        <v>282</v>
      </c>
      <c r="E192" s="170"/>
      <c r="F192" s="242">
        <f>SUM(F169:F191)+F167</f>
        <v>3415615.04</v>
      </c>
    </row>
    <row r="193" spans="1:6" ht="29.25" customHeight="1" x14ac:dyDescent="0.25">
      <c r="A193" s="167"/>
      <c r="B193" s="168"/>
      <c r="C193" s="169"/>
      <c r="D193" s="227"/>
      <c r="E193" s="170"/>
      <c r="F193" s="242"/>
    </row>
    <row r="194" spans="1:6" ht="29.25" customHeight="1" x14ac:dyDescent="0.25">
      <c r="A194" s="13"/>
      <c r="B194" s="126"/>
      <c r="C194" s="10"/>
      <c r="D194" s="161"/>
      <c r="E194" s="161"/>
      <c r="F194" s="162"/>
    </row>
    <row r="195" spans="1:6" ht="29.25" customHeight="1" x14ac:dyDescent="0.25">
      <c r="A195" s="230" t="s">
        <v>283</v>
      </c>
      <c r="B195" s="231"/>
      <c r="C195" s="231"/>
      <c r="D195" s="231"/>
      <c r="E195" s="232"/>
      <c r="F195" s="171">
        <f>F192/12</f>
        <v>284634.58666666667</v>
      </c>
    </row>
    <row r="196" spans="1:6" s="21" customFormat="1" ht="29.25" customHeight="1" thickBot="1" x14ac:dyDescent="0.3">
      <c r="A196" s="17"/>
      <c r="B196" s="125"/>
      <c r="C196" s="18"/>
      <c r="D196" s="19"/>
      <c r="E196" s="102"/>
      <c r="F196" s="20"/>
    </row>
    <row r="197" spans="1:6" ht="29.25" customHeight="1" thickBot="1" x14ac:dyDescent="0.3">
      <c r="A197" s="233" t="s">
        <v>245</v>
      </c>
      <c r="B197" s="234"/>
      <c r="C197" s="234"/>
      <c r="D197" s="234"/>
      <c r="E197" s="234"/>
      <c r="F197" s="234"/>
    </row>
    <row r="198" spans="1:6" ht="45" x14ac:dyDescent="0.25">
      <c r="A198" s="235" t="s">
        <v>2</v>
      </c>
      <c r="B198" s="236"/>
      <c r="C198" s="237"/>
      <c r="D198" s="88" t="s">
        <v>227</v>
      </c>
      <c r="E198" s="89" t="s">
        <v>277</v>
      </c>
      <c r="F198" s="3" t="s">
        <v>12</v>
      </c>
    </row>
    <row r="199" spans="1:6" ht="114.75" x14ac:dyDescent="0.25">
      <c r="A199" s="91" t="s">
        <v>228</v>
      </c>
      <c r="B199" s="156" t="s">
        <v>9</v>
      </c>
      <c r="C199" s="92" t="s">
        <v>229</v>
      </c>
      <c r="D199" s="142">
        <v>160</v>
      </c>
      <c r="E199" s="96">
        <v>200</v>
      </c>
      <c r="F199" s="139">
        <v>32000</v>
      </c>
    </row>
    <row r="200" spans="1:6" ht="15" customHeight="1" x14ac:dyDescent="0.25">
      <c r="A200" s="15"/>
      <c r="B200" s="124"/>
      <c r="C200" s="16"/>
      <c r="D200" s="228" t="s">
        <v>19</v>
      </c>
      <c r="E200" s="103"/>
      <c r="F200" s="238">
        <f>SUM(F199:F199)</f>
        <v>32000</v>
      </c>
    </row>
    <row r="201" spans="1:6" ht="37.5" customHeight="1" x14ac:dyDescent="0.25">
      <c r="A201" s="15"/>
      <c r="B201" s="124"/>
      <c r="C201" s="16"/>
      <c r="D201" s="229"/>
      <c r="E201" s="98"/>
      <c r="F201" s="239"/>
    </row>
    <row r="202" spans="1:6" s="21" customFormat="1" ht="15.75" thickBot="1" x14ac:dyDescent="0.3">
      <c r="A202" s="17"/>
      <c r="B202" s="125"/>
      <c r="C202" s="18"/>
      <c r="D202" s="19"/>
      <c r="E202" s="102"/>
      <c r="F202" s="20"/>
    </row>
    <row r="203" spans="1:6" x14ac:dyDescent="0.25">
      <c r="A203" s="233" t="s">
        <v>23</v>
      </c>
      <c r="B203" s="234"/>
      <c r="C203" s="234"/>
      <c r="D203" s="234"/>
      <c r="E203" s="234"/>
      <c r="F203" s="234"/>
    </row>
    <row r="204" spans="1:6" ht="31.5" customHeight="1" x14ac:dyDescent="0.25">
      <c r="A204" s="148"/>
      <c r="B204" s="124"/>
      <c r="C204" s="16"/>
      <c r="D204" s="222" t="s">
        <v>20</v>
      </c>
      <c r="E204" s="103"/>
      <c r="F204" s="224">
        <f>F200+F192</f>
        <v>3447615.04</v>
      </c>
    </row>
    <row r="205" spans="1:6" ht="26.25" customHeight="1" x14ac:dyDescent="0.25">
      <c r="A205" s="148"/>
      <c r="B205" s="124"/>
      <c r="C205" s="16"/>
      <c r="D205" s="223"/>
      <c r="E205" s="149"/>
      <c r="F205" s="225"/>
    </row>
    <row r="206" spans="1:6" x14ac:dyDescent="0.25">
      <c r="A206" s="13"/>
      <c r="B206" s="126"/>
      <c r="C206" s="10"/>
      <c r="D206" s="2"/>
      <c r="E206" s="147"/>
      <c r="F206" s="2"/>
    </row>
    <row r="207" spans="1:6" x14ac:dyDescent="0.25">
      <c r="A207" s="13"/>
      <c r="B207" s="126"/>
      <c r="C207" s="10"/>
      <c r="D207" s="2"/>
      <c r="E207" s="105"/>
      <c r="F207" s="2"/>
    </row>
    <row r="208" spans="1:6" x14ac:dyDescent="0.25">
      <c r="A208" s="226" t="s">
        <v>4</v>
      </c>
      <c r="B208" s="226"/>
      <c r="C208" s="226"/>
      <c r="D208" s="226"/>
      <c r="E208" s="226"/>
      <c r="F208" s="226"/>
    </row>
    <row r="209" spans="1:6" x14ac:dyDescent="0.25">
      <c r="A209" s="226"/>
      <c r="B209" s="226"/>
      <c r="C209" s="226"/>
      <c r="D209" s="226"/>
      <c r="E209" s="226"/>
      <c r="F209" s="226"/>
    </row>
    <row r="210" spans="1:6" x14ac:dyDescent="0.25">
      <c r="A210" s="1"/>
      <c r="B210" s="116"/>
      <c r="C210" s="9"/>
      <c r="D210" s="1"/>
      <c r="E210" s="104"/>
      <c r="F210" s="1"/>
    </row>
    <row r="211" spans="1:6" x14ac:dyDescent="0.25">
      <c r="A211" s="1"/>
      <c r="B211" s="116"/>
      <c r="C211" s="9"/>
      <c r="D211" s="1"/>
      <c r="E211" s="104"/>
      <c r="F211" s="1"/>
    </row>
    <row r="212" spans="1:6" x14ac:dyDescent="0.25">
      <c r="A212" s="1"/>
      <c r="B212" s="116"/>
      <c r="C212" s="9"/>
      <c r="D212" s="1"/>
      <c r="E212" s="104"/>
      <c r="F212" s="1"/>
    </row>
    <row r="213" spans="1:6" x14ac:dyDescent="0.25">
      <c r="A213" s="1"/>
      <c r="B213" s="116"/>
      <c r="C213" s="9"/>
      <c r="D213" s="1"/>
      <c r="E213" s="104"/>
      <c r="F213" s="1"/>
    </row>
    <row r="214" spans="1:6" x14ac:dyDescent="0.25">
      <c r="A214" s="1"/>
      <c r="B214" s="116"/>
      <c r="C214" s="9"/>
      <c r="D214" s="1"/>
      <c r="E214" s="104"/>
      <c r="F214" s="1"/>
    </row>
    <row r="215" spans="1:6" x14ac:dyDescent="0.25">
      <c r="A215" s="1"/>
      <c r="B215" s="116"/>
      <c r="C215" s="9"/>
      <c r="D215" s="1"/>
      <c r="E215" s="104"/>
      <c r="F215" s="1"/>
    </row>
    <row r="216" spans="1:6" x14ac:dyDescent="0.25">
      <c r="A216" s="1"/>
      <c r="B216" s="116"/>
      <c r="C216" s="9"/>
      <c r="D216" s="1"/>
      <c r="E216" s="104"/>
      <c r="F216" s="1"/>
    </row>
    <row r="217" spans="1:6" x14ac:dyDescent="0.25">
      <c r="A217" s="1"/>
      <c r="B217" s="116"/>
      <c r="C217" s="9"/>
      <c r="D217" s="1"/>
      <c r="E217" s="104"/>
      <c r="F217" s="1"/>
    </row>
    <row r="218" spans="1:6" x14ac:dyDescent="0.25">
      <c r="A218" s="1"/>
      <c r="B218" s="116"/>
      <c r="C218" s="9"/>
      <c r="D218" s="1"/>
      <c r="E218" s="104"/>
      <c r="F218" s="1"/>
    </row>
    <row r="219" spans="1:6" x14ac:dyDescent="0.25">
      <c r="A219" s="1"/>
      <c r="B219" s="116"/>
      <c r="C219" s="9"/>
      <c r="D219" s="1"/>
      <c r="E219" s="104"/>
      <c r="F219" s="1"/>
    </row>
    <row r="220" spans="1:6" x14ac:dyDescent="0.25">
      <c r="A220" s="1"/>
      <c r="B220" s="116"/>
      <c r="C220" s="9"/>
      <c r="D220" s="1"/>
      <c r="E220" s="104"/>
      <c r="F220" s="1"/>
    </row>
    <row r="221" spans="1:6" x14ac:dyDescent="0.25">
      <c r="A221" s="1"/>
      <c r="B221" s="116"/>
      <c r="C221" s="9"/>
      <c r="D221" s="1"/>
      <c r="E221" s="104"/>
      <c r="F221" s="1"/>
    </row>
    <row r="222" spans="1:6" x14ac:dyDescent="0.25">
      <c r="A222" s="1"/>
      <c r="B222" s="116"/>
      <c r="C222" s="9"/>
      <c r="D222" s="1"/>
      <c r="E222" s="104"/>
      <c r="F222" s="1"/>
    </row>
    <row r="223" spans="1:6" x14ac:dyDescent="0.25">
      <c r="A223" s="1"/>
      <c r="B223" s="116"/>
      <c r="C223" s="9"/>
      <c r="D223" s="1"/>
      <c r="E223" s="104"/>
      <c r="F223" s="1"/>
    </row>
    <row r="224" spans="1:6" x14ac:dyDescent="0.25">
      <c r="A224" s="1"/>
      <c r="B224" s="116"/>
      <c r="C224" s="9"/>
      <c r="D224" s="1"/>
      <c r="E224" s="104"/>
      <c r="F224" s="1"/>
    </row>
    <row r="225" spans="1:6" x14ac:dyDescent="0.25">
      <c r="A225" s="1"/>
      <c r="B225" s="116"/>
      <c r="C225" s="9"/>
      <c r="D225" s="1"/>
      <c r="E225" s="104"/>
      <c r="F225" s="1"/>
    </row>
    <row r="226" spans="1:6" x14ac:dyDescent="0.25">
      <c r="A226" s="1"/>
      <c r="B226" s="116"/>
      <c r="C226" s="9"/>
      <c r="D226" s="1"/>
      <c r="E226" s="104"/>
      <c r="F226" s="1"/>
    </row>
    <row r="227" spans="1:6" x14ac:dyDescent="0.25">
      <c r="A227" s="1"/>
      <c r="B227" s="116"/>
      <c r="C227" s="9"/>
      <c r="D227" s="1"/>
      <c r="E227" s="104"/>
      <c r="F227" s="1"/>
    </row>
    <row r="228" spans="1:6" x14ac:dyDescent="0.25">
      <c r="A228" s="1"/>
      <c r="B228" s="116"/>
      <c r="C228" s="9"/>
      <c r="D228" s="1"/>
      <c r="E228" s="104"/>
      <c r="F228" s="1"/>
    </row>
    <row r="229" spans="1:6" x14ac:dyDescent="0.25">
      <c r="A229" s="1"/>
      <c r="B229" s="116"/>
      <c r="C229" s="9"/>
      <c r="D229" s="1"/>
      <c r="E229" s="104"/>
      <c r="F229" s="1"/>
    </row>
    <row r="230" spans="1:6" x14ac:dyDescent="0.25">
      <c r="A230" s="1"/>
      <c r="B230" s="116"/>
      <c r="C230" s="9"/>
      <c r="D230" s="1"/>
      <c r="E230" s="104"/>
      <c r="F230" s="1"/>
    </row>
    <row r="231" spans="1:6" x14ac:dyDescent="0.25">
      <c r="A231" s="1"/>
      <c r="B231" s="116"/>
      <c r="C231" s="9"/>
      <c r="D231" s="1"/>
      <c r="E231" s="104"/>
      <c r="F231" s="1"/>
    </row>
    <row r="232" spans="1:6" x14ac:dyDescent="0.25">
      <c r="A232" s="1"/>
      <c r="B232" s="116"/>
      <c r="C232" s="9"/>
      <c r="D232" s="1"/>
      <c r="E232" s="104"/>
      <c r="F232" s="1"/>
    </row>
    <row r="233" spans="1:6" x14ac:dyDescent="0.25">
      <c r="A233" s="1"/>
      <c r="B233" s="116"/>
      <c r="C233" s="9"/>
      <c r="D233" s="1"/>
      <c r="E233" s="104"/>
      <c r="F233" s="1"/>
    </row>
    <row r="234" spans="1:6" x14ac:dyDescent="0.25">
      <c r="A234" s="1"/>
      <c r="B234" s="116"/>
      <c r="C234" s="9"/>
      <c r="D234" s="1"/>
      <c r="E234" s="104"/>
      <c r="F234" s="1"/>
    </row>
    <row r="235" spans="1:6" x14ac:dyDescent="0.25">
      <c r="A235" s="1"/>
      <c r="B235" s="116"/>
      <c r="C235" s="9"/>
      <c r="D235" s="1"/>
      <c r="E235" s="104"/>
      <c r="F235" s="1"/>
    </row>
    <row r="236" spans="1:6" x14ac:dyDescent="0.25">
      <c r="A236" s="1"/>
      <c r="B236" s="116"/>
      <c r="C236" s="9"/>
      <c r="D236" s="1"/>
      <c r="E236" s="104"/>
      <c r="F236" s="1"/>
    </row>
    <row r="237" spans="1:6" x14ac:dyDescent="0.25">
      <c r="A237" s="1"/>
      <c r="B237" s="116"/>
      <c r="C237" s="9"/>
      <c r="D237" s="1"/>
      <c r="E237" s="104"/>
      <c r="F237" s="1"/>
    </row>
  </sheetData>
  <mergeCells count="15">
    <mergeCell ref="D23:F23"/>
    <mergeCell ref="A24:F24"/>
    <mergeCell ref="A26:F26"/>
    <mergeCell ref="A27:F27"/>
    <mergeCell ref="D192:D193"/>
    <mergeCell ref="F192:F193"/>
    <mergeCell ref="D204:D205"/>
    <mergeCell ref="F204:F205"/>
    <mergeCell ref="A208:F209"/>
    <mergeCell ref="A195:E195"/>
    <mergeCell ref="A197:F197"/>
    <mergeCell ref="A198:C198"/>
    <mergeCell ref="D200:D201"/>
    <mergeCell ref="F200:F201"/>
    <mergeCell ref="A203:F203"/>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Trekvila 2026</vt:lpstr>
      <vt:lpstr>Trekvila 2025</vt:lpstr>
      <vt:lpstr>Trekvila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Gabriela Place</dc:creator>
  <cp:lastModifiedBy>Zbyněk Šlitr</cp:lastModifiedBy>
  <cp:lastPrinted>2025-03-05T08:14:47Z</cp:lastPrinted>
  <dcterms:created xsi:type="dcterms:W3CDTF">2015-06-05T18:19:34Z</dcterms:created>
  <dcterms:modified xsi:type="dcterms:W3CDTF">2026-01-07T08:23:56Z</dcterms:modified>
</cp:coreProperties>
</file>