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 Kučera\Desktop\"/>
    </mc:Choice>
  </mc:AlternateContent>
  <xr:revisionPtr revIDLastSave="0" documentId="13_ncr:1_{A7EF57F9-36E9-454B-81BA-8FA319A29C5C}" xr6:coauthVersionLast="47" xr6:coauthVersionMax="47" xr10:uidLastSave="{00000000-0000-0000-0000-000000000000}"/>
  <bookViews>
    <workbookView xWindow="-108" yWindow="-108" windowWidth="46296" windowHeight="12576" activeTab="5" xr2:uid="{00000000-000D-0000-FFFF-FFFF00000000}"/>
  </bookViews>
  <sheets>
    <sheet name="D1" sheetId="19" r:id="rId1"/>
    <sheet name="D1a" sheetId="26" r:id="rId2"/>
    <sheet name="D2" sheetId="27" r:id="rId3"/>
    <sheet name="D3" sheetId="28" r:id="rId4"/>
    <sheet name="D4" sheetId="29" r:id="rId5"/>
    <sheet name="Přípojky" sheetId="2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5" l="1"/>
  <c r="F28" i="25"/>
  <c r="D38" i="25"/>
  <c r="D37" i="25"/>
  <c r="D39" i="25"/>
  <c r="B39" i="25"/>
  <c r="D33" i="25"/>
  <c r="D34" i="25" s="1"/>
  <c r="B34" i="25"/>
  <c r="D12" i="29" l="1"/>
  <c r="D11" i="29"/>
  <c r="D21" i="28"/>
  <c r="D20" i="28"/>
  <c r="D19" i="19"/>
  <c r="D18" i="19"/>
  <c r="D8" i="29"/>
  <c r="D17" i="28"/>
  <c r="D9" i="27"/>
  <c r="D8" i="26"/>
  <c r="D15" i="19"/>
  <c r="J9" i="25"/>
  <c r="F27" i="25"/>
  <c r="B24" i="25"/>
  <c r="H3" i="29"/>
  <c r="B4" i="29"/>
  <c r="B3" i="29"/>
  <c r="C4" i="29"/>
  <c r="H6" i="28"/>
  <c r="B13" i="28"/>
  <c r="B12" i="28"/>
  <c r="B11" i="28"/>
  <c r="B10" i="28"/>
  <c r="B9" i="28"/>
  <c r="B8" i="28"/>
  <c r="B7" i="28"/>
  <c r="B6" i="28"/>
  <c r="B5" i="28"/>
  <c r="B4" i="28"/>
  <c r="D5" i="28" s="1"/>
  <c r="B3" i="28"/>
  <c r="D4" i="28" s="1"/>
  <c r="D6" i="28"/>
  <c r="C5" i="28"/>
  <c r="C6" i="28"/>
  <c r="C7" i="28"/>
  <c r="C8" i="28"/>
  <c r="C9" i="28"/>
  <c r="C10" i="28"/>
  <c r="C11" i="28"/>
  <c r="C12" i="28"/>
  <c r="C13" i="28"/>
  <c r="C4" i="28"/>
  <c r="B5" i="27"/>
  <c r="B4" i="27"/>
  <c r="D5" i="27" s="1"/>
  <c r="C5" i="27"/>
  <c r="H4" i="27"/>
  <c r="C4" i="27"/>
  <c r="H3" i="26"/>
  <c r="C4" i="26"/>
  <c r="B4" i="26"/>
  <c r="D4" i="26" s="1"/>
  <c r="B3" i="26"/>
  <c r="D13" i="29" l="1"/>
  <c r="D14" i="29" s="1"/>
  <c r="D11" i="27"/>
  <c r="D11" i="26"/>
  <c r="D12" i="27"/>
  <c r="D12" i="26"/>
  <c r="D13" i="27"/>
  <c r="D4" i="29"/>
  <c r="D5" i="29" s="1"/>
  <c r="D7" i="29" s="1"/>
  <c r="D9" i="29" s="1"/>
  <c r="D13" i="28"/>
  <c r="D12" i="28"/>
  <c r="D11" i="28"/>
  <c r="D10" i="28"/>
  <c r="D9" i="28"/>
  <c r="D8" i="28"/>
  <c r="D7" i="28"/>
  <c r="D4" i="27"/>
  <c r="D6" i="27" s="1"/>
  <c r="D8" i="27" s="1"/>
  <c r="D10" i="27" s="1"/>
  <c r="H7" i="19"/>
  <c r="D10" i="29" l="1"/>
  <c r="D14" i="27"/>
  <c r="D15" i="27" s="1"/>
  <c r="D14" i="28"/>
  <c r="D16" i="28" s="1"/>
  <c r="D5" i="26"/>
  <c r="D7" i="26" s="1"/>
  <c r="B11" i="19"/>
  <c r="B10" i="19"/>
  <c r="D10" i="19" s="1"/>
  <c r="B9" i="19"/>
  <c r="B8" i="19"/>
  <c r="B7" i="19"/>
  <c r="B6" i="19"/>
  <c r="D6" i="19" s="1"/>
  <c r="B5" i="19"/>
  <c r="D5" i="19" s="1"/>
  <c r="B4" i="19"/>
  <c r="C4" i="19"/>
  <c r="B3" i="19"/>
  <c r="C11" i="19"/>
  <c r="D10" i="26" l="1"/>
  <c r="D9" i="26"/>
  <c r="D13" i="26"/>
  <c r="D14" i="26" s="1"/>
  <c r="D7" i="19"/>
  <c r="D11" i="19"/>
  <c r="D22" i="28"/>
  <c r="D18" i="28"/>
  <c r="D23" i="28" s="1"/>
  <c r="D19" i="28"/>
  <c r="D4" i="19"/>
  <c r="D8" i="19"/>
  <c r="D9" i="19"/>
  <c r="C5" i="19"/>
  <c r="C6" i="19"/>
  <c r="C7" i="19"/>
  <c r="C8" i="19"/>
  <c r="C9" i="19"/>
  <c r="C10" i="19"/>
  <c r="D12" i="19" l="1"/>
  <c r="D14" i="19" s="1"/>
  <c r="D16" i="19" l="1"/>
  <c r="D20" i="19"/>
  <c r="D21" i="19"/>
  <c r="D17" i="19"/>
</calcChain>
</file>

<file path=xl/sharedStrings.xml><?xml version="1.0" encoding="utf-8"?>
<sst xmlns="http://schemas.openxmlformats.org/spreadsheetml/2006/main" count="194" uniqueCount="98">
  <si>
    <t>prům hloubka</t>
  </si>
  <si>
    <t>m</t>
  </si>
  <si>
    <t>Zeleň</t>
  </si>
  <si>
    <t>betonová dlažba</t>
  </si>
  <si>
    <t>Kanalizace D1</t>
  </si>
  <si>
    <t>komunikace</t>
  </si>
  <si>
    <t>Kanalizace D2</t>
  </si>
  <si>
    <t>Kanalizace D1a</t>
  </si>
  <si>
    <t>Kanalizace D3</t>
  </si>
  <si>
    <t>Kanalizace D4</t>
  </si>
  <si>
    <t>zeleň</t>
  </si>
  <si>
    <t>Přípojky</t>
  </si>
  <si>
    <t>Přípojky vpustí</t>
  </si>
  <si>
    <t>Přípojky horských vpustí</t>
  </si>
  <si>
    <t>DPS0</t>
  </si>
  <si>
    <t>DPS1</t>
  </si>
  <si>
    <t>DPS2</t>
  </si>
  <si>
    <t>DPS3</t>
  </si>
  <si>
    <t>DPS4</t>
  </si>
  <si>
    <t>DPS5</t>
  </si>
  <si>
    <t>DPS6</t>
  </si>
  <si>
    <t>DPS7</t>
  </si>
  <si>
    <t>DPS8</t>
  </si>
  <si>
    <t>DPS9</t>
  </si>
  <si>
    <t>DPS10</t>
  </si>
  <si>
    <t>DPS11</t>
  </si>
  <si>
    <t>DPS12</t>
  </si>
  <si>
    <t>DPS13</t>
  </si>
  <si>
    <t>DPS14</t>
  </si>
  <si>
    <t>DPS15</t>
  </si>
  <si>
    <t>DPS16</t>
  </si>
  <si>
    <t>DPS17</t>
  </si>
  <si>
    <t>DPS12a</t>
  </si>
  <si>
    <t>1,5m s mocností 0,85</t>
  </si>
  <si>
    <t>DPS17a</t>
  </si>
  <si>
    <t>DPS15a</t>
  </si>
  <si>
    <t>DP1-13</t>
  </si>
  <si>
    <t>DP1-12</t>
  </si>
  <si>
    <t>DP1-8</t>
  </si>
  <si>
    <t>DP1-7</t>
  </si>
  <si>
    <t>DP1-9</t>
  </si>
  <si>
    <t>DP1-6</t>
  </si>
  <si>
    <t>DP1-4</t>
  </si>
  <si>
    <t>DP1-5</t>
  </si>
  <si>
    <t>DP1a-3</t>
  </si>
  <si>
    <t>DP1a-4</t>
  </si>
  <si>
    <t>DP1a-5</t>
  </si>
  <si>
    <t>DP1a-6</t>
  </si>
  <si>
    <t>DP1-1</t>
  </si>
  <si>
    <t>DP1-2</t>
  </si>
  <si>
    <t>DP1-15</t>
  </si>
  <si>
    <t>DP1-3</t>
  </si>
  <si>
    <t>DP1-14</t>
  </si>
  <si>
    <t>DP3-1</t>
  </si>
  <si>
    <t>DP3-2</t>
  </si>
  <si>
    <t>DP3-3</t>
  </si>
  <si>
    <t>DP3-4</t>
  </si>
  <si>
    <t>DN300</t>
  </si>
  <si>
    <t>DP3-5</t>
  </si>
  <si>
    <t>DP3-6</t>
  </si>
  <si>
    <t>DP3-7</t>
  </si>
  <si>
    <t>DP3-8</t>
  </si>
  <si>
    <t>DP3-9</t>
  </si>
  <si>
    <t>DP3-10</t>
  </si>
  <si>
    <t>DP3-11</t>
  </si>
  <si>
    <t>DP3-12</t>
  </si>
  <si>
    <t>DP3-13</t>
  </si>
  <si>
    <t>DN 200</t>
  </si>
  <si>
    <t>DN 150</t>
  </si>
  <si>
    <t>PP DN 400</t>
  </si>
  <si>
    <t>PP DN 300</t>
  </si>
  <si>
    <t>PP DN 400 - 14,7 m</t>
  </si>
  <si>
    <t>PP DN 300 - 328 m</t>
  </si>
  <si>
    <t>délka</t>
  </si>
  <si>
    <t>pažení</t>
  </si>
  <si>
    <t>m2</t>
  </si>
  <si>
    <t>lože potrubí</t>
  </si>
  <si>
    <t>m3</t>
  </si>
  <si>
    <t>obsyp potrubí</t>
  </si>
  <si>
    <t>hloubení</t>
  </si>
  <si>
    <t>zásyp</t>
  </si>
  <si>
    <t>odvoz výkopku</t>
  </si>
  <si>
    <t>počet šachet</t>
  </si>
  <si>
    <t>kus</t>
  </si>
  <si>
    <t>Složení stávající vozovky dle sond</t>
  </si>
  <si>
    <t>AV</t>
  </si>
  <si>
    <t>VS</t>
  </si>
  <si>
    <t>Silnice III/28517</t>
  </si>
  <si>
    <t>Silnice II/304</t>
  </si>
  <si>
    <t>VS1</t>
  </si>
  <si>
    <t>VS2</t>
  </si>
  <si>
    <t>VS3</t>
  </si>
  <si>
    <t>ŠD/CB</t>
  </si>
  <si>
    <t>PMD</t>
  </si>
  <si>
    <t>inv. město</t>
  </si>
  <si>
    <t>celkem</t>
  </si>
  <si>
    <t>inv.KHK</t>
  </si>
  <si>
    <t>inv.město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</si>
</sst>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B5AB-B5EE-4225-A0B1-330F513F754C}">
  <dimension ref="A2:I22"/>
  <sheetViews>
    <sheetView workbookViewId="0">
      <selection activeCell="D21" sqref="D21"/>
    </sheetView>
  </sheetViews>
  <sheetFormatPr defaultRowHeight="14.4" x14ac:dyDescent="0.3"/>
  <cols>
    <col min="7" max="7" width="17.88671875" customWidth="1"/>
  </cols>
  <sheetData>
    <row r="2" spans="1:9" x14ac:dyDescent="0.3">
      <c r="A2" s="1" t="s">
        <v>4</v>
      </c>
      <c r="C2" t="s">
        <v>69</v>
      </c>
    </row>
    <row r="3" spans="1:9" x14ac:dyDescent="0.3">
      <c r="A3">
        <v>0</v>
      </c>
      <c r="B3">
        <f>1.88+0.25</f>
        <v>2.13</v>
      </c>
    </row>
    <row r="4" spans="1:9" x14ac:dyDescent="0.3">
      <c r="A4">
        <v>19.25</v>
      </c>
      <c r="B4">
        <f>1.74+0.25</f>
        <v>1.99</v>
      </c>
      <c r="C4">
        <f t="shared" ref="C4:C11" si="0">A4-A3</f>
        <v>19.25</v>
      </c>
      <c r="D4">
        <f>(A4-A3)*(B4+B3)/2</f>
        <v>39.655000000000001</v>
      </c>
    </row>
    <row r="5" spans="1:9" x14ac:dyDescent="0.3">
      <c r="A5">
        <v>36.25</v>
      </c>
      <c r="B5">
        <f>1.6+0.25</f>
        <v>1.85</v>
      </c>
      <c r="C5">
        <f t="shared" si="0"/>
        <v>17</v>
      </c>
      <c r="D5">
        <f t="shared" ref="D5:D11" si="1">(A5-A4)*(B5+B4)/2</f>
        <v>32.64</v>
      </c>
      <c r="G5" s="4" t="s">
        <v>2</v>
      </c>
      <c r="H5">
        <v>5</v>
      </c>
      <c r="I5">
        <v>0.15</v>
      </c>
    </row>
    <row r="6" spans="1:9" x14ac:dyDescent="0.3">
      <c r="A6">
        <v>60.25</v>
      </c>
      <c r="B6">
        <f>1.49+0.25</f>
        <v>1.74</v>
      </c>
      <c r="C6">
        <f t="shared" si="0"/>
        <v>24</v>
      </c>
      <c r="D6">
        <f t="shared" si="1"/>
        <v>43.08</v>
      </c>
      <c r="G6" s="4" t="s">
        <v>3</v>
      </c>
      <c r="H6">
        <v>1</v>
      </c>
      <c r="I6">
        <v>0.45</v>
      </c>
    </row>
    <row r="7" spans="1:9" x14ac:dyDescent="0.3">
      <c r="A7">
        <v>91.35</v>
      </c>
      <c r="B7">
        <f>1.38+0.25</f>
        <v>1.63</v>
      </c>
      <c r="C7">
        <f t="shared" si="0"/>
        <v>31.099999999999994</v>
      </c>
      <c r="D7">
        <f t="shared" si="1"/>
        <v>52.403499999999994</v>
      </c>
      <c r="G7" s="4" t="s">
        <v>5</v>
      </c>
      <c r="H7">
        <f>A11-H5-H6</f>
        <v>226.4</v>
      </c>
      <c r="I7">
        <v>0.45</v>
      </c>
    </row>
    <row r="8" spans="1:9" x14ac:dyDescent="0.3">
      <c r="A8">
        <v>136.35</v>
      </c>
      <c r="B8">
        <f>1.32+0.25</f>
        <v>1.57</v>
      </c>
      <c r="C8">
        <f t="shared" si="0"/>
        <v>45</v>
      </c>
      <c r="D8">
        <f t="shared" si="1"/>
        <v>72</v>
      </c>
    </row>
    <row r="9" spans="1:9" x14ac:dyDescent="0.3">
      <c r="A9">
        <v>184.35</v>
      </c>
      <c r="B9">
        <f>1.7+0.25</f>
        <v>1.95</v>
      </c>
      <c r="C9">
        <f t="shared" si="0"/>
        <v>48</v>
      </c>
      <c r="D9">
        <f t="shared" si="1"/>
        <v>84.48</v>
      </c>
    </row>
    <row r="10" spans="1:9" x14ac:dyDescent="0.3">
      <c r="A10">
        <v>208.35</v>
      </c>
      <c r="B10">
        <f>1.9+0.25</f>
        <v>2.15</v>
      </c>
      <c r="C10">
        <f t="shared" si="0"/>
        <v>24</v>
      </c>
      <c r="D10">
        <f t="shared" si="1"/>
        <v>49.199999999999996</v>
      </c>
    </row>
    <row r="11" spans="1:9" x14ac:dyDescent="0.3">
      <c r="A11">
        <v>232.4</v>
      </c>
      <c r="B11">
        <f>2.3+0.25</f>
        <v>2.5499999999999998</v>
      </c>
      <c r="C11">
        <f t="shared" si="0"/>
        <v>24.050000000000011</v>
      </c>
      <c r="D11">
        <f t="shared" si="1"/>
        <v>56.51750000000002</v>
      </c>
    </row>
    <row r="12" spans="1:9" x14ac:dyDescent="0.3">
      <c r="D12">
        <f>SUM(D4:D11)</f>
        <v>429.97600000000006</v>
      </c>
    </row>
    <row r="14" spans="1:9" x14ac:dyDescent="0.3">
      <c r="B14" s="2"/>
      <c r="C14" s="2" t="s">
        <v>0</v>
      </c>
      <c r="D14" s="3">
        <f>D12/A11</f>
        <v>1.8501549053356283</v>
      </c>
      <c r="E14" s="1" t="s">
        <v>1</v>
      </c>
    </row>
    <row r="15" spans="1:9" x14ac:dyDescent="0.3">
      <c r="C15" s="2" t="s">
        <v>73</v>
      </c>
      <c r="D15" s="1">
        <f>A11</f>
        <v>232.4</v>
      </c>
      <c r="E15" s="1" t="s">
        <v>1</v>
      </c>
    </row>
    <row r="16" spans="1:9" x14ac:dyDescent="0.3">
      <c r="C16" s="2" t="s">
        <v>79</v>
      </c>
      <c r="D16" s="1">
        <f>D15*D14*1.2</f>
        <v>515.97120000000007</v>
      </c>
      <c r="E16" s="1" t="s">
        <v>77</v>
      </c>
    </row>
    <row r="17" spans="3:5" x14ac:dyDescent="0.3">
      <c r="C17" s="2" t="s">
        <v>74</v>
      </c>
      <c r="D17" s="3">
        <f>D15*D14*2</f>
        <v>859.95200000000011</v>
      </c>
      <c r="E17" s="1" t="s">
        <v>75</v>
      </c>
    </row>
    <row r="18" spans="3:5" x14ac:dyDescent="0.3">
      <c r="C18" s="2" t="s">
        <v>76</v>
      </c>
      <c r="D18" s="3">
        <f>D15*1.2*(0.1+0.4/10)</f>
        <v>39.043200000000006</v>
      </c>
      <c r="E18" s="1" t="s">
        <v>77</v>
      </c>
    </row>
    <row r="19" spans="3:5" x14ac:dyDescent="0.3">
      <c r="C19" s="2" t="s">
        <v>78</v>
      </c>
      <c r="D19" s="3">
        <f>D15*1.2*(0.4+0.3)-3.14*0.2*0.2*D15</f>
        <v>166.02655999999996</v>
      </c>
      <c r="E19" s="1" t="s">
        <v>77</v>
      </c>
    </row>
    <row r="20" spans="3:5" x14ac:dyDescent="0.3">
      <c r="C20" s="2" t="s">
        <v>80</v>
      </c>
      <c r="D20" s="3">
        <f>D15*1.2*(D14-0.1-0.4*0.1-0.4-0.3)</f>
        <v>281.71199999999993</v>
      </c>
      <c r="E20" s="1" t="s">
        <v>77</v>
      </c>
    </row>
    <row r="21" spans="3:5" x14ac:dyDescent="0.3">
      <c r="C21" s="2" t="s">
        <v>81</v>
      </c>
      <c r="D21" s="3">
        <f>D16-D20</f>
        <v>234.25920000000013</v>
      </c>
      <c r="E21" s="1" t="s">
        <v>77</v>
      </c>
    </row>
    <row r="22" spans="3:5" x14ac:dyDescent="0.3">
      <c r="C22" s="2" t="s">
        <v>82</v>
      </c>
      <c r="D22" s="1">
        <v>9</v>
      </c>
      <c r="E22" s="1" t="s">
        <v>83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21C6-403A-46A3-9A3A-FDACBFEE6C1A}">
  <dimension ref="A2:I15"/>
  <sheetViews>
    <sheetView workbookViewId="0">
      <selection activeCell="D10" sqref="D10"/>
    </sheetView>
  </sheetViews>
  <sheetFormatPr defaultRowHeight="14.4" x14ac:dyDescent="0.3"/>
  <cols>
    <col min="7" max="7" width="17.88671875" customWidth="1"/>
  </cols>
  <sheetData>
    <row r="2" spans="1:9" x14ac:dyDescent="0.3">
      <c r="A2" s="1" t="s">
        <v>7</v>
      </c>
      <c r="C2" t="s">
        <v>70</v>
      </c>
    </row>
    <row r="3" spans="1:9" x14ac:dyDescent="0.3">
      <c r="A3">
        <v>0</v>
      </c>
      <c r="B3">
        <f>1.6+0.25</f>
        <v>1.85</v>
      </c>
      <c r="G3" s="4" t="s">
        <v>5</v>
      </c>
      <c r="H3">
        <f>A4</f>
        <v>16</v>
      </c>
      <c r="I3">
        <v>0.45</v>
      </c>
    </row>
    <row r="4" spans="1:9" x14ac:dyDescent="0.3">
      <c r="A4">
        <v>16</v>
      </c>
      <c r="B4">
        <f>1.5+0.25</f>
        <v>1.75</v>
      </c>
      <c r="C4">
        <f>A4-A3</f>
        <v>16</v>
      </c>
      <c r="D4">
        <f>(A4-A3)*(B4+B3)/2</f>
        <v>28.8</v>
      </c>
    </row>
    <row r="5" spans="1:9" x14ac:dyDescent="0.3">
      <c r="D5">
        <f>SUM(D4:D4)</f>
        <v>28.8</v>
      </c>
    </row>
    <row r="7" spans="1:9" x14ac:dyDescent="0.3">
      <c r="B7" s="2"/>
      <c r="C7" s="2" t="s">
        <v>0</v>
      </c>
      <c r="D7" s="3">
        <f>D5/A4</f>
        <v>1.8</v>
      </c>
      <c r="E7" s="1" t="s">
        <v>1</v>
      </c>
    </row>
    <row r="8" spans="1:9" x14ac:dyDescent="0.3">
      <c r="C8" s="2" t="s">
        <v>73</v>
      </c>
      <c r="D8" s="1">
        <f>A4</f>
        <v>16</v>
      </c>
      <c r="E8" s="1" t="s">
        <v>1</v>
      </c>
    </row>
    <row r="9" spans="1:9" x14ac:dyDescent="0.3">
      <c r="C9" s="2" t="s">
        <v>79</v>
      </c>
      <c r="D9" s="1">
        <f>D8*D7*1.2</f>
        <v>34.56</v>
      </c>
      <c r="E9" s="1" t="s">
        <v>77</v>
      </c>
    </row>
    <row r="10" spans="1:9" x14ac:dyDescent="0.3">
      <c r="C10" s="2" t="s">
        <v>74</v>
      </c>
      <c r="D10" s="3">
        <f>D8*D7*2</f>
        <v>57.6</v>
      </c>
      <c r="E10" s="1" t="s">
        <v>75</v>
      </c>
    </row>
    <row r="11" spans="1:9" x14ac:dyDescent="0.3">
      <c r="C11" s="2" t="s">
        <v>76</v>
      </c>
      <c r="D11" s="3">
        <f>D8*1.2*(0.1+0.3/10)</f>
        <v>2.496</v>
      </c>
      <c r="E11" s="1" t="s">
        <v>77</v>
      </c>
    </row>
    <row r="12" spans="1:9" x14ac:dyDescent="0.3">
      <c r="C12" s="2" t="s">
        <v>78</v>
      </c>
      <c r="D12" s="3">
        <f>D8*1.2*(0.3+0.3)-3.14*0.15*0.15*D8</f>
        <v>10.3896</v>
      </c>
      <c r="E12" s="1" t="s">
        <v>77</v>
      </c>
    </row>
    <row r="13" spans="1:9" x14ac:dyDescent="0.3">
      <c r="C13" s="2" t="s">
        <v>80</v>
      </c>
      <c r="D13" s="3">
        <f>D8*1.2*(D7-0.1-0.3*0.1-0.3-0.3)</f>
        <v>20.543999999999997</v>
      </c>
      <c r="E13" s="1" t="s">
        <v>77</v>
      </c>
    </row>
    <row r="14" spans="1:9" x14ac:dyDescent="0.3">
      <c r="C14" s="2" t="s">
        <v>81</v>
      </c>
      <c r="D14" s="3">
        <f>D9-D13</f>
        <v>14.016000000000005</v>
      </c>
      <c r="E14" s="1" t="s">
        <v>77</v>
      </c>
    </row>
    <row r="15" spans="1:9" x14ac:dyDescent="0.3">
      <c r="C15" s="2" t="s">
        <v>82</v>
      </c>
      <c r="D15" s="1">
        <v>1</v>
      </c>
      <c r="E15" s="1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7495-33F1-4E8E-99ED-024C2DEE1A0E}">
  <dimension ref="A2:J16"/>
  <sheetViews>
    <sheetView workbookViewId="0">
      <selection activeCell="D15" sqref="D15"/>
    </sheetView>
  </sheetViews>
  <sheetFormatPr defaultRowHeight="14.4" x14ac:dyDescent="0.3"/>
  <cols>
    <col min="7" max="7" width="17.88671875" customWidth="1"/>
  </cols>
  <sheetData>
    <row r="2" spans="1:10" x14ac:dyDescent="0.3">
      <c r="A2" s="1" t="s">
        <v>6</v>
      </c>
      <c r="C2" t="s">
        <v>69</v>
      </c>
    </row>
    <row r="3" spans="1:10" x14ac:dyDescent="0.3">
      <c r="A3">
        <v>0</v>
      </c>
      <c r="B3">
        <v>0</v>
      </c>
      <c r="G3" s="4" t="s">
        <v>2</v>
      </c>
      <c r="H3">
        <v>8.5</v>
      </c>
      <c r="I3">
        <v>0.15</v>
      </c>
    </row>
    <row r="4" spans="1:10" x14ac:dyDescent="0.3">
      <c r="A4">
        <v>8.5</v>
      </c>
      <c r="B4">
        <f>2.14+0.25</f>
        <v>2.39</v>
      </c>
      <c r="C4">
        <f>A4-A3</f>
        <v>8.5</v>
      </c>
      <c r="D4">
        <f>(A4-A3)*(B4+B3)/2</f>
        <v>10.157500000000001</v>
      </c>
      <c r="G4" s="4" t="s">
        <v>5</v>
      </c>
      <c r="H4">
        <f>A5-H3</f>
        <v>10.3</v>
      </c>
      <c r="I4">
        <v>0.4</v>
      </c>
      <c r="J4" t="s">
        <v>33</v>
      </c>
    </row>
    <row r="5" spans="1:10" x14ac:dyDescent="0.3">
      <c r="A5">
        <v>18.8</v>
      </c>
      <c r="B5">
        <f>1.89+0.25</f>
        <v>2.1399999999999997</v>
      </c>
      <c r="C5">
        <f>A5-A4</f>
        <v>10.3</v>
      </c>
      <c r="D5">
        <f>(A5-A4)*(B5+B4)/2</f>
        <v>23.329499999999999</v>
      </c>
    </row>
    <row r="6" spans="1:10" x14ac:dyDescent="0.3">
      <c r="D6">
        <f>SUM(D4:D5)</f>
        <v>33.487000000000002</v>
      </c>
    </row>
    <row r="8" spans="1:10" x14ac:dyDescent="0.3">
      <c r="B8" s="2"/>
      <c r="C8" s="2" t="s">
        <v>0</v>
      </c>
      <c r="D8" s="3">
        <f>D6/A5</f>
        <v>1.7812234042553192</v>
      </c>
      <c r="E8" s="1" t="s">
        <v>1</v>
      </c>
    </row>
    <row r="9" spans="1:10" x14ac:dyDescent="0.3">
      <c r="C9" s="2" t="s">
        <v>73</v>
      </c>
      <c r="D9" s="1">
        <f>A5</f>
        <v>18.8</v>
      </c>
      <c r="E9" s="1" t="s">
        <v>1</v>
      </c>
    </row>
    <row r="10" spans="1:10" x14ac:dyDescent="0.3">
      <c r="C10" s="2" t="s">
        <v>79</v>
      </c>
      <c r="D10" s="1">
        <f>D9*D8*1.2</f>
        <v>40.184400000000004</v>
      </c>
      <c r="E10" s="1" t="s">
        <v>77</v>
      </c>
    </row>
    <row r="11" spans="1:10" x14ac:dyDescent="0.3">
      <c r="C11" s="2" t="s">
        <v>74</v>
      </c>
      <c r="D11" s="3">
        <f>D9*D8*2</f>
        <v>66.974000000000004</v>
      </c>
      <c r="E11" s="1" t="s">
        <v>75</v>
      </c>
    </row>
    <row r="12" spans="1:10" x14ac:dyDescent="0.3">
      <c r="C12" s="2" t="s">
        <v>76</v>
      </c>
      <c r="D12" s="3">
        <f>D9*1.2*(0.1+0.4/10)</f>
        <v>3.1584000000000003</v>
      </c>
      <c r="E12" s="1" t="s">
        <v>77</v>
      </c>
    </row>
    <row r="13" spans="1:10" x14ac:dyDescent="0.3">
      <c r="C13" s="2" t="s">
        <v>78</v>
      </c>
      <c r="D13" s="3">
        <f>D9*1.2*(0.4+0.3)-3.14*0.2*0.2*D9</f>
        <v>13.430719999999997</v>
      </c>
      <c r="E13" s="1" t="s">
        <v>77</v>
      </c>
    </row>
    <row r="14" spans="1:10" x14ac:dyDescent="0.3">
      <c r="C14" s="2" t="s">
        <v>80</v>
      </c>
      <c r="D14" s="3">
        <f>D9*1.2*(D8-0.1-0.4*0.1-0.4-0.3)</f>
        <v>21.233999999999998</v>
      </c>
      <c r="E14" s="1" t="s">
        <v>77</v>
      </c>
    </row>
    <row r="15" spans="1:10" x14ac:dyDescent="0.3">
      <c r="C15" s="2" t="s">
        <v>81</v>
      </c>
      <c r="D15" s="3">
        <f>D10-D14</f>
        <v>18.950400000000005</v>
      </c>
      <c r="E15" s="1" t="s">
        <v>77</v>
      </c>
    </row>
    <row r="16" spans="1:10" x14ac:dyDescent="0.3">
      <c r="C16" s="2" t="s">
        <v>82</v>
      </c>
      <c r="D16" s="1">
        <v>2</v>
      </c>
      <c r="E16" s="1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EE75-0A80-4F3F-BC98-4955CF6D1E21}">
  <dimension ref="A2:I24"/>
  <sheetViews>
    <sheetView workbookViewId="0">
      <selection activeCell="D24" sqref="D24"/>
    </sheetView>
  </sheetViews>
  <sheetFormatPr defaultRowHeight="14.4" x14ac:dyDescent="0.3"/>
  <cols>
    <col min="7" max="7" width="17.88671875" customWidth="1"/>
  </cols>
  <sheetData>
    <row r="2" spans="1:9" x14ac:dyDescent="0.3">
      <c r="A2" s="1" t="s">
        <v>8</v>
      </c>
      <c r="D2" t="s">
        <v>71</v>
      </c>
      <c r="F2" t="s">
        <v>72</v>
      </c>
    </row>
    <row r="3" spans="1:9" x14ac:dyDescent="0.3">
      <c r="A3">
        <v>0</v>
      </c>
      <c r="B3">
        <f>1.15+0.25</f>
        <v>1.4</v>
      </c>
    </row>
    <row r="4" spans="1:9" x14ac:dyDescent="0.3">
      <c r="A4">
        <v>14.7</v>
      </c>
      <c r="B4">
        <f>2.47+0.25</f>
        <v>2.72</v>
      </c>
      <c r="C4">
        <f>A4-A3</f>
        <v>14.7</v>
      </c>
      <c r="D4">
        <f>(A4-A3)*(B4+B3)/2</f>
        <v>30.282</v>
      </c>
    </row>
    <row r="5" spans="1:9" x14ac:dyDescent="0.3">
      <c r="A5">
        <v>32.65</v>
      </c>
      <c r="B5">
        <f>2.09+0.25</f>
        <v>2.34</v>
      </c>
      <c r="C5">
        <f t="shared" ref="C5:C13" si="0">A5-A4</f>
        <v>17.95</v>
      </c>
      <c r="D5">
        <f t="shared" ref="D5:D13" si="1">(A5-A4)*(B5+B4)/2</f>
        <v>45.413500000000006</v>
      </c>
      <c r="G5" s="4" t="s">
        <v>2</v>
      </c>
      <c r="H5">
        <v>15</v>
      </c>
      <c r="I5">
        <v>0.15</v>
      </c>
    </row>
    <row r="6" spans="1:9" x14ac:dyDescent="0.3">
      <c r="A6">
        <v>61.5</v>
      </c>
      <c r="B6">
        <f>1.8+0.25</f>
        <v>2.0499999999999998</v>
      </c>
      <c r="C6">
        <f t="shared" si="0"/>
        <v>28.85</v>
      </c>
      <c r="D6">
        <f t="shared" si="1"/>
        <v>63.325749999999999</v>
      </c>
      <c r="G6" s="4" t="s">
        <v>5</v>
      </c>
      <c r="H6">
        <f>A13-H5</f>
        <v>327.7</v>
      </c>
      <c r="I6">
        <v>0.91</v>
      </c>
    </row>
    <row r="7" spans="1:9" x14ac:dyDescent="0.3">
      <c r="A7">
        <v>100.95</v>
      </c>
      <c r="B7">
        <f>1.87+0.25</f>
        <v>2.12</v>
      </c>
      <c r="C7">
        <f t="shared" si="0"/>
        <v>39.450000000000003</v>
      </c>
      <c r="D7">
        <f t="shared" si="1"/>
        <v>82.253250000000008</v>
      </c>
    </row>
    <row r="8" spans="1:9" x14ac:dyDescent="0.3">
      <c r="A8">
        <v>114.55</v>
      </c>
      <c r="B8">
        <f>1.8+0.25</f>
        <v>2.0499999999999998</v>
      </c>
      <c r="C8">
        <f t="shared" si="0"/>
        <v>13.599999999999994</v>
      </c>
      <c r="D8">
        <f t="shared" si="1"/>
        <v>28.355999999999987</v>
      </c>
    </row>
    <row r="9" spans="1:9" x14ac:dyDescent="0.3">
      <c r="A9">
        <v>169.9</v>
      </c>
      <c r="B9">
        <f>1.79+0.25</f>
        <v>2.04</v>
      </c>
      <c r="C9">
        <f t="shared" si="0"/>
        <v>55.350000000000009</v>
      </c>
      <c r="D9">
        <f t="shared" si="1"/>
        <v>113.19075000000001</v>
      </c>
    </row>
    <row r="10" spans="1:9" x14ac:dyDescent="0.3">
      <c r="A10">
        <v>205.9</v>
      </c>
      <c r="B10">
        <f>1.82+0.25</f>
        <v>2.0700000000000003</v>
      </c>
      <c r="C10">
        <f t="shared" si="0"/>
        <v>36</v>
      </c>
      <c r="D10">
        <f t="shared" si="1"/>
        <v>73.98</v>
      </c>
    </row>
    <row r="11" spans="1:9" x14ac:dyDescent="0.3">
      <c r="A11">
        <v>250.15</v>
      </c>
      <c r="B11">
        <f>1.83+0.25</f>
        <v>2.08</v>
      </c>
      <c r="C11">
        <f t="shared" si="0"/>
        <v>44.25</v>
      </c>
      <c r="D11">
        <f t="shared" si="1"/>
        <v>91.818750000000009</v>
      </c>
    </row>
    <row r="12" spans="1:9" x14ac:dyDescent="0.3">
      <c r="A12">
        <v>300.64999999999998</v>
      </c>
      <c r="B12">
        <f>1.78+0.25</f>
        <v>2.0300000000000002</v>
      </c>
      <c r="C12">
        <f t="shared" si="0"/>
        <v>50.499999999999972</v>
      </c>
      <c r="D12">
        <f t="shared" si="1"/>
        <v>103.77749999999995</v>
      </c>
    </row>
    <row r="13" spans="1:9" x14ac:dyDescent="0.3">
      <c r="A13">
        <v>342.7</v>
      </c>
      <c r="B13">
        <f>1.78+0.25</f>
        <v>2.0300000000000002</v>
      </c>
      <c r="C13">
        <f t="shared" si="0"/>
        <v>42.050000000000011</v>
      </c>
      <c r="D13">
        <f t="shared" si="1"/>
        <v>85.361500000000035</v>
      </c>
    </row>
    <row r="14" spans="1:9" x14ac:dyDescent="0.3">
      <c r="D14">
        <f>SUM(D4:D13)</f>
        <v>717.75900000000001</v>
      </c>
    </row>
    <row r="16" spans="1:9" x14ac:dyDescent="0.3">
      <c r="B16" s="2"/>
      <c r="C16" s="2" t="s">
        <v>0</v>
      </c>
      <c r="D16" s="3">
        <f>D14/A13</f>
        <v>2.0944236941931722</v>
      </c>
      <c r="E16" s="1" t="s">
        <v>1</v>
      </c>
    </row>
    <row r="17" spans="3:5" x14ac:dyDescent="0.3">
      <c r="C17" s="2" t="s">
        <v>73</v>
      </c>
      <c r="D17" s="1">
        <f>A13</f>
        <v>342.7</v>
      </c>
      <c r="E17" s="1" t="s">
        <v>1</v>
      </c>
    </row>
    <row r="18" spans="3:5" x14ac:dyDescent="0.3">
      <c r="C18" s="2" t="s">
        <v>79</v>
      </c>
      <c r="D18" s="1">
        <f>D17*D16*1.2</f>
        <v>861.31080000000009</v>
      </c>
      <c r="E18" s="1" t="s">
        <v>77</v>
      </c>
    </row>
    <row r="19" spans="3:5" x14ac:dyDescent="0.3">
      <c r="C19" s="2" t="s">
        <v>74</v>
      </c>
      <c r="D19" s="3">
        <f>D17*D16*2</f>
        <v>1435.5180000000003</v>
      </c>
      <c r="E19" s="1" t="s">
        <v>75</v>
      </c>
    </row>
    <row r="20" spans="3:5" x14ac:dyDescent="0.3">
      <c r="C20" s="2" t="s">
        <v>76</v>
      </c>
      <c r="D20" s="3">
        <f>14.7*1.2*(0.1+0.4/10)+328*1.1*(0.1+0.3/10)</f>
        <v>49.373600000000003</v>
      </c>
      <c r="E20" s="1" t="s">
        <v>77</v>
      </c>
    </row>
    <row r="21" spans="3:5" x14ac:dyDescent="0.3">
      <c r="C21" s="2" t="s">
        <v>78</v>
      </c>
      <c r="D21" s="3">
        <f>14.7*1.2*(0.4+0.3)-3.14*0.2*0.2*14.7+328*1.2*(0.3+0.3)-3.14*0.15*0.15*328</f>
        <v>223.48847999999995</v>
      </c>
      <c r="E21" s="1" t="s">
        <v>77</v>
      </c>
    </row>
    <row r="22" spans="3:5" x14ac:dyDescent="0.3">
      <c r="C22" s="2" t="s">
        <v>80</v>
      </c>
      <c r="D22" s="3">
        <f>14.7*1.2*(D16-0.1-0.4*0.1-0.4-0.3)+328*1.2*(D16-0.1-0.3*0.1-0.3-0.3)</f>
        <v>559.16519999999991</v>
      </c>
      <c r="E22" s="1" t="s">
        <v>77</v>
      </c>
    </row>
    <row r="23" spans="3:5" x14ac:dyDescent="0.3">
      <c r="C23" s="2" t="s">
        <v>81</v>
      </c>
      <c r="D23" s="3">
        <f>D18-D22</f>
        <v>302.14560000000017</v>
      </c>
      <c r="E23" s="1" t="s">
        <v>77</v>
      </c>
    </row>
    <row r="24" spans="3:5" x14ac:dyDescent="0.3">
      <c r="C24" s="2" t="s">
        <v>82</v>
      </c>
      <c r="D24" s="1">
        <v>10</v>
      </c>
      <c r="E24" s="1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23CF-207B-4571-9750-FE2E7F5AF37A}">
  <dimension ref="A2:I15"/>
  <sheetViews>
    <sheetView workbookViewId="0">
      <selection activeCell="D14" sqref="D14"/>
    </sheetView>
  </sheetViews>
  <sheetFormatPr defaultRowHeight="14.4" x14ac:dyDescent="0.3"/>
  <cols>
    <col min="7" max="7" width="17.88671875" customWidth="1"/>
  </cols>
  <sheetData>
    <row r="2" spans="1:9" x14ac:dyDescent="0.3">
      <c r="A2" s="1" t="s">
        <v>9</v>
      </c>
      <c r="C2" t="s">
        <v>69</v>
      </c>
    </row>
    <row r="3" spans="1:9" x14ac:dyDescent="0.3">
      <c r="A3">
        <v>0</v>
      </c>
      <c r="B3">
        <f>2.23+0.25</f>
        <v>2.48</v>
      </c>
      <c r="G3" s="4" t="s">
        <v>10</v>
      </c>
      <c r="H3">
        <f>A4-H4</f>
        <v>14.600000000000001</v>
      </c>
      <c r="I3">
        <v>0.15</v>
      </c>
    </row>
    <row r="4" spans="1:9" x14ac:dyDescent="0.3">
      <c r="A4">
        <v>19.600000000000001</v>
      </c>
      <c r="B4">
        <f>1.45+0.25</f>
        <v>1.7</v>
      </c>
      <c r="C4">
        <f>A4-A3</f>
        <v>19.600000000000001</v>
      </c>
      <c r="D4">
        <f>(A4-A3)*(B4+B3)/2</f>
        <v>40.963999999999999</v>
      </c>
      <c r="G4" s="4" t="s">
        <v>5</v>
      </c>
      <c r="H4">
        <v>5</v>
      </c>
      <c r="I4">
        <v>0.45</v>
      </c>
    </row>
    <row r="5" spans="1:9" x14ac:dyDescent="0.3">
      <c r="D5">
        <f>SUM(D4:D4)</f>
        <v>40.963999999999999</v>
      </c>
    </row>
    <row r="7" spans="1:9" x14ac:dyDescent="0.3">
      <c r="B7" s="2"/>
      <c r="C7" s="2" t="s">
        <v>0</v>
      </c>
      <c r="D7" s="3">
        <f>D5/A4</f>
        <v>2.09</v>
      </c>
      <c r="E7" s="1" t="s">
        <v>1</v>
      </c>
    </row>
    <row r="8" spans="1:9" x14ac:dyDescent="0.3">
      <c r="C8" s="2" t="s">
        <v>73</v>
      </c>
      <c r="D8" s="1">
        <f>A4</f>
        <v>19.600000000000001</v>
      </c>
      <c r="E8" s="1" t="s">
        <v>1</v>
      </c>
    </row>
    <row r="9" spans="1:9" x14ac:dyDescent="0.3">
      <c r="C9" s="2" t="s">
        <v>79</v>
      </c>
      <c r="D9" s="1">
        <f>D8*D7*1.2</f>
        <v>49.156799999999997</v>
      </c>
      <c r="E9" s="1" t="s">
        <v>77</v>
      </c>
    </row>
    <row r="10" spans="1:9" x14ac:dyDescent="0.3">
      <c r="C10" s="2" t="s">
        <v>74</v>
      </c>
      <c r="D10" s="3">
        <f>D8*D7*2</f>
        <v>81.927999999999997</v>
      </c>
      <c r="E10" s="1" t="s">
        <v>75</v>
      </c>
    </row>
    <row r="11" spans="1:9" x14ac:dyDescent="0.3">
      <c r="C11" s="2" t="s">
        <v>76</v>
      </c>
      <c r="D11" s="3">
        <f>D8*1.2*(0.1+0.4/10)</f>
        <v>3.2928000000000002</v>
      </c>
      <c r="E11" s="1" t="s">
        <v>77</v>
      </c>
    </row>
    <row r="12" spans="1:9" x14ac:dyDescent="0.3">
      <c r="C12" s="2" t="s">
        <v>78</v>
      </c>
      <c r="D12" s="3">
        <f>D8*1.2*(0.4+0.3)-3.14*0.2*0.2*D8</f>
        <v>14.002239999999999</v>
      </c>
      <c r="E12" s="1" t="s">
        <v>77</v>
      </c>
    </row>
    <row r="13" spans="1:9" x14ac:dyDescent="0.3">
      <c r="C13" s="2" t="s">
        <v>80</v>
      </c>
      <c r="D13" s="3">
        <f>D8*1.2*(D7-0.1-0.4*0.1-0.4-0.3)</f>
        <v>29.399999999999995</v>
      </c>
      <c r="E13" s="1" t="s">
        <v>77</v>
      </c>
    </row>
    <row r="14" spans="1:9" x14ac:dyDescent="0.3">
      <c r="C14" s="2" t="s">
        <v>81</v>
      </c>
      <c r="D14" s="3">
        <f>D9-D13</f>
        <v>19.756800000000002</v>
      </c>
      <c r="E14" s="1" t="s">
        <v>77</v>
      </c>
    </row>
    <row r="15" spans="1:9" x14ac:dyDescent="0.3">
      <c r="C15" s="2" t="s">
        <v>82</v>
      </c>
      <c r="D15" s="1">
        <v>0</v>
      </c>
      <c r="E15" s="1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70AC-C780-486A-8056-DB4AD79845C3}">
  <dimension ref="A1:K40"/>
  <sheetViews>
    <sheetView tabSelected="1" topLeftCell="A7" workbookViewId="0">
      <selection activeCell="G21" sqref="G21"/>
    </sheetView>
  </sheetViews>
  <sheetFormatPr defaultRowHeight="14.4" x14ac:dyDescent="0.3"/>
  <cols>
    <col min="3" max="3" width="8.88671875" style="6"/>
  </cols>
  <sheetData>
    <row r="1" spans="1:11" x14ac:dyDescent="0.3">
      <c r="A1" t="s">
        <v>11</v>
      </c>
      <c r="B1" t="s">
        <v>94</v>
      </c>
      <c r="E1" t="s">
        <v>12</v>
      </c>
      <c r="I1" t="s">
        <v>13</v>
      </c>
    </row>
    <row r="2" spans="1:11" x14ac:dyDescent="0.3">
      <c r="B2" t="s">
        <v>68</v>
      </c>
      <c r="F2" t="s">
        <v>68</v>
      </c>
      <c r="J2" t="s">
        <v>67</v>
      </c>
    </row>
    <row r="3" spans="1:11" x14ac:dyDescent="0.3">
      <c r="A3" t="s">
        <v>14</v>
      </c>
      <c r="B3">
        <v>8.6999999999999993</v>
      </c>
      <c r="E3" t="s">
        <v>36</v>
      </c>
      <c r="F3">
        <v>3.5</v>
      </c>
      <c r="I3" s="9" t="s">
        <v>60</v>
      </c>
      <c r="J3" s="9">
        <v>3</v>
      </c>
    </row>
    <row r="4" spans="1:11" x14ac:dyDescent="0.3">
      <c r="A4" t="s">
        <v>15</v>
      </c>
      <c r="B4">
        <v>9.1999999999999993</v>
      </c>
      <c r="E4" t="s">
        <v>37</v>
      </c>
      <c r="F4">
        <v>3.5</v>
      </c>
      <c r="I4" s="9" t="s">
        <v>62</v>
      </c>
      <c r="J4" s="9">
        <v>9.4</v>
      </c>
    </row>
    <row r="5" spans="1:11" x14ac:dyDescent="0.3">
      <c r="A5" t="s">
        <v>16</v>
      </c>
      <c r="B5">
        <v>5.0999999999999996</v>
      </c>
      <c r="E5" t="s">
        <v>38</v>
      </c>
      <c r="F5">
        <v>3</v>
      </c>
      <c r="I5" s="9" t="s">
        <v>63</v>
      </c>
      <c r="J5" s="9">
        <v>6.3</v>
      </c>
    </row>
    <row r="6" spans="1:11" x14ac:dyDescent="0.3">
      <c r="A6" t="s">
        <v>17</v>
      </c>
      <c r="B6">
        <v>8.5</v>
      </c>
      <c r="E6" t="s">
        <v>40</v>
      </c>
      <c r="F6">
        <v>3.1</v>
      </c>
      <c r="I6" s="9" t="s">
        <v>65</v>
      </c>
      <c r="J6" s="9">
        <v>6.3</v>
      </c>
    </row>
    <row r="7" spans="1:11" x14ac:dyDescent="0.3">
      <c r="A7" t="s">
        <v>18</v>
      </c>
      <c r="B7">
        <v>5.0999999999999996</v>
      </c>
      <c r="E7" t="s">
        <v>41</v>
      </c>
      <c r="F7">
        <v>3.6</v>
      </c>
      <c r="I7" s="9" t="s">
        <v>66</v>
      </c>
      <c r="J7" s="9">
        <v>12.4</v>
      </c>
    </row>
    <row r="8" spans="1:11" x14ac:dyDescent="0.3">
      <c r="A8" t="s">
        <v>19</v>
      </c>
      <c r="B8">
        <v>8.5</v>
      </c>
      <c r="E8" t="s">
        <v>39</v>
      </c>
      <c r="F8">
        <v>5.3</v>
      </c>
      <c r="I8" s="10" t="s">
        <v>58</v>
      </c>
      <c r="J8" s="10">
        <v>5.2</v>
      </c>
      <c r="K8" s="5"/>
    </row>
    <row r="9" spans="1:11" x14ac:dyDescent="0.3">
      <c r="A9" t="s">
        <v>20</v>
      </c>
      <c r="B9">
        <v>6.5</v>
      </c>
      <c r="E9" t="s">
        <v>42</v>
      </c>
      <c r="F9">
        <v>3.1</v>
      </c>
      <c r="J9" s="1">
        <f>SUM(J3:J7)</f>
        <v>37.4</v>
      </c>
      <c r="K9" s="7" t="s">
        <v>1</v>
      </c>
    </row>
    <row r="10" spans="1:11" x14ac:dyDescent="0.3">
      <c r="A10" t="s">
        <v>21</v>
      </c>
      <c r="B10">
        <v>8.6999999999999993</v>
      </c>
      <c r="E10" t="s">
        <v>43</v>
      </c>
      <c r="F10">
        <v>5.7</v>
      </c>
    </row>
    <row r="11" spans="1:11" x14ac:dyDescent="0.3">
      <c r="A11" t="s">
        <v>22</v>
      </c>
      <c r="B11">
        <v>0</v>
      </c>
      <c r="E11" t="s">
        <v>44</v>
      </c>
      <c r="F11">
        <v>3.9</v>
      </c>
    </row>
    <row r="12" spans="1:11" x14ac:dyDescent="0.3">
      <c r="A12" t="s">
        <v>23</v>
      </c>
      <c r="B12">
        <v>7.3</v>
      </c>
      <c r="E12" t="s">
        <v>45</v>
      </c>
      <c r="F12">
        <v>1</v>
      </c>
    </row>
    <row r="13" spans="1:11" x14ac:dyDescent="0.3">
      <c r="A13" t="s">
        <v>24</v>
      </c>
      <c r="B13">
        <v>6.3</v>
      </c>
      <c r="E13" t="s">
        <v>46</v>
      </c>
      <c r="F13">
        <v>3.9</v>
      </c>
    </row>
    <row r="14" spans="1:11" x14ac:dyDescent="0.3">
      <c r="A14" t="s">
        <v>25</v>
      </c>
      <c r="B14">
        <v>0</v>
      </c>
      <c r="E14" t="s">
        <v>47</v>
      </c>
      <c r="F14">
        <v>1</v>
      </c>
    </row>
    <row r="15" spans="1:11" x14ac:dyDescent="0.3">
      <c r="A15" t="s">
        <v>26</v>
      </c>
      <c r="B15">
        <v>2.2999999999999998</v>
      </c>
      <c r="E15" t="s">
        <v>48</v>
      </c>
      <c r="F15">
        <v>3.4</v>
      </c>
    </row>
    <row r="16" spans="1:11" x14ac:dyDescent="0.3">
      <c r="A16" t="s">
        <v>32</v>
      </c>
      <c r="B16">
        <v>2.6</v>
      </c>
      <c r="E16" t="s">
        <v>49</v>
      </c>
      <c r="F16">
        <v>3.4</v>
      </c>
    </row>
    <row r="17" spans="1:8" x14ac:dyDescent="0.3">
      <c r="A17" t="s">
        <v>27</v>
      </c>
      <c r="B17">
        <v>15.2</v>
      </c>
      <c r="E17" t="s">
        <v>50</v>
      </c>
      <c r="F17">
        <v>1.4</v>
      </c>
      <c r="G17" t="s">
        <v>94</v>
      </c>
    </row>
    <row r="18" spans="1:8" x14ac:dyDescent="0.3">
      <c r="A18" t="s">
        <v>28</v>
      </c>
      <c r="B18">
        <v>4.5999999999999996</v>
      </c>
      <c r="E18" t="s">
        <v>51</v>
      </c>
      <c r="F18">
        <v>6.2</v>
      </c>
      <c r="G18" t="s">
        <v>94</v>
      </c>
    </row>
    <row r="19" spans="1:8" x14ac:dyDescent="0.3">
      <c r="A19" t="s">
        <v>29</v>
      </c>
      <c r="B19">
        <v>8.9</v>
      </c>
      <c r="E19" t="s">
        <v>52</v>
      </c>
      <c r="F19">
        <v>28.8</v>
      </c>
      <c r="G19" t="s">
        <v>94</v>
      </c>
    </row>
    <row r="20" spans="1:8" x14ac:dyDescent="0.3">
      <c r="A20" t="s">
        <v>35</v>
      </c>
      <c r="B20">
        <v>8.5</v>
      </c>
      <c r="E20" t="s">
        <v>53</v>
      </c>
      <c r="F20">
        <v>7.1</v>
      </c>
    </row>
    <row r="21" spans="1:8" x14ac:dyDescent="0.3">
      <c r="A21" t="s">
        <v>30</v>
      </c>
      <c r="B21">
        <v>0</v>
      </c>
      <c r="E21" t="s">
        <v>54</v>
      </c>
      <c r="F21">
        <v>5.5</v>
      </c>
      <c r="H21" t="s">
        <v>57</v>
      </c>
    </row>
    <row r="22" spans="1:8" x14ac:dyDescent="0.3">
      <c r="A22" t="s">
        <v>31</v>
      </c>
      <c r="B22">
        <v>12.6</v>
      </c>
      <c r="E22" t="s">
        <v>55</v>
      </c>
      <c r="F22">
        <v>2.6</v>
      </c>
    </row>
    <row r="23" spans="1:8" x14ac:dyDescent="0.3">
      <c r="A23" s="5" t="s">
        <v>34</v>
      </c>
      <c r="B23" s="5">
        <v>14.3</v>
      </c>
      <c r="C23" s="8"/>
      <c r="E23" t="s">
        <v>56</v>
      </c>
      <c r="F23">
        <v>2.2000000000000002</v>
      </c>
    </row>
    <row r="24" spans="1:8" x14ac:dyDescent="0.3">
      <c r="B24" s="1">
        <f>SUM(B3:B23)</f>
        <v>142.9</v>
      </c>
      <c r="C24" s="7" t="s">
        <v>1</v>
      </c>
      <c r="E24" t="s">
        <v>59</v>
      </c>
      <c r="F24">
        <v>3.8</v>
      </c>
    </row>
    <row r="25" spans="1:8" x14ac:dyDescent="0.3">
      <c r="E25" s="9" t="s">
        <v>61</v>
      </c>
      <c r="F25" s="9">
        <v>3.8</v>
      </c>
    </row>
    <row r="26" spans="1:8" x14ac:dyDescent="0.3">
      <c r="E26" s="10" t="s">
        <v>64</v>
      </c>
      <c r="F26" s="10">
        <v>3.8</v>
      </c>
      <c r="G26" s="5"/>
    </row>
    <row r="27" spans="1:8" x14ac:dyDescent="0.3">
      <c r="E27" t="s">
        <v>95</v>
      </c>
      <c r="F27" s="1">
        <f>SUM(F3:F26)</f>
        <v>112.59999999999998</v>
      </c>
      <c r="G27" s="7" t="s">
        <v>1</v>
      </c>
    </row>
    <row r="28" spans="1:8" x14ac:dyDescent="0.3">
      <c r="E28" t="s">
        <v>96</v>
      </c>
      <c r="F28" s="1">
        <f>F27-F17-F18-F19</f>
        <v>76.199999999999974</v>
      </c>
      <c r="G28" s="7" t="s">
        <v>1</v>
      </c>
    </row>
    <row r="29" spans="1:8" ht="15" thickBot="1" x14ac:dyDescent="0.35">
      <c r="A29" s="11" t="s">
        <v>84</v>
      </c>
      <c r="C29"/>
      <c r="E29" t="s">
        <v>97</v>
      </c>
      <c r="F29" s="1">
        <f>F17+F18+F19</f>
        <v>36.4</v>
      </c>
      <c r="G29" s="7" t="s">
        <v>1</v>
      </c>
    </row>
    <row r="30" spans="1:8" ht="15" thickBot="1" x14ac:dyDescent="0.35">
      <c r="A30" s="12" t="s">
        <v>86</v>
      </c>
      <c r="B30" s="13" t="s">
        <v>85</v>
      </c>
      <c r="C30" s="13" t="s">
        <v>93</v>
      </c>
      <c r="D30" s="14" t="s">
        <v>92</v>
      </c>
      <c r="E30" s="6"/>
    </row>
    <row r="31" spans="1:8" ht="15" thickTop="1" x14ac:dyDescent="0.3">
      <c r="A31" s="26" t="s">
        <v>87</v>
      </c>
      <c r="B31" s="27"/>
      <c r="C31" s="27"/>
      <c r="D31" s="28"/>
      <c r="E31" s="1"/>
    </row>
    <row r="32" spans="1:8" x14ac:dyDescent="0.3">
      <c r="A32" s="15" t="s">
        <v>89</v>
      </c>
      <c r="B32" s="16">
        <v>0.1</v>
      </c>
      <c r="C32" s="16">
        <v>0</v>
      </c>
      <c r="D32" s="17">
        <v>0.37</v>
      </c>
      <c r="E32" s="6"/>
    </row>
    <row r="33" spans="1:5" ht="15" thickBot="1" x14ac:dyDescent="0.35">
      <c r="A33" s="23" t="s">
        <v>90</v>
      </c>
      <c r="B33" s="20">
        <v>0.11</v>
      </c>
      <c r="C33" s="20">
        <v>0</v>
      </c>
      <c r="D33" s="21">
        <f>0.1+0.19</f>
        <v>0.29000000000000004</v>
      </c>
      <c r="E33" s="6"/>
    </row>
    <row r="34" spans="1:5" ht="15" thickBot="1" x14ac:dyDescent="0.35">
      <c r="A34" s="22"/>
      <c r="B34" s="24">
        <f>SUM(B32:B33)/2</f>
        <v>0.10500000000000001</v>
      </c>
      <c r="C34" s="24"/>
      <c r="D34" s="25">
        <f>SUM(D32:D33)/2</f>
        <v>0.33</v>
      </c>
      <c r="E34" s="32"/>
    </row>
    <row r="35" spans="1:5" x14ac:dyDescent="0.3">
      <c r="A35" s="29" t="s">
        <v>88</v>
      </c>
      <c r="B35" s="30"/>
      <c r="C35" s="30"/>
      <c r="D35" s="31"/>
      <c r="E35" s="1"/>
    </row>
    <row r="36" spans="1:5" x14ac:dyDescent="0.3">
      <c r="A36" s="15" t="s">
        <v>89</v>
      </c>
      <c r="B36" s="18">
        <v>0.18</v>
      </c>
      <c r="C36" s="18">
        <v>7.0000000000000007E-2</v>
      </c>
      <c r="D36" s="19">
        <v>0.11</v>
      </c>
      <c r="E36" s="6"/>
    </row>
    <row r="37" spans="1:5" x14ac:dyDescent="0.3">
      <c r="A37" s="15" t="s">
        <v>90</v>
      </c>
      <c r="B37" s="18">
        <v>0.17</v>
      </c>
      <c r="C37" s="18">
        <v>0</v>
      </c>
      <c r="D37" s="19">
        <f>0.2+0.18</f>
        <v>0.38</v>
      </c>
      <c r="E37" s="6"/>
    </row>
    <row r="38" spans="1:5" ht="15" thickBot="1" x14ac:dyDescent="0.35">
      <c r="A38" s="23" t="s">
        <v>91</v>
      </c>
      <c r="B38" s="20">
        <v>0.11</v>
      </c>
      <c r="C38" s="20">
        <v>0</v>
      </c>
      <c r="D38" s="21">
        <f>0.25+0.18</f>
        <v>0.43</v>
      </c>
      <c r="E38" s="6"/>
    </row>
    <row r="39" spans="1:5" x14ac:dyDescent="0.3">
      <c r="A39" s="6"/>
      <c r="B39" s="32">
        <f>SUM(B36:B38)/3</f>
        <v>0.15333333333333332</v>
      </c>
      <c r="C39" s="32">
        <v>7.0000000000000007E-2</v>
      </c>
      <c r="D39" s="32">
        <f t="shared" ref="D39" si="0">SUM(D36:D38)/3</f>
        <v>0.30666666666666664</v>
      </c>
      <c r="E39" s="33"/>
    </row>
    <row r="40" spans="1:5" x14ac:dyDescent="0.3">
      <c r="C40"/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D1</vt:lpstr>
      <vt:lpstr>D1a</vt:lpstr>
      <vt:lpstr>D2</vt:lpstr>
      <vt:lpstr>D3</vt:lpstr>
      <vt:lpstr>D4</vt:lpstr>
      <vt:lpstr>Přípojky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Miroslav Kučera</cp:lastModifiedBy>
  <dcterms:created xsi:type="dcterms:W3CDTF">2018-11-22T06:25:24Z</dcterms:created>
  <dcterms:modified xsi:type="dcterms:W3CDTF">2025-02-14T11:59:50Z</dcterms:modified>
</cp:coreProperties>
</file>