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kty\___PROJEKTY_2023___\65_23_SEKERICE_HLUSICKY_USKHK\10_ROZPOCTY\05_PDPS\05_PRACOVNI\240429\"/>
    </mc:Choice>
  </mc:AlternateContent>
  <xr:revisionPtr revIDLastSave="0" documentId="13_ncr:1_{D8CE555C-FC7E-4786-8B26-43576857A008}" xr6:coauthVersionLast="47" xr6:coauthVersionMax="47" xr10:uidLastSave="{00000000-0000-0000-0000-000000000000}"/>
  <bookViews>
    <workbookView xWindow="-120" yWindow="-120" windowWidth="29040" windowHeight="15840" xr2:uid="{4CE8FE70-7FD1-4675-8B05-11C02A4365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P68" i="1"/>
  <c r="F25" i="1"/>
  <c r="P25" i="1"/>
  <c r="F23" i="1"/>
  <c r="F22" i="1"/>
  <c r="F24" i="1" s="1"/>
  <c r="F21" i="1"/>
  <c r="F73" i="1"/>
  <c r="F72" i="1"/>
  <c r="F71" i="1"/>
  <c r="F70" i="1"/>
  <c r="F69" i="1"/>
  <c r="F68" i="1"/>
  <c r="F64" i="1"/>
  <c r="F65" i="1" s="1"/>
  <c r="F66" i="1" s="1"/>
  <c r="F63" i="1"/>
  <c r="F53" i="1"/>
  <c r="F52" i="1"/>
  <c r="F47" i="1"/>
  <c r="F29" i="1"/>
  <c r="F28" i="1"/>
  <c r="F27" i="1"/>
  <c r="F20" i="1"/>
  <c r="F19" i="1"/>
  <c r="F18" i="1"/>
  <c r="F17" i="1"/>
  <c r="F14" i="1"/>
  <c r="F13" i="1"/>
  <c r="F12" i="1"/>
  <c r="F11" i="1"/>
  <c r="F10" i="1"/>
  <c r="F7" i="1"/>
  <c r="F6" i="1"/>
  <c r="P19" i="1"/>
  <c r="P20" i="1" l="1"/>
  <c r="P23" i="1"/>
  <c r="P22" i="1"/>
  <c r="P24" i="1" s="1"/>
  <c r="P21" i="1"/>
  <c r="P29" i="1" l="1"/>
  <c r="P27" i="1"/>
  <c r="P28" i="1"/>
  <c r="P14" i="1"/>
  <c r="P17" i="1"/>
  <c r="P18" i="1"/>
  <c r="P72" i="1"/>
  <c r="P46" i="1"/>
  <c r="P71" i="1"/>
  <c r="P64" i="1"/>
  <c r="P65" i="1"/>
  <c r="P66" i="1" s="1"/>
  <c r="P61" i="1" l="1"/>
  <c r="P70" i="1" l="1"/>
  <c r="P69" i="1"/>
  <c r="P67" i="1"/>
  <c r="P13" i="1"/>
  <c r="P12" i="1"/>
  <c r="P6" i="1"/>
  <c r="P55" i="1"/>
  <c r="P54" i="1"/>
</calcChain>
</file>

<file path=xl/sharedStrings.xml><?xml version="1.0" encoding="utf-8"?>
<sst xmlns="http://schemas.openxmlformats.org/spreadsheetml/2006/main" count="246" uniqueCount="77">
  <si>
    <t>m2</t>
  </si>
  <si>
    <t>m</t>
  </si>
  <si>
    <t>Nové kce</t>
  </si>
  <si>
    <t>Bourané kce</t>
  </si>
  <si>
    <t>kus</t>
  </si>
  <si>
    <t>Sekeřice - Hlušičky - výpočty kubatur</t>
  </si>
  <si>
    <t>I. Etapa</t>
  </si>
  <si>
    <t>VDZ - V1a</t>
  </si>
  <si>
    <t>VDZ - V13</t>
  </si>
  <si>
    <t>VDZ - V6b - STOP</t>
  </si>
  <si>
    <t>Pročištění příkopu</t>
  </si>
  <si>
    <t>SDZ - P6</t>
  </si>
  <si>
    <t>SDZ - E2b</t>
  </si>
  <si>
    <t>SDZ - sloupek</t>
  </si>
  <si>
    <t>SDZ - IS3a</t>
  </si>
  <si>
    <t>SDZ - IS3c</t>
  </si>
  <si>
    <t>II. Etapa</t>
  </si>
  <si>
    <t>Řezání komunikace</t>
  </si>
  <si>
    <t>SDZ - IZ4a</t>
  </si>
  <si>
    <t>SDZ - IZ4b</t>
  </si>
  <si>
    <t>SDZ - Z11g</t>
  </si>
  <si>
    <t>Kácení D40</t>
  </si>
  <si>
    <t>odláždění mříží/poklopů dvoulinkou K10</t>
  </si>
  <si>
    <t>UV</t>
  </si>
  <si>
    <t>Šachta DK</t>
  </si>
  <si>
    <t>Osazení nové mříže</t>
  </si>
  <si>
    <t>Betonová obruba - výměna 50%</t>
  </si>
  <si>
    <t>SDZ - P2</t>
  </si>
  <si>
    <t>Betonové žlabovky - výměna 50%</t>
  </si>
  <si>
    <t>SDZ - A1a</t>
  </si>
  <si>
    <t>SDZ - Z3</t>
  </si>
  <si>
    <t>Kácení náletu</t>
  </si>
  <si>
    <t>Silniční svodidlo N2</t>
  </si>
  <si>
    <t>Silniční svodidlo N2 - náběhy</t>
  </si>
  <si>
    <t>Obnova podélného propustku - šikmá čela</t>
  </si>
  <si>
    <t>SDZ - IS14</t>
  </si>
  <si>
    <t>SDZ - A2a</t>
  </si>
  <si>
    <t>SDZ - E4</t>
  </si>
  <si>
    <t>SDZ - IS3b</t>
  </si>
  <si>
    <t>SDZ - B24a</t>
  </si>
  <si>
    <t>SDZ - P4</t>
  </si>
  <si>
    <t>VDZ - V2b</t>
  </si>
  <si>
    <t>Asfaltový kryt bez navýšení nivelety</t>
  </si>
  <si>
    <t>Asfaltový kryt s navýšením nivelety</t>
  </si>
  <si>
    <t>Nezpevněná krajnice - R-mat</t>
  </si>
  <si>
    <t>m3</t>
  </si>
  <si>
    <t>Ohmusování - zatravnění</t>
  </si>
  <si>
    <t>SDZ - demontáž</t>
  </si>
  <si>
    <t>SDZ - demontáž pro výměnu</t>
  </si>
  <si>
    <t>SDZ - demontáž sloupku pro výměnu</t>
  </si>
  <si>
    <t>bourání ŽB trouby DN 400</t>
  </si>
  <si>
    <t>zajišťovací práh C 25/30</t>
  </si>
  <si>
    <t>podkladní beton C20/25 tl. 10 cm</t>
  </si>
  <si>
    <t>obetonování potrubí C 25/30</t>
  </si>
  <si>
    <t>výkop pro podélné propustky</t>
  </si>
  <si>
    <t>zásyp pro podélné propustky</t>
  </si>
  <si>
    <t>odkop pro prahy a dlažby</t>
  </si>
  <si>
    <t>dlažba z lomového kamene včetně čela</t>
  </si>
  <si>
    <t>směrový sloupek</t>
  </si>
  <si>
    <t>VDZ - vodící proužek š. 0,125</t>
  </si>
  <si>
    <t>UV - vyčištění</t>
  </si>
  <si>
    <t>živičný povrch - vybourání a obnova</t>
  </si>
  <si>
    <t>betonový povrch - vybourání a obnova</t>
  </si>
  <si>
    <t>dlažba - vybourání a obnova</t>
  </si>
  <si>
    <t>nezpevněná krajnice ze R-mat</t>
  </si>
  <si>
    <t>odkopávka krajnice</t>
  </si>
  <si>
    <t>Sanace kraje vozovky - 50% z délky - odkop zeminy akt.zóny</t>
  </si>
  <si>
    <t>Sanace kraje vozovky - 50% z délky - zemní krajnice, extravilán</t>
  </si>
  <si>
    <t>Sanace kraje vozovky - 50% z délky - odkop kce vozovky ze štěrku, extravilán</t>
  </si>
  <si>
    <t>Podélné zatrubnění sjezdů :</t>
  </si>
  <si>
    <t>podkladní vrstvy navýšit o 15% - větší šíře</t>
  </si>
  <si>
    <t>Sanace kraje vozovky - 50% z délky - geotextilie, akt.zóny</t>
  </si>
  <si>
    <t>Sanace kraje vozovky - 50% z délky - ŠDA, akt.zóny</t>
  </si>
  <si>
    <t>pozn.</t>
  </si>
  <si>
    <t>PP trouby DN 400</t>
  </si>
  <si>
    <t>PP trouby DN 300</t>
  </si>
  <si>
    <t>ŠP lože tl.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</si>
</sst>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BD32-DE90-427C-BC00-5BE2802EA3C1}">
  <sheetPr>
    <pageSetUpPr fitToPage="1"/>
  </sheetPr>
  <dimension ref="A1:R79"/>
  <sheetViews>
    <sheetView tabSelected="1" workbookViewId="0">
      <pane ySplit="1" topLeftCell="A50" activePane="bottomLeft" state="frozen"/>
      <selection pane="bottomLeft" activeCell="F67" sqref="F67"/>
    </sheetView>
  </sheetViews>
  <sheetFormatPr defaultRowHeight="15" x14ac:dyDescent="0.25"/>
  <cols>
    <col min="1" max="1" width="3.7109375" customWidth="1"/>
    <col min="2" max="2" width="11.28515625" bestFit="1" customWidth="1"/>
    <col min="5" max="5" width="36.7109375" customWidth="1"/>
    <col min="15" max="15" width="31.85546875" customWidth="1"/>
    <col min="16" max="16" width="9.5703125" bestFit="1" customWidth="1"/>
  </cols>
  <sheetData>
    <row r="1" spans="1:18" ht="18.75" x14ac:dyDescent="0.3">
      <c r="A1" s="1" t="s">
        <v>5</v>
      </c>
    </row>
    <row r="2" spans="1:18" ht="18.75" x14ac:dyDescent="0.3">
      <c r="A2" s="1"/>
    </row>
    <row r="3" spans="1:18" ht="18.75" x14ac:dyDescent="0.3">
      <c r="A3" s="1" t="s">
        <v>16</v>
      </c>
      <c r="K3" s="1" t="s">
        <v>6</v>
      </c>
      <c r="Q3" t="s">
        <v>73</v>
      </c>
      <c r="R3" s="3" t="s">
        <v>70</v>
      </c>
    </row>
    <row r="4" spans="1:18" s="3" customFormat="1" x14ac:dyDescent="0.25">
      <c r="A4" s="2"/>
      <c r="D4" s="4"/>
      <c r="E4" s="5"/>
      <c r="F4" s="5"/>
      <c r="G4" s="5"/>
      <c r="H4"/>
      <c r="I4"/>
      <c r="J4"/>
      <c r="K4" s="2"/>
      <c r="N4" s="4"/>
      <c r="O4" s="5"/>
      <c r="P4" s="5"/>
      <c r="Q4" s="5"/>
      <c r="R4" s="3" t="s">
        <v>70</v>
      </c>
    </row>
    <row r="5" spans="1:18" s="3" customFormat="1" x14ac:dyDescent="0.25">
      <c r="A5" s="6" t="s">
        <v>3</v>
      </c>
      <c r="D5" s="4"/>
      <c r="E5" s="5"/>
      <c r="F5" s="5"/>
      <c r="G5" s="5"/>
      <c r="H5" s="4"/>
      <c r="I5" s="5"/>
      <c r="J5" s="4"/>
      <c r="K5" s="6" t="s">
        <v>3</v>
      </c>
      <c r="N5" s="4"/>
      <c r="O5" s="5"/>
      <c r="P5" s="5"/>
      <c r="Q5" s="5"/>
    </row>
    <row r="6" spans="1:18" s="7" customFormat="1" x14ac:dyDescent="0.25">
      <c r="A6" s="9" t="s">
        <v>10</v>
      </c>
      <c r="B6" s="9"/>
      <c r="C6" s="9"/>
      <c r="D6" s="9"/>
      <c r="E6" s="9"/>
      <c r="F6" s="10">
        <f>1009-8+1047-100+2200-2185</f>
        <v>1963</v>
      </c>
      <c r="G6" s="10" t="s">
        <v>1</v>
      </c>
      <c r="K6" s="9" t="s">
        <v>10</v>
      </c>
      <c r="L6" s="9"/>
      <c r="M6" s="9"/>
      <c r="N6" s="9"/>
      <c r="O6" s="9"/>
      <c r="P6" s="10">
        <f>2348-2252+4353-2200+4658-2471+4661-4521</f>
        <v>4576</v>
      </c>
      <c r="Q6" s="10" t="s">
        <v>1</v>
      </c>
    </row>
    <row r="7" spans="1:18" x14ac:dyDescent="0.25">
      <c r="A7" s="11" t="s">
        <v>17</v>
      </c>
      <c r="B7" s="11"/>
      <c r="C7" s="11"/>
      <c r="D7" s="11"/>
      <c r="E7" s="11"/>
      <c r="F7" s="10">
        <f>31.47+5.86</f>
        <v>37.33</v>
      </c>
      <c r="G7" s="10" t="s">
        <v>1</v>
      </c>
      <c r="K7" s="11" t="s">
        <v>17</v>
      </c>
      <c r="L7" s="11"/>
      <c r="M7" s="11"/>
      <c r="N7" s="11"/>
      <c r="O7" s="11"/>
      <c r="P7" s="10">
        <v>36.5</v>
      </c>
      <c r="Q7" s="10" t="s">
        <v>1</v>
      </c>
    </row>
    <row r="8" spans="1:18" s="7" customFormat="1" x14ac:dyDescent="0.25">
      <c r="A8" s="9" t="s">
        <v>31</v>
      </c>
      <c r="B8" s="9"/>
      <c r="C8" s="9"/>
      <c r="D8" s="9"/>
      <c r="E8" s="9"/>
      <c r="F8" s="10">
        <v>120</v>
      </c>
      <c r="G8" s="10" t="s">
        <v>0</v>
      </c>
      <c r="K8" s="9" t="s">
        <v>31</v>
      </c>
      <c r="L8" s="9"/>
      <c r="M8" s="9"/>
      <c r="N8" s="9"/>
      <c r="O8" s="9"/>
      <c r="P8" s="10">
        <v>450</v>
      </c>
      <c r="Q8" s="10" t="s">
        <v>0</v>
      </c>
    </row>
    <row r="9" spans="1:18" x14ac:dyDescent="0.25">
      <c r="A9" s="11" t="s">
        <v>21</v>
      </c>
      <c r="B9" s="11"/>
      <c r="C9" s="11"/>
      <c r="D9" s="11"/>
      <c r="E9" s="11"/>
      <c r="F9" s="10">
        <v>1</v>
      </c>
      <c r="G9" s="10" t="s">
        <v>4</v>
      </c>
      <c r="K9" s="11" t="s">
        <v>21</v>
      </c>
      <c r="L9" s="11"/>
      <c r="M9" s="11"/>
      <c r="N9" s="11"/>
      <c r="O9" s="11"/>
      <c r="P9" s="10">
        <v>1</v>
      </c>
      <c r="Q9" s="10" t="s">
        <v>4</v>
      </c>
    </row>
    <row r="10" spans="1:18" x14ac:dyDescent="0.25">
      <c r="A10" s="11" t="s">
        <v>26</v>
      </c>
      <c r="B10" s="11"/>
      <c r="C10" s="11"/>
      <c r="D10" s="11"/>
      <c r="E10" s="11"/>
      <c r="F10" s="10">
        <f>(160+100)*0.5</f>
        <v>130</v>
      </c>
      <c r="G10" s="10" t="s">
        <v>1</v>
      </c>
      <c r="K10" s="11" t="s">
        <v>26</v>
      </c>
      <c r="L10" s="11"/>
      <c r="M10" s="11"/>
      <c r="N10" s="11"/>
      <c r="O10" s="11"/>
      <c r="P10" s="10"/>
      <c r="Q10" s="10" t="s">
        <v>1</v>
      </c>
    </row>
    <row r="11" spans="1:18" x14ac:dyDescent="0.25">
      <c r="A11" s="11" t="s">
        <v>28</v>
      </c>
      <c r="B11" s="11"/>
      <c r="C11" s="11"/>
      <c r="D11" s="11"/>
      <c r="E11" s="11"/>
      <c r="F11" s="10">
        <f>55*0.5</f>
        <v>27.5</v>
      </c>
      <c r="G11" s="10" t="s">
        <v>1</v>
      </c>
      <c r="K11" s="11" t="s">
        <v>47</v>
      </c>
      <c r="L11" s="11"/>
      <c r="M11" s="11"/>
      <c r="N11" s="11"/>
      <c r="O11" s="11"/>
      <c r="P11" s="10">
        <v>2</v>
      </c>
      <c r="Q11" s="10" t="s">
        <v>4</v>
      </c>
    </row>
    <row r="12" spans="1:18" x14ac:dyDescent="0.25">
      <c r="A12" s="11" t="s">
        <v>48</v>
      </c>
      <c r="B12" s="11"/>
      <c r="C12" s="11"/>
      <c r="D12" s="11"/>
      <c r="E12" s="11"/>
      <c r="F12" s="10">
        <f>SUM(F30:F37)</f>
        <v>13</v>
      </c>
      <c r="G12" s="10" t="s">
        <v>4</v>
      </c>
      <c r="K12" s="11" t="s">
        <v>48</v>
      </c>
      <c r="L12" s="11"/>
      <c r="M12" s="11"/>
      <c r="N12" s="11"/>
      <c r="O12" s="11"/>
      <c r="P12" s="10">
        <f>SUM(P30:P43)</f>
        <v>24</v>
      </c>
      <c r="Q12" s="10" t="s">
        <v>4</v>
      </c>
    </row>
    <row r="13" spans="1:18" x14ac:dyDescent="0.25">
      <c r="A13" s="11" t="s">
        <v>49</v>
      </c>
      <c r="B13" s="11"/>
      <c r="C13" s="11"/>
      <c r="D13" s="11"/>
      <c r="E13" s="11"/>
      <c r="F13" s="10">
        <f>F44</f>
        <v>10</v>
      </c>
      <c r="G13" s="10" t="s">
        <v>4</v>
      </c>
      <c r="K13" s="11" t="s">
        <v>49</v>
      </c>
      <c r="L13" s="11"/>
      <c r="M13" s="11"/>
      <c r="N13" s="11"/>
      <c r="O13" s="11"/>
      <c r="P13" s="10">
        <f>P44</f>
        <v>13</v>
      </c>
      <c r="Q13" s="10" t="s">
        <v>4</v>
      </c>
    </row>
    <row r="14" spans="1:18" x14ac:dyDescent="0.25">
      <c r="A14" s="11" t="s">
        <v>65</v>
      </c>
      <c r="B14" s="11"/>
      <c r="C14" s="11"/>
      <c r="D14" s="11"/>
      <c r="E14" s="11"/>
      <c r="F14" s="10">
        <f>0.2*2*(2200-1200-175)+0.1*2*(1200+175)</f>
        <v>605</v>
      </c>
      <c r="G14" s="10" t="s">
        <v>45</v>
      </c>
      <c r="K14" s="11" t="s">
        <v>65</v>
      </c>
      <c r="L14" s="11"/>
      <c r="M14" s="11"/>
      <c r="N14" s="11"/>
      <c r="O14" s="11"/>
      <c r="P14" s="10">
        <f>0.2*2*(4986-2200)</f>
        <v>1114.4000000000001</v>
      </c>
      <c r="Q14" s="10" t="s">
        <v>45</v>
      </c>
    </row>
    <row r="15" spans="1:18" s="3" customFormat="1" x14ac:dyDescent="0.25">
      <c r="A15" s="2"/>
      <c r="D15" s="4"/>
      <c r="E15" s="5"/>
      <c r="F15" s="5"/>
      <c r="G15" s="5"/>
      <c r="H15" s="4"/>
      <c r="I15" s="5"/>
      <c r="J15" s="4"/>
      <c r="K15" s="2"/>
      <c r="N15" s="4"/>
      <c r="O15" s="5"/>
      <c r="P15" s="5"/>
      <c r="Q15" s="5"/>
    </row>
    <row r="16" spans="1:18" s="3" customFormat="1" x14ac:dyDescent="0.25">
      <c r="A16" s="6" t="s">
        <v>2</v>
      </c>
      <c r="D16" s="4"/>
      <c r="E16" s="5"/>
      <c r="F16" s="5"/>
      <c r="G16" s="5"/>
      <c r="H16" s="4"/>
      <c r="I16" s="5"/>
      <c r="J16" s="4"/>
      <c r="K16" s="6" t="s">
        <v>2</v>
      </c>
      <c r="N16" s="4"/>
      <c r="O16" s="5"/>
      <c r="P16" s="5"/>
      <c r="Q16" s="5"/>
    </row>
    <row r="17" spans="1:17" s="3" customFormat="1" x14ac:dyDescent="0.25">
      <c r="A17" s="9" t="s">
        <v>42</v>
      </c>
      <c r="B17" s="9"/>
      <c r="C17" s="9"/>
      <c r="D17" s="9"/>
      <c r="E17" s="9"/>
      <c r="F17" s="10">
        <f>1129+6537</f>
        <v>7666</v>
      </c>
      <c r="G17" s="10" t="s">
        <v>0</v>
      </c>
      <c r="K17" s="9" t="s">
        <v>42</v>
      </c>
      <c r="L17" s="9"/>
      <c r="M17" s="9"/>
      <c r="N17" s="9"/>
      <c r="O17" s="9"/>
      <c r="P17" s="10">
        <f>3308</f>
        <v>3308</v>
      </c>
      <c r="Q17" s="10" t="s">
        <v>0</v>
      </c>
    </row>
    <row r="18" spans="1:17" s="3" customFormat="1" x14ac:dyDescent="0.25">
      <c r="A18" s="9" t="s">
        <v>43</v>
      </c>
      <c r="B18" s="9"/>
      <c r="C18" s="9"/>
      <c r="D18" s="9"/>
      <c r="E18" s="9"/>
      <c r="F18" s="10">
        <f>4375</f>
        <v>4375</v>
      </c>
      <c r="G18" s="10" t="s">
        <v>0</v>
      </c>
      <c r="K18" s="9" t="s">
        <v>43</v>
      </c>
      <c r="L18" s="9"/>
      <c r="M18" s="9"/>
      <c r="N18" s="9"/>
      <c r="O18" s="9"/>
      <c r="P18" s="10">
        <f>12600</f>
        <v>12600</v>
      </c>
      <c r="Q18" s="10" t="s">
        <v>0</v>
      </c>
    </row>
    <row r="19" spans="1:17" s="7" customFormat="1" x14ac:dyDescent="0.25">
      <c r="A19" s="9" t="s">
        <v>44</v>
      </c>
      <c r="B19" s="9"/>
      <c r="C19" s="9"/>
      <c r="D19" s="9"/>
      <c r="E19" s="9"/>
      <c r="F19" s="10">
        <f>0.5*(2200-1200-175)*2+0.5*(1200+175-260-55)+0.5*(1200+175)</f>
        <v>2042.5</v>
      </c>
      <c r="G19" s="10" t="s">
        <v>0</v>
      </c>
      <c r="K19" s="9" t="s">
        <v>44</v>
      </c>
      <c r="L19" s="9"/>
      <c r="M19" s="9"/>
      <c r="N19" s="9"/>
      <c r="O19" s="9"/>
      <c r="P19" s="10">
        <f>0.5*(4986-2200-88)*2+1*176</f>
        <v>2874</v>
      </c>
      <c r="Q19" s="10" t="s">
        <v>0</v>
      </c>
    </row>
    <row r="20" spans="1:17" s="7" customFormat="1" x14ac:dyDescent="0.25">
      <c r="A20" s="9" t="s">
        <v>46</v>
      </c>
      <c r="B20" s="9"/>
      <c r="C20" s="9"/>
      <c r="D20" s="9"/>
      <c r="E20" s="9"/>
      <c r="F20" s="10">
        <f>(0.5+1.5)*(175+1200)+(2200-1200-175)*1.65*2</f>
        <v>5472.5</v>
      </c>
      <c r="G20" s="10" t="s">
        <v>0</v>
      </c>
      <c r="K20" s="9" t="s">
        <v>46</v>
      </c>
      <c r="L20" s="9"/>
      <c r="M20" s="9"/>
      <c r="N20" s="9"/>
      <c r="O20" s="9"/>
      <c r="P20" s="10">
        <f>(0.5+1.5)*(4986-4450)+(4450-2200)*1.65*2</f>
        <v>8497</v>
      </c>
      <c r="Q20" s="10" t="s">
        <v>0</v>
      </c>
    </row>
    <row r="21" spans="1:17" s="7" customFormat="1" x14ac:dyDescent="0.25">
      <c r="A21" s="9" t="s">
        <v>68</v>
      </c>
      <c r="B21" s="9"/>
      <c r="C21" s="9"/>
      <c r="D21" s="9"/>
      <c r="E21" s="9"/>
      <c r="F21" s="18">
        <f>(1000-175)*1*0.5*0.25</f>
        <v>103.125</v>
      </c>
      <c r="G21" s="10" t="s">
        <v>45</v>
      </c>
      <c r="K21" s="9" t="s">
        <v>68</v>
      </c>
      <c r="L21" s="9"/>
      <c r="M21" s="9"/>
      <c r="N21" s="9"/>
      <c r="O21" s="9"/>
      <c r="P21" s="17">
        <f>(4450-2200)*0.35*1*0.5</f>
        <v>393.75</v>
      </c>
      <c r="Q21" s="10" t="s">
        <v>45</v>
      </c>
    </row>
    <row r="22" spans="1:17" s="7" customFormat="1" x14ac:dyDescent="0.25">
      <c r="A22" s="9" t="s">
        <v>66</v>
      </c>
      <c r="B22" s="9"/>
      <c r="C22" s="9"/>
      <c r="D22" s="9"/>
      <c r="E22" s="9"/>
      <c r="F22" s="10">
        <f>2200*0.5*1.5*0.5</f>
        <v>825</v>
      </c>
      <c r="G22" s="10" t="s">
        <v>0</v>
      </c>
      <c r="K22" s="9" t="s">
        <v>66</v>
      </c>
      <c r="L22" s="9"/>
      <c r="M22" s="9"/>
      <c r="N22" s="9"/>
      <c r="O22" s="9"/>
      <c r="P22" s="17">
        <f>(4986-2200)*0.5*1.5*0.5</f>
        <v>1044.75</v>
      </c>
      <c r="Q22" s="10" t="s">
        <v>45</v>
      </c>
    </row>
    <row r="23" spans="1:17" s="7" customFormat="1" x14ac:dyDescent="0.25">
      <c r="A23" s="9" t="s">
        <v>71</v>
      </c>
      <c r="B23" s="9"/>
      <c r="C23" s="9"/>
      <c r="D23" s="9"/>
      <c r="E23" s="9"/>
      <c r="F23" s="10">
        <f>2200*0.5*2.5</f>
        <v>2750</v>
      </c>
      <c r="G23" s="10" t="s">
        <v>45</v>
      </c>
      <c r="K23" s="9" t="s">
        <v>71</v>
      </c>
      <c r="L23" s="9"/>
      <c r="M23" s="9"/>
      <c r="N23" s="9"/>
      <c r="O23" s="9"/>
      <c r="P23" s="17">
        <f>(4986-2200)*0.5*2.5</f>
        <v>3482.5</v>
      </c>
      <c r="Q23" s="10" t="s">
        <v>0</v>
      </c>
    </row>
    <row r="24" spans="1:17" s="7" customFormat="1" x14ac:dyDescent="0.25">
      <c r="A24" s="9" t="s">
        <v>72</v>
      </c>
      <c r="B24" s="9"/>
      <c r="C24" s="9"/>
      <c r="D24" s="9"/>
      <c r="E24" s="9"/>
      <c r="F24" s="10">
        <f>F22</f>
        <v>825</v>
      </c>
      <c r="G24" s="10" t="s">
        <v>45</v>
      </c>
      <c r="K24" s="9" t="s">
        <v>72</v>
      </c>
      <c r="L24" s="9"/>
      <c r="M24" s="9"/>
      <c r="N24" s="9"/>
      <c r="O24" s="9"/>
      <c r="P24" s="17">
        <f>P22</f>
        <v>1044.75</v>
      </c>
      <c r="Q24" s="10" t="s">
        <v>45</v>
      </c>
    </row>
    <row r="25" spans="1:17" s="7" customFormat="1" x14ac:dyDescent="0.25">
      <c r="A25" s="9" t="s">
        <v>67</v>
      </c>
      <c r="B25" s="9"/>
      <c r="C25" s="9"/>
      <c r="D25" s="9"/>
      <c r="E25" s="9"/>
      <c r="F25" s="10">
        <f>(2200-1200-175)*0.5*0.08</f>
        <v>33</v>
      </c>
      <c r="G25" s="10" t="s">
        <v>45</v>
      </c>
      <c r="K25" s="9" t="s">
        <v>67</v>
      </c>
      <c r="L25" s="9"/>
      <c r="M25" s="9"/>
      <c r="N25" s="9"/>
      <c r="O25" s="9"/>
      <c r="P25" s="10">
        <f>(4450-2200)*0.5*0.08</f>
        <v>90</v>
      </c>
      <c r="Q25" s="10" t="s">
        <v>45</v>
      </c>
    </row>
    <row r="26" spans="1:17" s="7" customFormat="1" x14ac:dyDescent="0.25">
      <c r="A26" s="9" t="s">
        <v>7</v>
      </c>
      <c r="B26" s="9"/>
      <c r="C26" s="9"/>
      <c r="D26" s="9"/>
      <c r="E26" s="9"/>
      <c r="F26" s="10">
        <v>0</v>
      </c>
      <c r="G26" s="10" t="s">
        <v>0</v>
      </c>
      <c r="K26" s="9" t="s">
        <v>7</v>
      </c>
      <c r="L26" s="9"/>
      <c r="M26" s="9"/>
      <c r="N26" s="9"/>
      <c r="O26" s="9"/>
      <c r="P26" s="10">
        <v>0</v>
      </c>
      <c r="Q26" s="10" t="s">
        <v>0</v>
      </c>
    </row>
    <row r="27" spans="1:17" s="3" customFormat="1" x14ac:dyDescent="0.25">
      <c r="A27" s="9" t="s">
        <v>8</v>
      </c>
      <c r="B27" s="9"/>
      <c r="C27" s="9"/>
      <c r="D27" s="9"/>
      <c r="E27" s="9"/>
      <c r="F27" s="10">
        <f>6.8+0.13*21.5</f>
        <v>9.5949999999999989</v>
      </c>
      <c r="G27" s="10" t="s">
        <v>0</v>
      </c>
      <c r="K27" s="9" t="s">
        <v>8</v>
      </c>
      <c r="L27" s="9"/>
      <c r="M27" s="9"/>
      <c r="N27" s="9"/>
      <c r="O27" s="9"/>
      <c r="P27" s="10">
        <f>0.13*26.5+8.5</f>
        <v>11.945</v>
      </c>
      <c r="Q27" s="10" t="s">
        <v>0</v>
      </c>
    </row>
    <row r="28" spans="1:17" s="3" customFormat="1" x14ac:dyDescent="0.25">
      <c r="A28" s="9" t="s">
        <v>9</v>
      </c>
      <c r="B28" s="9"/>
      <c r="C28" s="9"/>
      <c r="D28" s="9"/>
      <c r="E28" s="9"/>
      <c r="F28" s="10">
        <f>5+15</f>
        <v>20</v>
      </c>
      <c r="G28" s="10" t="s">
        <v>0</v>
      </c>
      <c r="K28" s="9" t="s">
        <v>41</v>
      </c>
      <c r="L28" s="9"/>
      <c r="M28" s="9"/>
      <c r="N28" s="9"/>
      <c r="O28" s="9"/>
      <c r="P28" s="10">
        <f>0.25*44*0.5</f>
        <v>5.5</v>
      </c>
      <c r="Q28" s="10" t="s">
        <v>0</v>
      </c>
    </row>
    <row r="29" spans="1:17" s="3" customFormat="1" x14ac:dyDescent="0.25">
      <c r="A29" s="9" t="s">
        <v>59</v>
      </c>
      <c r="B29" s="9"/>
      <c r="C29" s="9"/>
      <c r="D29" s="9"/>
      <c r="E29" s="9"/>
      <c r="F29" s="10">
        <f>2200*2*0.125</f>
        <v>550</v>
      </c>
      <c r="G29" s="10" t="s">
        <v>0</v>
      </c>
      <c r="K29" s="9" t="s">
        <v>59</v>
      </c>
      <c r="L29" s="9"/>
      <c r="M29" s="9"/>
      <c r="N29" s="9"/>
      <c r="O29" s="9"/>
      <c r="P29" s="10">
        <f>(9972-4400)*0.125</f>
        <v>696.5</v>
      </c>
      <c r="Q29" s="10" t="s">
        <v>0</v>
      </c>
    </row>
    <row r="30" spans="1:17" s="3" customFormat="1" x14ac:dyDescent="0.25">
      <c r="A30" s="9" t="s">
        <v>11</v>
      </c>
      <c r="B30" s="9"/>
      <c r="C30" s="9"/>
      <c r="D30" s="9"/>
      <c r="E30" s="9"/>
      <c r="F30" s="10">
        <v>1</v>
      </c>
      <c r="G30" s="10" t="s">
        <v>4</v>
      </c>
      <c r="K30" s="9" t="s">
        <v>27</v>
      </c>
      <c r="L30" s="9"/>
      <c r="M30" s="9"/>
      <c r="N30" s="9"/>
      <c r="O30" s="9"/>
      <c r="P30" s="10">
        <v>3</v>
      </c>
      <c r="Q30" s="10" t="s">
        <v>4</v>
      </c>
    </row>
    <row r="31" spans="1:17" s="7" customFormat="1" x14ac:dyDescent="0.25">
      <c r="A31" s="9" t="s">
        <v>27</v>
      </c>
      <c r="B31" s="9"/>
      <c r="C31" s="9"/>
      <c r="D31" s="9"/>
      <c r="E31" s="9"/>
      <c r="F31" s="10">
        <v>2</v>
      </c>
      <c r="G31" s="10" t="s">
        <v>4</v>
      </c>
      <c r="K31" s="9" t="s">
        <v>36</v>
      </c>
      <c r="L31" s="9"/>
      <c r="M31" s="9"/>
      <c r="N31" s="9"/>
      <c r="O31" s="9"/>
      <c r="P31" s="10">
        <v>2</v>
      </c>
      <c r="Q31" s="10" t="s">
        <v>4</v>
      </c>
    </row>
    <row r="32" spans="1:17" s="7" customFormat="1" x14ac:dyDescent="0.25">
      <c r="A32" s="9" t="s">
        <v>12</v>
      </c>
      <c r="B32" s="9"/>
      <c r="C32" s="9"/>
      <c r="D32" s="9"/>
      <c r="E32" s="9"/>
      <c r="F32" s="10">
        <v>3</v>
      </c>
      <c r="G32" s="10" t="s">
        <v>4</v>
      </c>
      <c r="K32" s="9" t="s">
        <v>37</v>
      </c>
      <c r="L32" s="9"/>
      <c r="M32" s="9"/>
      <c r="N32" s="9"/>
      <c r="O32" s="9"/>
      <c r="P32" s="10">
        <v>2</v>
      </c>
      <c r="Q32" s="10" t="s">
        <v>4</v>
      </c>
    </row>
    <row r="33" spans="1:17" s="7" customFormat="1" x14ac:dyDescent="0.25">
      <c r="A33" s="9" t="s">
        <v>14</v>
      </c>
      <c r="B33" s="9"/>
      <c r="C33" s="9"/>
      <c r="D33" s="9"/>
      <c r="E33" s="9"/>
      <c r="F33" s="10">
        <v>1</v>
      </c>
      <c r="G33" s="10" t="s">
        <v>4</v>
      </c>
      <c r="K33" s="9" t="s">
        <v>29</v>
      </c>
      <c r="L33" s="9"/>
      <c r="M33" s="9"/>
      <c r="N33" s="9"/>
      <c r="O33" s="9"/>
      <c r="P33" s="10">
        <v>1</v>
      </c>
      <c r="Q33" s="10" t="s">
        <v>4</v>
      </c>
    </row>
    <row r="34" spans="1:17" s="7" customFormat="1" x14ac:dyDescent="0.25">
      <c r="A34" s="9" t="s">
        <v>15</v>
      </c>
      <c r="B34" s="9"/>
      <c r="C34" s="9"/>
      <c r="D34" s="9"/>
      <c r="E34" s="9"/>
      <c r="F34" s="10">
        <v>1</v>
      </c>
      <c r="G34" s="10" t="s">
        <v>4</v>
      </c>
      <c r="K34" s="9" t="s">
        <v>35</v>
      </c>
      <c r="L34" s="9"/>
      <c r="M34" s="9"/>
      <c r="N34" s="9"/>
      <c r="O34" s="9"/>
      <c r="P34" s="10">
        <v>2</v>
      </c>
      <c r="Q34" s="10" t="s">
        <v>4</v>
      </c>
    </row>
    <row r="35" spans="1:17" s="7" customFormat="1" x14ac:dyDescent="0.25">
      <c r="A35" s="9" t="s">
        <v>18</v>
      </c>
      <c r="B35" s="9"/>
      <c r="C35" s="9"/>
      <c r="D35" s="9"/>
      <c r="E35" s="9"/>
      <c r="F35" s="10">
        <v>2</v>
      </c>
      <c r="G35" s="10" t="s">
        <v>4</v>
      </c>
      <c r="K35" s="9" t="s">
        <v>18</v>
      </c>
      <c r="L35" s="9"/>
      <c r="M35" s="9"/>
      <c r="N35" s="9"/>
      <c r="O35" s="9"/>
      <c r="P35" s="10">
        <v>2</v>
      </c>
      <c r="Q35" s="10" t="s">
        <v>4</v>
      </c>
    </row>
    <row r="36" spans="1:17" s="7" customFormat="1" x14ac:dyDescent="0.25">
      <c r="A36" s="9" t="s">
        <v>19</v>
      </c>
      <c r="B36" s="9"/>
      <c r="C36" s="9"/>
      <c r="D36" s="9"/>
      <c r="E36" s="9"/>
      <c r="F36" s="10">
        <v>2</v>
      </c>
      <c r="G36" s="10" t="s">
        <v>4</v>
      </c>
      <c r="K36" s="9" t="s">
        <v>19</v>
      </c>
      <c r="L36" s="9"/>
      <c r="M36" s="9"/>
      <c r="N36" s="9"/>
      <c r="O36" s="9"/>
      <c r="P36" s="10">
        <v>2</v>
      </c>
      <c r="Q36" s="10" t="s">
        <v>4</v>
      </c>
    </row>
    <row r="37" spans="1:17" s="7" customFormat="1" x14ac:dyDescent="0.25">
      <c r="A37" s="9" t="s">
        <v>29</v>
      </c>
      <c r="B37" s="9"/>
      <c r="C37" s="9"/>
      <c r="D37" s="9"/>
      <c r="E37" s="9"/>
      <c r="F37" s="10">
        <v>1</v>
      </c>
      <c r="G37" s="10" t="s">
        <v>4</v>
      </c>
      <c r="K37" s="9" t="s">
        <v>30</v>
      </c>
      <c r="L37" s="9"/>
      <c r="M37" s="9"/>
      <c r="N37" s="9"/>
      <c r="O37" s="9"/>
      <c r="P37" s="10">
        <v>1</v>
      </c>
      <c r="Q37" s="10" t="s">
        <v>4</v>
      </c>
    </row>
    <row r="38" spans="1:17" s="7" customFormat="1" x14ac:dyDescent="0.25">
      <c r="F38" s="8"/>
      <c r="G38" s="8"/>
      <c r="K38" s="9" t="s">
        <v>14</v>
      </c>
      <c r="L38" s="9"/>
      <c r="M38" s="9"/>
      <c r="N38" s="9"/>
      <c r="O38" s="9"/>
      <c r="P38" s="10">
        <v>1</v>
      </c>
      <c r="Q38" s="10" t="s">
        <v>4</v>
      </c>
    </row>
    <row r="39" spans="1:17" s="7" customFormat="1" x14ac:dyDescent="0.25">
      <c r="F39" s="8"/>
      <c r="G39" s="8"/>
      <c r="K39" s="9" t="s">
        <v>38</v>
      </c>
      <c r="L39" s="9"/>
      <c r="M39" s="9"/>
      <c r="N39" s="9"/>
      <c r="O39" s="9"/>
      <c r="P39" s="10">
        <v>2</v>
      </c>
      <c r="Q39" s="10" t="s">
        <v>4</v>
      </c>
    </row>
    <row r="40" spans="1:17" s="7" customFormat="1" x14ac:dyDescent="0.25">
      <c r="F40" s="8"/>
      <c r="G40" s="8"/>
      <c r="K40" s="9" t="s">
        <v>15</v>
      </c>
      <c r="L40" s="9"/>
      <c r="M40" s="9"/>
      <c r="N40" s="9"/>
      <c r="O40" s="9"/>
      <c r="P40" s="10">
        <v>2</v>
      </c>
      <c r="Q40" s="10" t="s">
        <v>4</v>
      </c>
    </row>
    <row r="41" spans="1:17" s="7" customFormat="1" x14ac:dyDescent="0.25">
      <c r="F41" s="8"/>
      <c r="G41" s="8"/>
      <c r="K41" s="9" t="s">
        <v>12</v>
      </c>
      <c r="L41" s="9"/>
      <c r="M41" s="9"/>
      <c r="N41" s="9"/>
      <c r="O41" s="9"/>
      <c r="P41" s="10">
        <v>2</v>
      </c>
      <c r="Q41" s="10" t="s">
        <v>4</v>
      </c>
    </row>
    <row r="42" spans="1:17" s="7" customFormat="1" x14ac:dyDescent="0.25">
      <c r="F42" s="8"/>
      <c r="G42" s="8"/>
      <c r="K42" s="9" t="s">
        <v>39</v>
      </c>
      <c r="L42" s="9"/>
      <c r="M42" s="9"/>
      <c r="N42" s="9"/>
      <c r="O42" s="9"/>
      <c r="P42" s="10">
        <v>1</v>
      </c>
      <c r="Q42" s="10" t="s">
        <v>4</v>
      </c>
    </row>
    <row r="43" spans="1:17" s="7" customFormat="1" x14ac:dyDescent="0.25">
      <c r="F43" s="8"/>
      <c r="G43" s="8"/>
      <c r="K43" s="9" t="s">
        <v>40</v>
      </c>
      <c r="L43" s="9"/>
      <c r="M43" s="9"/>
      <c r="N43" s="9"/>
      <c r="O43" s="9"/>
      <c r="P43" s="10">
        <v>1</v>
      </c>
      <c r="Q43" s="10" t="s">
        <v>4</v>
      </c>
    </row>
    <row r="44" spans="1:17" s="7" customFormat="1" x14ac:dyDescent="0.25">
      <c r="A44" s="9" t="s">
        <v>13</v>
      </c>
      <c r="B44" s="9"/>
      <c r="C44" s="9"/>
      <c r="D44" s="9"/>
      <c r="E44" s="9"/>
      <c r="F44" s="10">
        <v>10</v>
      </c>
      <c r="G44" s="10" t="s">
        <v>4</v>
      </c>
      <c r="K44" s="9" t="s">
        <v>13</v>
      </c>
      <c r="L44" s="9"/>
      <c r="M44" s="9"/>
      <c r="N44" s="9"/>
      <c r="O44" s="9"/>
      <c r="P44" s="10">
        <v>13</v>
      </c>
      <c r="Q44" s="10" t="s">
        <v>4</v>
      </c>
    </row>
    <row r="45" spans="1:17" s="7" customFormat="1" x14ac:dyDescent="0.25">
      <c r="A45" s="9" t="s">
        <v>20</v>
      </c>
      <c r="B45" s="9"/>
      <c r="C45" s="9"/>
      <c r="D45" s="9"/>
      <c r="E45" s="9"/>
      <c r="F45" s="10">
        <v>6</v>
      </c>
      <c r="G45" s="10" t="s">
        <v>4</v>
      </c>
      <c r="K45" s="9" t="s">
        <v>20</v>
      </c>
      <c r="L45" s="9"/>
      <c r="M45" s="9"/>
      <c r="N45" s="9"/>
      <c r="O45" s="9"/>
      <c r="P45" s="10">
        <v>8</v>
      </c>
      <c r="Q45" s="10" t="s">
        <v>4</v>
      </c>
    </row>
    <row r="46" spans="1:17" s="7" customFormat="1" x14ac:dyDescent="0.25">
      <c r="A46" s="9" t="s">
        <v>58</v>
      </c>
      <c r="B46" s="9"/>
      <c r="C46" s="9"/>
      <c r="D46" s="9"/>
      <c r="E46" s="9"/>
      <c r="F46" s="10">
        <v>106</v>
      </c>
      <c r="G46" s="10" t="s">
        <v>4</v>
      </c>
      <c r="K46" s="9" t="s">
        <v>58</v>
      </c>
      <c r="L46" s="9"/>
      <c r="M46" s="9"/>
      <c r="N46" s="9"/>
      <c r="O46" s="9"/>
      <c r="P46" s="10">
        <f>240-F48</f>
        <v>236</v>
      </c>
      <c r="Q46" s="10" t="s">
        <v>4</v>
      </c>
    </row>
    <row r="47" spans="1:17" s="7" customFormat="1" x14ac:dyDescent="0.25">
      <c r="A47" s="9" t="s">
        <v>22</v>
      </c>
      <c r="B47" s="11"/>
      <c r="C47" s="11"/>
      <c r="D47" s="11"/>
      <c r="E47" s="11"/>
      <c r="F47" s="10">
        <f>(1.5*1.5-0.6*0.6+1*0.4)*5</f>
        <v>11.45</v>
      </c>
      <c r="G47" s="10" t="s">
        <v>0</v>
      </c>
      <c r="K47" s="9" t="s">
        <v>22</v>
      </c>
      <c r="L47" s="11"/>
      <c r="M47" s="11"/>
      <c r="N47" s="11"/>
      <c r="O47" s="11"/>
      <c r="P47" s="10"/>
      <c r="Q47" s="10" t="s">
        <v>0</v>
      </c>
    </row>
    <row r="48" spans="1:17" x14ac:dyDescent="0.25">
      <c r="A48" s="9" t="s">
        <v>25</v>
      </c>
      <c r="B48" s="11"/>
      <c r="C48" s="11"/>
      <c r="D48" s="11"/>
      <c r="E48" s="11"/>
      <c r="F48" s="10">
        <v>4</v>
      </c>
      <c r="G48" s="10" t="s">
        <v>4</v>
      </c>
      <c r="K48" s="9" t="s">
        <v>25</v>
      </c>
      <c r="L48" s="11"/>
      <c r="M48" s="11"/>
      <c r="N48" s="11"/>
      <c r="O48" s="11"/>
      <c r="P48" s="10"/>
      <c r="Q48" s="10" t="s">
        <v>4</v>
      </c>
    </row>
    <row r="49" spans="1:17" x14ac:dyDescent="0.25">
      <c r="A49" s="9" t="s">
        <v>23</v>
      </c>
      <c r="B49" s="11"/>
      <c r="C49" s="11"/>
      <c r="D49" s="11"/>
      <c r="E49" s="11"/>
      <c r="F49" s="10">
        <v>2</v>
      </c>
      <c r="G49" s="10" t="s">
        <v>4</v>
      </c>
      <c r="K49" s="9" t="s">
        <v>23</v>
      </c>
      <c r="L49" s="11"/>
      <c r="M49" s="11"/>
      <c r="N49" s="11"/>
      <c r="O49" s="11"/>
      <c r="P49" s="10">
        <v>6</v>
      </c>
      <c r="Q49" s="10" t="s">
        <v>4</v>
      </c>
    </row>
    <row r="50" spans="1:17" x14ac:dyDescent="0.25">
      <c r="A50" s="9" t="s">
        <v>60</v>
      </c>
      <c r="B50" s="9"/>
      <c r="C50" s="9"/>
      <c r="D50" s="9"/>
      <c r="E50" s="9"/>
      <c r="F50" s="10">
        <v>9</v>
      </c>
      <c r="G50" s="10" t="s">
        <v>4</v>
      </c>
      <c r="K50" s="9" t="s">
        <v>60</v>
      </c>
      <c r="L50" s="9"/>
      <c r="M50" s="9"/>
      <c r="N50" s="9"/>
      <c r="O50" s="9"/>
      <c r="P50" s="10">
        <v>5</v>
      </c>
      <c r="Q50" s="10" t="s">
        <v>4</v>
      </c>
    </row>
    <row r="51" spans="1:17" x14ac:dyDescent="0.25">
      <c r="A51" s="9" t="s">
        <v>24</v>
      </c>
      <c r="B51" s="11"/>
      <c r="C51" s="11"/>
      <c r="D51" s="11"/>
      <c r="E51" s="11"/>
      <c r="F51" s="10">
        <v>4</v>
      </c>
      <c r="G51" s="10" t="s">
        <v>4</v>
      </c>
      <c r="H51" s="7"/>
      <c r="I51" s="7"/>
      <c r="J51" s="7"/>
      <c r="K51" s="9" t="s">
        <v>24</v>
      </c>
      <c r="L51" s="11"/>
      <c r="M51" s="11"/>
      <c r="N51" s="11"/>
      <c r="O51" s="11"/>
      <c r="P51" s="10"/>
      <c r="Q51" s="10" t="s">
        <v>4</v>
      </c>
    </row>
    <row r="52" spans="1:17" x14ac:dyDescent="0.25">
      <c r="A52" s="11" t="s">
        <v>26</v>
      </c>
      <c r="B52" s="11"/>
      <c r="C52" s="11"/>
      <c r="D52" s="11"/>
      <c r="E52" s="11"/>
      <c r="F52" s="10">
        <f>(160+100)*0.5</f>
        <v>130</v>
      </c>
      <c r="G52" s="10" t="s">
        <v>1</v>
      </c>
      <c r="K52" s="11" t="s">
        <v>26</v>
      </c>
      <c r="L52" s="11"/>
      <c r="M52" s="11"/>
      <c r="N52" s="11"/>
      <c r="O52" s="11"/>
      <c r="P52" s="10"/>
      <c r="Q52" s="10" t="s">
        <v>1</v>
      </c>
    </row>
    <row r="53" spans="1:17" x14ac:dyDescent="0.25">
      <c r="A53" s="11" t="s">
        <v>28</v>
      </c>
      <c r="B53" s="11"/>
      <c r="C53" s="11"/>
      <c r="D53" s="11"/>
      <c r="E53" s="11"/>
      <c r="F53" s="10">
        <f>55*0.5</f>
        <v>27.5</v>
      </c>
      <c r="G53" s="10" t="s">
        <v>1</v>
      </c>
      <c r="K53" s="11" t="s">
        <v>28</v>
      </c>
      <c r="L53" s="11"/>
      <c r="M53" s="11"/>
      <c r="N53" s="11"/>
      <c r="O53" s="11"/>
      <c r="P53" s="10"/>
      <c r="Q53" s="10" t="s">
        <v>1</v>
      </c>
    </row>
    <row r="54" spans="1:17" x14ac:dyDescent="0.25">
      <c r="K54" s="11" t="s">
        <v>32</v>
      </c>
      <c r="L54" s="11"/>
      <c r="M54" s="11"/>
      <c r="N54" s="11"/>
      <c r="O54" s="11"/>
      <c r="P54" s="10">
        <f>64*2</f>
        <v>128</v>
      </c>
      <c r="Q54" s="10" t="s">
        <v>1</v>
      </c>
    </row>
    <row r="55" spans="1:17" x14ac:dyDescent="0.25">
      <c r="K55" s="11" t="s">
        <v>33</v>
      </c>
      <c r="L55" s="11"/>
      <c r="M55" s="11"/>
      <c r="N55" s="11"/>
      <c r="O55" s="11"/>
      <c r="P55" s="10">
        <f>2*2*12</f>
        <v>48</v>
      </c>
      <c r="Q55" s="10" t="s">
        <v>1</v>
      </c>
    </row>
    <row r="56" spans="1:17" x14ac:dyDescent="0.25">
      <c r="K56" s="11" t="s">
        <v>34</v>
      </c>
      <c r="L56" s="11"/>
      <c r="M56" s="11"/>
      <c r="N56" s="11"/>
      <c r="O56" s="11"/>
      <c r="P56" s="12">
        <v>2</v>
      </c>
      <c r="Q56" s="10" t="s">
        <v>4</v>
      </c>
    </row>
    <row r="60" spans="1:17" x14ac:dyDescent="0.25">
      <c r="A60" s="15" t="s">
        <v>69</v>
      </c>
      <c r="B60" s="13"/>
      <c r="C60" s="13"/>
      <c r="D60" s="14"/>
      <c r="E60" s="16"/>
      <c r="F60" s="16"/>
      <c r="G60" s="16"/>
      <c r="K60" s="15" t="s">
        <v>69</v>
      </c>
      <c r="L60" s="13"/>
      <c r="M60" s="13"/>
      <c r="N60" s="14"/>
      <c r="O60" s="16"/>
      <c r="P60" s="16"/>
      <c r="Q60" s="16"/>
    </row>
    <row r="61" spans="1:17" x14ac:dyDescent="0.25">
      <c r="A61" s="9" t="s">
        <v>74</v>
      </c>
      <c r="B61" s="11"/>
      <c r="C61" s="11"/>
      <c r="D61" s="11"/>
      <c r="E61" s="11"/>
      <c r="F61" s="10">
        <v>60</v>
      </c>
      <c r="G61" s="10" t="s">
        <v>1</v>
      </c>
      <c r="K61" s="9" t="s">
        <v>74</v>
      </c>
      <c r="L61" s="11"/>
      <c r="M61" s="11"/>
      <c r="N61" s="11"/>
      <c r="O61" s="11"/>
      <c r="P61" s="10">
        <f>140</f>
        <v>140</v>
      </c>
      <c r="Q61" s="10" t="s">
        <v>1</v>
      </c>
    </row>
    <row r="62" spans="1:17" x14ac:dyDescent="0.25">
      <c r="A62" s="9" t="s">
        <v>50</v>
      </c>
      <c r="B62" s="11"/>
      <c r="C62" s="11"/>
      <c r="D62" s="11"/>
      <c r="E62" s="11"/>
      <c r="F62" s="10">
        <v>60</v>
      </c>
      <c r="G62" s="10" t="s">
        <v>1</v>
      </c>
      <c r="K62" s="9" t="s">
        <v>75</v>
      </c>
      <c r="L62" s="11"/>
      <c r="M62" s="11"/>
      <c r="N62" s="11"/>
      <c r="O62" s="11"/>
      <c r="P62" s="10">
        <v>10</v>
      </c>
      <c r="Q62" s="10" t="s">
        <v>1</v>
      </c>
    </row>
    <row r="63" spans="1:17" x14ac:dyDescent="0.25">
      <c r="A63" s="9" t="s">
        <v>51</v>
      </c>
      <c r="B63" s="11"/>
      <c r="C63" s="11"/>
      <c r="D63" s="11"/>
      <c r="E63" s="11"/>
      <c r="F63" s="10">
        <f>12*(0.4*0.6*(0.75+1.25*2)+0.5*0.6*(0.75+1.25*2))</f>
        <v>21.06</v>
      </c>
      <c r="G63" s="10" t="s">
        <v>45</v>
      </c>
      <c r="K63" s="9" t="s">
        <v>50</v>
      </c>
      <c r="L63" s="11"/>
      <c r="M63" s="11"/>
      <c r="N63" s="11"/>
      <c r="O63" s="11"/>
      <c r="P63" s="10">
        <v>90</v>
      </c>
      <c r="Q63" s="10" t="s">
        <v>1</v>
      </c>
    </row>
    <row r="64" spans="1:17" x14ac:dyDescent="0.25">
      <c r="A64" s="13" t="s">
        <v>57</v>
      </c>
      <c r="B64" s="13"/>
      <c r="C64" s="13"/>
      <c r="D64" s="13"/>
      <c r="E64" s="13"/>
      <c r="F64" s="14">
        <f>12*(1*(0.75+1.25*2)+6.5)</f>
        <v>117</v>
      </c>
      <c r="G64" s="14" t="s">
        <v>0</v>
      </c>
      <c r="K64" s="9" t="s">
        <v>51</v>
      </c>
      <c r="L64" s="11"/>
      <c r="M64" s="11"/>
      <c r="N64" s="11"/>
      <c r="O64" s="11"/>
      <c r="P64" s="10">
        <f>30*(0.4*0.6*(0.75+1.25*2)+0.5*0.6*(0.75+1.25*2))</f>
        <v>52.65</v>
      </c>
      <c r="Q64" s="10" t="s">
        <v>45</v>
      </c>
    </row>
    <row r="65" spans="1:17" x14ac:dyDescent="0.25">
      <c r="A65" s="9" t="s">
        <v>52</v>
      </c>
      <c r="B65" s="11"/>
      <c r="C65" s="11"/>
      <c r="D65" s="11"/>
      <c r="E65" s="11"/>
      <c r="F65" s="10">
        <f>F64</f>
        <v>117</v>
      </c>
      <c r="G65" s="10" t="s">
        <v>0</v>
      </c>
      <c r="K65" s="13" t="s">
        <v>57</v>
      </c>
      <c r="L65" s="13"/>
      <c r="M65" s="13"/>
      <c r="N65" s="13"/>
      <c r="O65" s="13"/>
      <c r="P65" s="14">
        <f>30*(1*(0.75+1.25*2)+6.5)</f>
        <v>292.5</v>
      </c>
      <c r="Q65" s="14" t="s">
        <v>0</v>
      </c>
    </row>
    <row r="66" spans="1:17" x14ac:dyDescent="0.25">
      <c r="A66" s="9" t="s">
        <v>76</v>
      </c>
      <c r="B66" s="11"/>
      <c r="C66" s="11"/>
      <c r="D66" s="11"/>
      <c r="E66" s="11"/>
      <c r="F66" s="12">
        <f>F65+12*0.5*0.1*(0.75+1.25*2)+F61*(0.4+1)</f>
        <v>202.95</v>
      </c>
      <c r="G66" s="10" t="s">
        <v>0</v>
      </c>
      <c r="K66" s="9" t="s">
        <v>52</v>
      </c>
      <c r="L66" s="11"/>
      <c r="M66" s="11"/>
      <c r="N66" s="11"/>
      <c r="O66" s="11"/>
      <c r="P66" s="10">
        <f>P65</f>
        <v>292.5</v>
      </c>
      <c r="Q66" s="10" t="s">
        <v>0</v>
      </c>
    </row>
    <row r="67" spans="1:17" x14ac:dyDescent="0.25">
      <c r="A67" s="9" t="s">
        <v>53</v>
      </c>
      <c r="B67" s="11"/>
      <c r="C67" s="11"/>
      <c r="D67" s="11"/>
      <c r="E67" s="11"/>
      <c r="F67" s="17">
        <f>12*0.15*5.5*2</f>
        <v>19.799999999999997</v>
      </c>
      <c r="G67" s="10" t="s">
        <v>45</v>
      </c>
      <c r="K67" s="9" t="s">
        <v>76</v>
      </c>
      <c r="L67" s="11"/>
      <c r="M67" s="11"/>
      <c r="N67" s="11"/>
      <c r="O67" s="11"/>
      <c r="P67" s="12">
        <f>P66+30*0.5*0.1*(0.75+1.25*2)+P61*(0.4+1)+P62*(0.3+1)</f>
        <v>506.375</v>
      </c>
      <c r="Q67" s="10" t="s">
        <v>0</v>
      </c>
    </row>
    <row r="68" spans="1:17" x14ac:dyDescent="0.25">
      <c r="A68" s="9" t="s">
        <v>54</v>
      </c>
      <c r="B68" s="11"/>
      <c r="C68" s="11"/>
      <c r="D68" s="11"/>
      <c r="E68" s="11"/>
      <c r="F68" s="18">
        <f>F61*4.5-F62*3.14*0.2*0.2</f>
        <v>262.464</v>
      </c>
      <c r="G68" s="10" t="s">
        <v>45</v>
      </c>
      <c r="K68" s="9" t="s">
        <v>53</v>
      </c>
      <c r="L68" s="11"/>
      <c r="M68" s="11"/>
      <c r="N68" s="11"/>
      <c r="O68" s="11"/>
      <c r="P68" s="10">
        <f>15*0.15*5.5*2</f>
        <v>24.75</v>
      </c>
      <c r="Q68" s="10" t="s">
        <v>45</v>
      </c>
    </row>
    <row r="69" spans="1:17" x14ac:dyDescent="0.25">
      <c r="A69" s="9" t="s">
        <v>55</v>
      </c>
      <c r="B69" s="11"/>
      <c r="C69" s="11"/>
      <c r="D69" s="11"/>
      <c r="E69" s="11"/>
      <c r="F69" s="10">
        <f>F61*2.2</f>
        <v>132</v>
      </c>
      <c r="G69" s="10" t="s">
        <v>45</v>
      </c>
      <c r="K69" s="9" t="s">
        <v>54</v>
      </c>
      <c r="L69" s="11"/>
      <c r="M69" s="11"/>
      <c r="N69" s="11"/>
      <c r="O69" s="11"/>
      <c r="P69" s="10">
        <f>(P61+P62)*4.5-P63*3.14*0.2*0.2</f>
        <v>663.69600000000003</v>
      </c>
      <c r="Q69" s="10" t="s">
        <v>45</v>
      </c>
    </row>
    <row r="70" spans="1:17" x14ac:dyDescent="0.25">
      <c r="A70" s="9" t="s">
        <v>56</v>
      </c>
      <c r="B70" s="11"/>
      <c r="C70" s="11"/>
      <c r="D70" s="11"/>
      <c r="E70" s="11"/>
      <c r="F70" s="10">
        <f>12*1.1*(0.75+1.25*2)</f>
        <v>42.900000000000006</v>
      </c>
      <c r="G70" s="10" t="s">
        <v>45</v>
      </c>
      <c r="K70" s="9" t="s">
        <v>55</v>
      </c>
      <c r="L70" s="11"/>
      <c r="M70" s="11"/>
      <c r="N70" s="11"/>
      <c r="O70" s="11"/>
      <c r="P70" s="10">
        <f>(P61+P62)*2.2</f>
        <v>330</v>
      </c>
      <c r="Q70" s="10" t="s">
        <v>45</v>
      </c>
    </row>
    <row r="71" spans="1:17" x14ac:dyDescent="0.25">
      <c r="A71" s="9" t="s">
        <v>64</v>
      </c>
      <c r="B71" s="11"/>
      <c r="C71" s="11"/>
      <c r="D71" s="11"/>
      <c r="E71" s="11"/>
      <c r="F71" s="10">
        <f>6*2*4.7*0.5</f>
        <v>28.200000000000003</v>
      </c>
      <c r="G71" s="10" t="s">
        <v>0</v>
      </c>
      <c r="K71" s="9" t="s">
        <v>56</v>
      </c>
      <c r="L71" s="11"/>
      <c r="M71" s="11"/>
      <c r="N71" s="11"/>
      <c r="O71" s="11"/>
      <c r="P71" s="10">
        <f>30*1.1*(0.75+1.25*2)</f>
        <v>107.25</v>
      </c>
      <c r="Q71" s="10" t="s">
        <v>45</v>
      </c>
    </row>
    <row r="72" spans="1:17" x14ac:dyDescent="0.25">
      <c r="A72" s="9" t="s">
        <v>61</v>
      </c>
      <c r="B72" s="11"/>
      <c r="C72" s="11"/>
      <c r="D72" s="11"/>
      <c r="E72" s="11"/>
      <c r="F72" s="10">
        <f>1*6*5.2</f>
        <v>31.200000000000003</v>
      </c>
      <c r="G72" s="10" t="s">
        <v>0</v>
      </c>
      <c r="K72" s="9" t="s">
        <v>64</v>
      </c>
      <c r="L72" s="11"/>
      <c r="M72" s="11"/>
      <c r="N72" s="11"/>
      <c r="O72" s="11"/>
      <c r="P72" s="10">
        <f>15*2*4.7*0.5</f>
        <v>70.5</v>
      </c>
      <c r="Q72" s="10" t="s">
        <v>0</v>
      </c>
    </row>
    <row r="73" spans="1:17" x14ac:dyDescent="0.25">
      <c r="A73" s="9" t="s">
        <v>62</v>
      </c>
      <c r="B73" s="11"/>
      <c r="C73" s="11"/>
      <c r="D73" s="11"/>
      <c r="E73" s="11"/>
      <c r="F73" s="10">
        <f>1*6*5.2</f>
        <v>31.200000000000003</v>
      </c>
      <c r="G73" s="10" t="s">
        <v>0</v>
      </c>
      <c r="K73" s="9" t="s">
        <v>61</v>
      </c>
      <c r="L73" s="11"/>
      <c r="M73" s="11"/>
      <c r="N73" s="11"/>
      <c r="O73" s="11"/>
      <c r="P73" s="10"/>
      <c r="Q73" s="10" t="s">
        <v>0</v>
      </c>
    </row>
    <row r="74" spans="1:17" x14ac:dyDescent="0.25">
      <c r="A74" s="9" t="s">
        <v>63</v>
      </c>
      <c r="B74" s="11"/>
      <c r="C74" s="11"/>
      <c r="D74" s="11"/>
      <c r="E74" s="11"/>
      <c r="F74" s="10"/>
      <c r="G74" s="10" t="s">
        <v>0</v>
      </c>
      <c r="K74" s="9" t="s">
        <v>62</v>
      </c>
      <c r="L74" s="11"/>
      <c r="M74" s="11"/>
      <c r="N74" s="11"/>
      <c r="O74" s="11"/>
      <c r="P74" s="10"/>
      <c r="Q74" s="10" t="s">
        <v>0</v>
      </c>
    </row>
    <row r="76" spans="1:17" x14ac:dyDescent="0.25">
      <c r="D76" s="7"/>
    </row>
    <row r="77" spans="1:17" x14ac:dyDescent="0.25">
      <c r="A77" s="7"/>
      <c r="F77" s="8"/>
      <c r="G77" s="8"/>
    </row>
    <row r="79" spans="1:17" x14ac:dyDescent="0.25">
      <c r="I79" s="8"/>
      <c r="J79" s="8"/>
    </row>
  </sheetData>
  <phoneticPr fontId="2" type="noConversion"/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Miroslav Kučera</cp:lastModifiedBy>
  <cp:lastPrinted>2021-11-14T10:11:43Z</cp:lastPrinted>
  <dcterms:created xsi:type="dcterms:W3CDTF">2021-10-12T16:35:38Z</dcterms:created>
  <dcterms:modified xsi:type="dcterms:W3CDTF">2024-05-09T13:16:01Z</dcterms:modified>
</cp:coreProperties>
</file>